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hidePivotFieldList="1" defaultThemeVersion="124226"/>
  <mc:AlternateContent xmlns:mc="http://schemas.openxmlformats.org/markup-compatibility/2006">
    <mc:Choice Requires="x15">
      <x15ac:absPath xmlns:x15ac="http://schemas.microsoft.com/office/spreadsheetml/2010/11/ac" url="G:\Dept\Rates\WA Rate Case 2020 UG-200568\Testimony\Peters\"/>
    </mc:Choice>
  </mc:AlternateContent>
  <xr:revisionPtr revIDLastSave="0" documentId="13_ncr:1_{BABE71E8-A517-48A8-B4F7-BBB38C2054BC}" xr6:coauthVersionLast="45" xr6:coauthVersionMax="45" xr10:uidLastSave="{00000000-0000-0000-0000-000000000000}"/>
  <bookViews>
    <workbookView xWindow="-28920" yWindow="1830" windowWidth="29040" windowHeight="15840" activeTab="1" xr2:uid="{00000000-000D-0000-FFFF-FFFF00000000}"/>
  </bookViews>
  <sheets>
    <sheet name="Cover Page MCP-8" sheetId="51" r:id="rId1"/>
    <sheet name="Exh MCP-8 - ROO Summary Sheet" sheetId="1" r:id="rId2"/>
    <sheet name="Cover Page MCP-9" sheetId="53" r:id="rId3"/>
    <sheet name="Exh MCP-9 - Rev Req Calc" sheetId="26" r:id="rId4"/>
    <sheet name="Cover Page MCP-4" sheetId="54" r:id="rId5"/>
    <sheet name="Exh MCP-4 - Conversion Factor" sheetId="2" r:id="rId6"/>
    <sheet name="Cover Page MCP-10" sheetId="55" r:id="rId7"/>
    <sheet name="Exh MCP-10 - Summary of Adj" sheetId="4" r:id="rId8"/>
    <sheet name="Cover Page MCP-6" sheetId="56" r:id="rId9"/>
    <sheet name="MCP-6 - 2020 Plant Additions" sheetId="49" r:id="rId10"/>
    <sheet name="MCP-6 - Supporting Explanations" sheetId="50" r:id="rId11"/>
    <sheet name="Workpaper - Support Documents &gt;" sheetId="37" r:id="rId12"/>
    <sheet name="Index" sheetId="57" r:id="rId13"/>
    <sheet name="Operating Report" sheetId="31" r:id="rId14"/>
    <sheet name="Rate Base" sheetId="32" r:id="rId15"/>
    <sheet name="Plant in Serv &amp; Accum Depr" sheetId="58" r:id="rId16"/>
    <sheet name="Adv for Const. &amp; Def Tax" sheetId="59" r:id="rId17"/>
    <sheet name="Capital Structure Calculation" sheetId="3" r:id="rId18"/>
    <sheet name="State Allocation Formulas" sheetId="60" r:id="rId19"/>
    <sheet name="Adjustment Workpapers---&gt;" sheetId="30" r:id="rId20"/>
    <sheet name="Annualize CRM Adjustment" sheetId="73" r:id="rId21"/>
    <sheet name="Advertising Adj" sheetId="18" r:id="rId22"/>
    <sheet name="Restate Revenues Adjustment" sheetId="70" r:id="rId23"/>
    <sheet name="EOP Revenue Adjustment" sheetId="74" r:id="rId24"/>
    <sheet name="EOP Depreciation Expense Adj" sheetId="67" r:id="rId25"/>
    <sheet name="Restate &amp; Pro Forma Wage Adjust" sheetId="6" r:id="rId26"/>
    <sheet name="Executive Incentives" sheetId="64" r:id="rId27"/>
    <sheet name="Interest Coord. Adj." sheetId="24" r:id="rId28"/>
    <sheet name="Pro Forma Plant Additions" sheetId="13" r:id="rId29"/>
    <sheet name="MAOP UG-160787 Deferral" sheetId="38" r:id="rId30"/>
    <sheet name=" Working Capital (AMA)" sheetId="62" r:id="rId31"/>
  </sheets>
  <externalReferences>
    <externalReference r:id="rId32"/>
    <externalReference r:id="rId33"/>
  </externalReferences>
  <definedNames>
    <definedName name="_xlnm._FilterDatabase" localSheetId="9" hidden="1">'MCP-6 - 2020 Plant Additions'!$A$7:$K$195</definedName>
    <definedName name="first_day">'[1]Historic Data'!$K$3</definedName>
    <definedName name="_xlnm.Print_Area" localSheetId="20">'Annualize CRM Adjustment'!$A$1:$I$11</definedName>
    <definedName name="_xlnm.Print_Area" localSheetId="17">'Capital Structure Calculation'!$A$1:$J$17</definedName>
    <definedName name="_xlnm.Print_Area" localSheetId="23">'EOP Revenue Adjustment'!$A$1:$F$14</definedName>
    <definedName name="_xlnm.Print_Area" localSheetId="7">'Exh MCP-10 - Summary of Adj'!$A$1:$S$45</definedName>
    <definedName name="_xlnm.Print_Area" localSheetId="1">'Exh MCP-8 - ROO Summary Sheet'!$B$1:$Q$42</definedName>
    <definedName name="_xlnm.Print_Area" localSheetId="12">Index!$A$1:$F$37</definedName>
    <definedName name="_xlnm.Print_Area" localSheetId="10">'MCP-6 - Supporting Explanations'!$A$1:$C$63</definedName>
    <definedName name="_xlnm.Print_Area" localSheetId="13">'Operating Report'!$A$1:$H$187,'Operating Report'!$I$1:$V$158</definedName>
    <definedName name="_xlnm.Print_Area" localSheetId="28">'Pro Forma Plant Additions'!$A$1:$F$32</definedName>
    <definedName name="_xlnm.Print_Area" localSheetId="25">'Restate &amp; Pro Forma Wage Adjust'!$A$1:$Q$118</definedName>
    <definedName name="_xlnm.Print_Area" localSheetId="22">'Restate Revenues Adjustment'!$A$1:$H$27</definedName>
    <definedName name="_xlnm.Print_Area" localSheetId="18">'State Allocation Formulas'!$A$1:$T$80</definedName>
    <definedName name="_xlnm.Print_Area" localSheetId="11">'Workpaper - Support Documents &gt;'!$A$1:$I$31</definedName>
    <definedName name="_xlnm.Print_Titles" localSheetId="30">' Working Capital (AMA)'!$1:$10</definedName>
    <definedName name="_xlnm.Print_Titles" localSheetId="16">'Adv for Const. &amp; Def Tax'!$A:$A,'Adv for Const. &amp; Def Tax'!$1:$8</definedName>
    <definedName name="_xlnm.Print_Titles" localSheetId="21">'Advertising Adj'!$1:$5</definedName>
    <definedName name="_xlnm.Print_Titles" localSheetId="9">'MCP-6 - 2020 Plant Additions'!$A:$A,'MCP-6 - 2020 Plant Additions'!$1:$7</definedName>
    <definedName name="_xlnm.Print_Titles" localSheetId="10">'MCP-6 - Supporting Explanations'!$A:$C,'MCP-6 - Supporting Explanations'!$1:$7</definedName>
    <definedName name="_xlnm.Print_Titles" localSheetId="13">'Operating Report'!$A:$A,'Operating Report'!$1:$13</definedName>
    <definedName name="_xlnm.Print_Titles" localSheetId="15">'Plant in Serv &amp; Accum Depr'!$A:$A,'Plant in Serv &amp; Accum Depr'!$1:$8</definedName>
    <definedName name="_xlnm.Print_Titles" localSheetId="25">'Restate &amp; Pro Forma Wage Adjust'!$1:$7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74" l="1"/>
  <c r="H97" i="49" l="1"/>
  <c r="G76" i="49" l="1"/>
  <c r="G77" i="49"/>
  <c r="H77" i="49" s="1"/>
  <c r="G78" i="49"/>
  <c r="G79" i="49"/>
  <c r="G80" i="49"/>
  <c r="G81" i="49"/>
  <c r="G82" i="49"/>
  <c r="G83" i="49"/>
  <c r="G84" i="49"/>
  <c r="G85" i="49"/>
  <c r="G86" i="49"/>
  <c r="G87" i="49"/>
  <c r="G88" i="49"/>
  <c r="G89" i="49"/>
  <c r="G90" i="49"/>
  <c r="G91" i="49"/>
  <c r="G92" i="49"/>
  <c r="G93" i="49"/>
  <c r="G94" i="49"/>
  <c r="G96" i="49"/>
  <c r="G97" i="49"/>
  <c r="G98" i="49"/>
  <c r="G100" i="49"/>
  <c r="G101" i="49"/>
  <c r="G102" i="49"/>
  <c r="G103" i="49"/>
  <c r="G104" i="49"/>
  <c r="G105" i="49"/>
  <c r="G106" i="49"/>
  <c r="G107" i="49"/>
  <c r="G108" i="49"/>
  <c r="G109" i="49"/>
  <c r="G110" i="49"/>
  <c r="G111" i="49"/>
  <c r="G112" i="49"/>
  <c r="G113" i="49"/>
  <c r="G114" i="49"/>
  <c r="G115" i="49"/>
  <c r="G116" i="49"/>
  <c r="G117" i="49"/>
  <c r="G118" i="49"/>
  <c r="G119" i="49"/>
  <c r="G120" i="49"/>
  <c r="G121" i="49"/>
  <c r="G122" i="49"/>
  <c r="G123" i="49"/>
  <c r="G124" i="49"/>
  <c r="G125" i="49"/>
  <c r="G126" i="49"/>
  <c r="G127" i="49"/>
  <c r="G128" i="49"/>
  <c r="G129" i="49"/>
  <c r="G130" i="49"/>
  <c r="G131" i="49"/>
  <c r="G132" i="49"/>
  <c r="G133" i="49"/>
  <c r="G134" i="49"/>
  <c r="G135" i="49"/>
  <c r="G136" i="49"/>
  <c r="G137" i="49"/>
  <c r="G138" i="49"/>
  <c r="G139" i="49"/>
  <c r="G140" i="49"/>
  <c r="G141" i="49"/>
  <c r="G142" i="49"/>
  <c r="G143" i="49"/>
  <c r="G144" i="49"/>
  <c r="G145" i="49"/>
  <c r="G147" i="49"/>
  <c r="G148" i="49"/>
  <c r="G149" i="49"/>
  <c r="G150" i="49"/>
  <c r="G151" i="49"/>
  <c r="G152" i="49"/>
  <c r="G153" i="49"/>
  <c r="G154" i="49"/>
  <c r="G155" i="49"/>
  <c r="G156" i="49"/>
  <c r="G157" i="49"/>
  <c r="G158" i="49"/>
  <c r="G159" i="49"/>
  <c r="G160" i="49"/>
  <c r="G161" i="49"/>
  <c r="G162" i="49"/>
  <c r="G163" i="49"/>
  <c r="G164" i="49"/>
  <c r="G165" i="49"/>
  <c r="G166" i="49"/>
  <c r="G167" i="49"/>
  <c r="G168" i="49"/>
  <c r="G169" i="49"/>
  <c r="G170" i="49"/>
  <c r="G171" i="49"/>
  <c r="G172" i="49"/>
  <c r="G173" i="49"/>
  <c r="G174" i="49"/>
  <c r="G175" i="49"/>
  <c r="G176" i="49"/>
  <c r="G177" i="49"/>
  <c r="G178" i="49"/>
  <c r="G179" i="49"/>
  <c r="G180" i="49"/>
  <c r="G181" i="49"/>
  <c r="G182" i="49"/>
  <c r="G183" i="49"/>
  <c r="G184" i="49"/>
  <c r="G185" i="49"/>
  <c r="G186" i="49"/>
  <c r="G187" i="49"/>
  <c r="G188" i="49"/>
  <c r="G189" i="49"/>
  <c r="G190" i="49"/>
  <c r="G192" i="49"/>
  <c r="G193" i="49"/>
  <c r="G194" i="49"/>
  <c r="Q15" i="31" l="1"/>
  <c r="H114" i="49" l="1"/>
  <c r="H112" i="49"/>
  <c r="H109" i="49"/>
  <c r="H107" i="49"/>
  <c r="H105" i="49"/>
  <c r="H103" i="49"/>
  <c r="H101" i="49"/>
  <c r="H93" i="49"/>
  <c r="H91" i="49"/>
  <c r="H89" i="49"/>
  <c r="H87" i="49"/>
  <c r="H85" i="49"/>
  <c r="H83" i="49"/>
  <c r="H81" i="49"/>
  <c r="H79" i="49"/>
  <c r="E99" i="49" l="1"/>
  <c r="E95" i="49"/>
  <c r="E50" i="49"/>
  <c r="G46" i="49"/>
  <c r="G45" i="49"/>
  <c r="C46" i="49"/>
  <c r="C45" i="49"/>
  <c r="E37" i="49"/>
  <c r="G99" i="49" l="1"/>
  <c r="H99" i="49"/>
  <c r="G95" i="49"/>
  <c r="H95" i="49"/>
  <c r="G36" i="49"/>
  <c r="H36" i="49" s="1"/>
  <c r="H16" i="70" l="1"/>
  <c r="M5" i="58" l="1"/>
  <c r="Y5" i="58" s="1"/>
  <c r="M3" i="58"/>
  <c r="Y3" i="58" s="1"/>
  <c r="M2" i="58"/>
  <c r="Y2" i="58" s="1"/>
  <c r="AD92" i="58" l="1"/>
  <c r="AD167" i="58" s="1"/>
  <c r="F53" i="67" l="1"/>
  <c r="G53" i="67" s="1"/>
  <c r="H53" i="67" s="1"/>
  <c r="F52" i="67"/>
  <c r="G52" i="67" s="1"/>
  <c r="H52" i="67" s="1"/>
  <c r="F51" i="67"/>
  <c r="L51" i="67" s="1"/>
  <c r="F50" i="67"/>
  <c r="L50" i="67" s="1"/>
  <c r="F49" i="67"/>
  <c r="L49" i="67" s="1"/>
  <c r="F39" i="67"/>
  <c r="L39" i="67" s="1"/>
  <c r="F40" i="67"/>
  <c r="F41" i="67"/>
  <c r="F42" i="67"/>
  <c r="L42" i="67" s="1"/>
  <c r="F43" i="67"/>
  <c r="L43" i="67" s="1"/>
  <c r="F44" i="67"/>
  <c r="F45" i="67"/>
  <c r="L45" i="67" s="1"/>
  <c r="F46" i="67"/>
  <c r="L46" i="67" s="1"/>
  <c r="F47" i="67"/>
  <c r="F48" i="67"/>
  <c r="F38" i="67"/>
  <c r="F37" i="67"/>
  <c r="L37" i="67" s="1"/>
  <c r="B54" i="67"/>
  <c r="L41" i="67"/>
  <c r="L38" i="67"/>
  <c r="F36" i="67"/>
  <c r="L35" i="67"/>
  <c r="L34" i="67"/>
  <c r="F33" i="67"/>
  <c r="F32" i="67"/>
  <c r="F31" i="67"/>
  <c r="L31" i="67" s="1"/>
  <c r="F30" i="67"/>
  <c r="F29" i="67"/>
  <c r="L29" i="67" s="1"/>
  <c r="F28" i="67"/>
  <c r="G28" i="67" s="1"/>
  <c r="H28" i="67" s="1"/>
  <c r="F27" i="67"/>
  <c r="L27" i="67" s="1"/>
  <c r="F26" i="67"/>
  <c r="L26" i="67" s="1"/>
  <c r="F25" i="67"/>
  <c r="L25" i="67" s="1"/>
  <c r="F24" i="67"/>
  <c r="F23" i="67"/>
  <c r="L23" i="67" s="1"/>
  <c r="F22" i="67"/>
  <c r="F21" i="67"/>
  <c r="L21" i="67" s="1"/>
  <c r="F20" i="67"/>
  <c r="L19" i="67"/>
  <c r="F18" i="67"/>
  <c r="F17" i="67"/>
  <c r="L17" i="67" s="1"/>
  <c r="F16" i="67"/>
  <c r="L16" i="67" s="1"/>
  <c r="F15" i="67"/>
  <c r="L15" i="67" s="1"/>
  <c r="F14" i="67"/>
  <c r="L14" i="67" s="1"/>
  <c r="F13" i="67"/>
  <c r="L13" i="67" s="1"/>
  <c r="F12" i="67"/>
  <c r="L53" i="67" l="1"/>
  <c r="G51" i="67"/>
  <c r="H51" i="67" s="1"/>
  <c r="L52" i="67"/>
  <c r="G37" i="67"/>
  <c r="H37" i="67" s="1"/>
  <c r="G41" i="67"/>
  <c r="H41" i="67" s="1"/>
  <c r="G45" i="67"/>
  <c r="H45" i="67" s="1"/>
  <c r="G20" i="67"/>
  <c r="H20" i="67" s="1"/>
  <c r="G44" i="67"/>
  <c r="H44" i="67" s="1"/>
  <c r="D54" i="67"/>
  <c r="G22" i="67"/>
  <c r="H22" i="67" s="1"/>
  <c r="G30" i="67"/>
  <c r="H30" i="67" s="1"/>
  <c r="L22" i="67"/>
  <c r="G24" i="67"/>
  <c r="H24" i="67" s="1"/>
  <c r="L30" i="67"/>
  <c r="G32" i="67"/>
  <c r="H32" i="67" s="1"/>
  <c r="G47" i="67"/>
  <c r="H47" i="67" s="1"/>
  <c r="G18" i="67"/>
  <c r="H18" i="67" s="1"/>
  <c r="G26" i="67"/>
  <c r="H26" i="67" s="1"/>
  <c r="G36" i="67"/>
  <c r="H36" i="67" s="1"/>
  <c r="G40" i="67"/>
  <c r="H40" i="67" s="1"/>
  <c r="L20" i="67"/>
  <c r="L24" i="67"/>
  <c r="L28" i="67"/>
  <c r="L32" i="67"/>
  <c r="G48" i="67"/>
  <c r="H48" i="67" s="1"/>
  <c r="G49" i="67"/>
  <c r="H49" i="67" s="1"/>
  <c r="L48" i="67"/>
  <c r="F54" i="67"/>
  <c r="L54" i="67" s="1"/>
  <c r="G17" i="67"/>
  <c r="H17" i="67" s="1"/>
  <c r="L18" i="67"/>
  <c r="G21" i="67"/>
  <c r="H21" i="67" s="1"/>
  <c r="G25" i="67"/>
  <c r="H25" i="67" s="1"/>
  <c r="G29" i="67"/>
  <c r="H29" i="67" s="1"/>
  <c r="G35" i="67"/>
  <c r="H35" i="67" s="1"/>
  <c r="L36" i="67"/>
  <c r="G39" i="67"/>
  <c r="H39" i="67" s="1"/>
  <c r="L40" i="67"/>
  <c r="G43" i="67"/>
  <c r="H43" i="67" s="1"/>
  <c r="L44" i="67"/>
  <c r="L47" i="67"/>
  <c r="G33" i="67"/>
  <c r="H33" i="67" s="1"/>
  <c r="L33" i="67"/>
  <c r="G19" i="67"/>
  <c r="H19" i="67" s="1"/>
  <c r="G23" i="67"/>
  <c r="H23" i="67" s="1"/>
  <c r="G34" i="67"/>
  <c r="H34" i="67" s="1"/>
  <c r="G38" i="67"/>
  <c r="H38" i="67" s="1"/>
  <c r="G15" i="67"/>
  <c r="G16" i="67"/>
  <c r="H16" i="67" s="1"/>
  <c r="G27" i="67"/>
  <c r="H27" i="67" s="1"/>
  <c r="G31" i="67"/>
  <c r="H31" i="67" s="1"/>
  <c r="G42" i="67"/>
  <c r="H42" i="67" s="1"/>
  <c r="G46" i="67"/>
  <c r="H46" i="67" s="1"/>
  <c r="G50" i="67"/>
  <c r="H50" i="67" s="1"/>
  <c r="L12" i="67"/>
  <c r="G14" i="67"/>
  <c r="H54" i="67" l="1"/>
  <c r="G54" i="67"/>
  <c r="E55" i="67" s="1"/>
  <c r="E56" i="67" l="1"/>
  <c r="H213" i="49"/>
  <c r="H214" i="49"/>
  <c r="H217" i="49"/>
  <c r="H218" i="49"/>
  <c r="H219" i="49"/>
  <c r="H220" i="49"/>
  <c r="H221" i="49"/>
  <c r="H131" i="49"/>
  <c r="H130" i="49"/>
  <c r="H129" i="49"/>
  <c r="H127" i="49"/>
  <c r="H208" i="49"/>
  <c r="J208" i="49" s="1"/>
  <c r="H126" i="49"/>
  <c r="H125" i="49"/>
  <c r="H124" i="49"/>
  <c r="H123" i="49"/>
  <c r="H122" i="49"/>
  <c r="H121" i="49"/>
  <c r="H120" i="49"/>
  <c r="E73" i="49"/>
  <c r="G73" i="49" s="1"/>
  <c r="G66" i="49" l="1"/>
  <c r="G65" i="49"/>
  <c r="G63" i="49"/>
  <c r="E61" i="49"/>
  <c r="G60" i="49"/>
  <c r="G59" i="49"/>
  <c r="G58" i="49"/>
  <c r="G56" i="49"/>
  <c r="G55" i="49"/>
  <c r="E191" i="49"/>
  <c r="G191" i="49" s="1"/>
  <c r="E8" i="49" l="1"/>
  <c r="G8" i="49" l="1"/>
  <c r="E26" i="49"/>
  <c r="E20" i="49"/>
  <c r="E13" i="49"/>
  <c r="E11" i="49"/>
  <c r="H161" i="49"/>
  <c r="E30" i="49" l="1"/>
  <c r="H216" i="49"/>
  <c r="AF132" i="58" l="1"/>
  <c r="AF133" i="58"/>
  <c r="AF134" i="58"/>
  <c r="AF135" i="58"/>
  <c r="AF136" i="58"/>
  <c r="AF137" i="58"/>
  <c r="AE132" i="58"/>
  <c r="AE133" i="58"/>
  <c r="AE134" i="58"/>
  <c r="AE135" i="58"/>
  <c r="AE136" i="58"/>
  <c r="AE137" i="58"/>
  <c r="P95" i="6" l="1"/>
  <c r="P96" i="6"/>
  <c r="P97" i="6"/>
  <c r="P98" i="6"/>
  <c r="P99" i="6"/>
  <c r="P100" i="6"/>
  <c r="P101" i="6"/>
  <c r="P102" i="6"/>
  <c r="P103" i="6"/>
  <c r="P104" i="6"/>
  <c r="P105" i="6"/>
  <c r="P106" i="6"/>
  <c r="P107" i="6"/>
  <c r="P108" i="6"/>
  <c r="P109" i="6"/>
  <c r="P110" i="6"/>
  <c r="K95" i="6"/>
  <c r="L95" i="6" s="1"/>
  <c r="K96" i="6"/>
  <c r="L96" i="6" s="1"/>
  <c r="K97" i="6"/>
  <c r="L97" i="6" s="1"/>
  <c r="K98" i="6"/>
  <c r="L98" i="6" s="1"/>
  <c r="K99" i="6"/>
  <c r="L99" i="6" s="1"/>
  <c r="K100" i="6"/>
  <c r="L100" i="6" s="1"/>
  <c r="K101" i="6"/>
  <c r="L101" i="6" s="1"/>
  <c r="K102" i="6"/>
  <c r="L102" i="6" s="1"/>
  <c r="K103" i="6"/>
  <c r="L103" i="6" s="1"/>
  <c r="K104" i="6"/>
  <c r="L104" i="6" s="1"/>
  <c r="K105" i="6"/>
  <c r="L105" i="6" s="1"/>
  <c r="K106" i="6"/>
  <c r="L106" i="6" s="1"/>
  <c r="K107" i="6"/>
  <c r="L107" i="6" s="1"/>
  <c r="K108" i="6"/>
  <c r="L108" i="6" s="1"/>
  <c r="K109" i="6"/>
  <c r="L109" i="6" s="1"/>
  <c r="K110" i="6"/>
  <c r="L110" i="6" s="1"/>
  <c r="N110" i="6" s="1"/>
  <c r="Q110" i="6" s="1"/>
  <c r="N106" i="6" l="1"/>
  <c r="Q106" i="6" s="1"/>
  <c r="O106" i="6"/>
  <c r="N98" i="6"/>
  <c r="Q98" i="6" s="1"/>
  <c r="O98" i="6"/>
  <c r="N109" i="6"/>
  <c r="Q109" i="6" s="1"/>
  <c r="O109" i="6"/>
  <c r="N105" i="6"/>
  <c r="Q105" i="6" s="1"/>
  <c r="O105" i="6"/>
  <c r="N97" i="6"/>
  <c r="Q97" i="6" s="1"/>
  <c r="O97" i="6"/>
  <c r="N108" i="6"/>
  <c r="Q108" i="6" s="1"/>
  <c r="O108" i="6"/>
  <c r="N104" i="6"/>
  <c r="Q104" i="6" s="1"/>
  <c r="N100" i="6"/>
  <c r="Q100" i="6" s="1"/>
  <c r="O100" i="6"/>
  <c r="N96" i="6"/>
  <c r="Q96" i="6" s="1"/>
  <c r="N102" i="6"/>
  <c r="Q102" i="6" s="1"/>
  <c r="N101" i="6"/>
  <c r="Q101" i="6" s="1"/>
  <c r="O101" i="6"/>
  <c r="N107" i="6"/>
  <c r="Q107" i="6" s="1"/>
  <c r="N103" i="6"/>
  <c r="Q103" i="6" s="1"/>
  <c r="N99" i="6"/>
  <c r="Q99" i="6" s="1"/>
  <c r="N95" i="6"/>
  <c r="Q95" i="6" s="1"/>
  <c r="H61" i="6"/>
  <c r="O99" i="6" l="1"/>
  <c r="O107" i="6"/>
  <c r="O102" i="6"/>
  <c r="O95" i="6"/>
  <c r="O103" i="6"/>
  <c r="O96" i="6"/>
  <c r="O104" i="6"/>
  <c r="H63" i="6"/>
  <c r="I63" i="6" s="1"/>
  <c r="P63" i="6" l="1"/>
  <c r="K63" i="6"/>
  <c r="L63" i="6" s="1"/>
  <c r="N63" i="6" l="1"/>
  <c r="Q63" i="6" s="1"/>
  <c r="H64" i="6"/>
  <c r="H65" i="6"/>
  <c r="K23" i="6"/>
  <c r="H21" i="6"/>
  <c r="H22" i="6"/>
  <c r="H23" i="6"/>
  <c r="I23" i="6" s="1"/>
  <c r="H24" i="6"/>
  <c r="P24" i="6" s="1"/>
  <c r="H25" i="6"/>
  <c r="H26" i="6"/>
  <c r="H27" i="6"/>
  <c r="I27" i="6" s="1"/>
  <c r="K27" i="6" s="1"/>
  <c r="L27" i="6" s="1"/>
  <c r="N27" i="6" s="1"/>
  <c r="H28" i="6"/>
  <c r="P28" i="6" s="1"/>
  <c r="H29" i="6"/>
  <c r="H30" i="6"/>
  <c r="H31" i="6"/>
  <c r="I31" i="6" s="1"/>
  <c r="K31" i="6" s="1"/>
  <c r="L31" i="6" s="1"/>
  <c r="N31" i="6" s="1"/>
  <c r="H32" i="6"/>
  <c r="I32" i="6" s="1"/>
  <c r="K32" i="6" s="1"/>
  <c r="L32" i="6" s="1"/>
  <c r="N32" i="6" s="1"/>
  <c r="H33" i="6"/>
  <c r="H34" i="6"/>
  <c r="H35" i="6"/>
  <c r="I35" i="6" s="1"/>
  <c r="H36" i="6"/>
  <c r="I36" i="6" s="1"/>
  <c r="K36" i="6" s="1"/>
  <c r="L36" i="6" s="1"/>
  <c r="N36" i="6" s="1"/>
  <c r="H37" i="6"/>
  <c r="H38" i="6"/>
  <c r="H39" i="6"/>
  <c r="P39" i="6" s="1"/>
  <c r="H40" i="6"/>
  <c r="I40" i="6" s="1"/>
  <c r="K40" i="6" s="1"/>
  <c r="L40" i="6" s="1"/>
  <c r="N40" i="6" s="1"/>
  <c r="H41" i="6"/>
  <c r="P41" i="6" s="1"/>
  <c r="I28" i="6" l="1"/>
  <c r="L23" i="6"/>
  <c r="N23" i="6" s="1"/>
  <c r="Q23" i="6" s="1"/>
  <c r="O63" i="6"/>
  <c r="P35" i="6"/>
  <c r="I24" i="6"/>
  <c r="P31" i="6"/>
  <c r="P27" i="6"/>
  <c r="I39" i="6"/>
  <c r="K39" i="6" s="1"/>
  <c r="L39" i="6" s="1"/>
  <c r="N39" i="6" s="1"/>
  <c r="O39" i="6" s="1"/>
  <c r="P23" i="6"/>
  <c r="O36" i="6"/>
  <c r="Q36" i="6"/>
  <c r="O32" i="6"/>
  <c r="Q32" i="6"/>
  <c r="O27" i="6"/>
  <c r="Q27" i="6"/>
  <c r="O40" i="6"/>
  <c r="Q40" i="6"/>
  <c r="P111" i="31" s="1"/>
  <c r="O31" i="6"/>
  <c r="Q31" i="6"/>
  <c r="I38" i="6"/>
  <c r="P38" i="6"/>
  <c r="I22" i="6"/>
  <c r="P22" i="6"/>
  <c r="I37" i="6"/>
  <c r="P37" i="6"/>
  <c r="I25" i="6"/>
  <c r="P25" i="6"/>
  <c r="K28" i="6"/>
  <c r="L28" i="6" s="1"/>
  <c r="N28" i="6" s="1"/>
  <c r="I34" i="6"/>
  <c r="P34" i="6"/>
  <c r="I30" i="6"/>
  <c r="P30" i="6"/>
  <c r="I26" i="6"/>
  <c r="P26" i="6"/>
  <c r="O23" i="6"/>
  <c r="I33" i="6"/>
  <c r="P33" i="6"/>
  <c r="I29" i="6"/>
  <c r="P29" i="6"/>
  <c r="I21" i="6"/>
  <c r="P21" i="6"/>
  <c r="K35" i="6"/>
  <c r="L35" i="6" s="1"/>
  <c r="N35" i="6" s="1"/>
  <c r="P40" i="6"/>
  <c r="P36" i="6"/>
  <c r="P32" i="6"/>
  <c r="Q39" i="6" l="1"/>
  <c r="K24" i="6"/>
  <c r="L24" i="6" s="1"/>
  <c r="N24" i="6" s="1"/>
  <c r="O35" i="6"/>
  <c r="Q35" i="6"/>
  <c r="K33" i="6"/>
  <c r="L33" i="6" s="1"/>
  <c r="N33" i="6" s="1"/>
  <c r="K34" i="6"/>
  <c r="L34" i="6" s="1"/>
  <c r="N34" i="6" s="1"/>
  <c r="O28" i="6"/>
  <c r="Q28" i="6"/>
  <c r="K37" i="6"/>
  <c r="L37" i="6" s="1"/>
  <c r="N37" i="6" s="1"/>
  <c r="K38" i="6"/>
  <c r="L38" i="6" s="1"/>
  <c r="N38" i="6" s="1"/>
  <c r="K29" i="6"/>
  <c r="L29" i="6" s="1"/>
  <c r="N29" i="6" s="1"/>
  <c r="K30" i="6"/>
  <c r="L30" i="6" s="1"/>
  <c r="N30" i="6" s="1"/>
  <c r="K21" i="6"/>
  <c r="L21" i="6" s="1"/>
  <c r="N21" i="6" s="1"/>
  <c r="K26" i="6"/>
  <c r="L26" i="6" s="1"/>
  <c r="N26" i="6" s="1"/>
  <c r="K25" i="6"/>
  <c r="L25" i="6" s="1"/>
  <c r="N25" i="6" s="1"/>
  <c r="K22" i="6"/>
  <c r="L22" i="6" s="1"/>
  <c r="N22" i="6" s="1"/>
  <c r="O24" i="6" l="1"/>
  <c r="Q24" i="6"/>
  <c r="Q38" i="6"/>
  <c r="P104" i="31" s="1"/>
  <c r="O38" i="6"/>
  <c r="Q21" i="6"/>
  <c r="O21" i="6"/>
  <c r="Q37" i="6"/>
  <c r="O37" i="6"/>
  <c r="Q33" i="6"/>
  <c r="O33" i="6"/>
  <c r="Q34" i="6"/>
  <c r="O34" i="6"/>
  <c r="Q22" i="6"/>
  <c r="O22" i="6"/>
  <c r="Q30" i="6"/>
  <c r="O30" i="6"/>
  <c r="Q26" i="6"/>
  <c r="O26" i="6"/>
  <c r="Q25" i="6"/>
  <c r="O25" i="6"/>
  <c r="Q29" i="6"/>
  <c r="O29" i="6"/>
  <c r="D15" i="6" l="1"/>
  <c r="F38" i="18" l="1"/>
  <c r="F39" i="18"/>
  <c r="F18" i="18"/>
  <c r="F12" i="18"/>
  <c r="F11" i="18"/>
  <c r="F10" i="18"/>
  <c r="G62" i="49" l="1"/>
  <c r="G35" i="49"/>
  <c r="E146" i="49"/>
  <c r="G146" i="49" s="1"/>
  <c r="G75" i="49"/>
  <c r="D205" i="49" s="1"/>
  <c r="G50" i="49"/>
  <c r="G34" i="49"/>
  <c r="G47" i="49"/>
  <c r="G25" i="49"/>
  <c r="H25" i="49" s="1"/>
  <c r="G29" i="49"/>
  <c r="H29" i="49" s="1"/>
  <c r="G12" i="49"/>
  <c r="H12" i="49" s="1"/>
  <c r="G26" i="49"/>
  <c r="G23" i="49"/>
  <c r="H23" i="49" s="1"/>
  <c r="G10" i="49"/>
  <c r="H10" i="49" s="1"/>
  <c r="G19" i="49"/>
  <c r="G17" i="49"/>
  <c r="H30" i="49" l="1"/>
  <c r="B27" i="64" l="1"/>
  <c r="C14" i="64"/>
  <c r="C13" i="64"/>
  <c r="C12" i="64"/>
  <c r="C11" i="64"/>
  <c r="C10" i="64"/>
  <c r="AT73" i="59" l="1"/>
  <c r="AE73" i="59"/>
  <c r="AB73" i="59"/>
  <c r="Y73" i="59"/>
  <c r="V73" i="59"/>
  <c r="S73" i="59"/>
  <c r="P73" i="59"/>
  <c r="M73" i="59"/>
  <c r="Q615" i="62" l="1"/>
  <c r="R615" i="62"/>
  <c r="G615" i="62"/>
  <c r="H615" i="62"/>
  <c r="I615" i="62"/>
  <c r="J615" i="62"/>
  <c r="K615" i="62"/>
  <c r="L615" i="62"/>
  <c r="M615" i="62"/>
  <c r="N615" i="62"/>
  <c r="O615" i="62"/>
  <c r="P615" i="62"/>
  <c r="F615" i="62"/>
  <c r="G546" i="62"/>
  <c r="H546" i="62"/>
  <c r="I546" i="62"/>
  <c r="J546" i="62"/>
  <c r="K546" i="62"/>
  <c r="L546" i="62"/>
  <c r="M546" i="62"/>
  <c r="N546" i="62"/>
  <c r="O546" i="62"/>
  <c r="P546" i="62"/>
  <c r="Q546" i="62"/>
  <c r="R546" i="62"/>
  <c r="G588" i="62"/>
  <c r="H588" i="62"/>
  <c r="I588" i="62"/>
  <c r="J588" i="62"/>
  <c r="K588" i="62"/>
  <c r="L588" i="62"/>
  <c r="M588" i="62"/>
  <c r="N588" i="62"/>
  <c r="O588" i="62"/>
  <c r="P588" i="62"/>
  <c r="Q588" i="62"/>
  <c r="R588" i="62"/>
  <c r="G685" i="62"/>
  <c r="H685" i="62"/>
  <c r="I685" i="62"/>
  <c r="J685" i="62"/>
  <c r="K685" i="62"/>
  <c r="L685" i="62"/>
  <c r="M685" i="62"/>
  <c r="N685" i="62"/>
  <c r="O685" i="62"/>
  <c r="P685" i="62"/>
  <c r="Q685" i="62"/>
  <c r="R685" i="62"/>
  <c r="G698" i="62"/>
  <c r="H698" i="62"/>
  <c r="I698" i="62"/>
  <c r="J698" i="62"/>
  <c r="K698" i="62"/>
  <c r="L698" i="62"/>
  <c r="M698" i="62"/>
  <c r="N698" i="62"/>
  <c r="O698" i="62"/>
  <c r="P698" i="62"/>
  <c r="Q698" i="62"/>
  <c r="R698" i="62"/>
  <c r="F698" i="62" l="1"/>
  <c r="S687" i="62"/>
  <c r="S683" i="62"/>
  <c r="S669" i="62"/>
  <c r="S670" i="62"/>
  <c r="S662" i="62"/>
  <c r="S663" i="62"/>
  <c r="S650" i="62"/>
  <c r="S651" i="62"/>
  <c r="S611" i="62"/>
  <c r="X611" i="62" s="1"/>
  <c r="Z611" i="62" s="1"/>
  <c r="S612" i="62"/>
  <c r="X612" i="62" s="1"/>
  <c r="Z612" i="62" s="1"/>
  <c r="S613" i="62"/>
  <c r="X613" i="62" s="1"/>
  <c r="Y613" i="62" s="1"/>
  <c r="S614" i="62"/>
  <c r="X614" i="62" s="1"/>
  <c r="Y614" i="62" s="1"/>
  <c r="S555" i="62"/>
  <c r="S581" i="62"/>
  <c r="S582" i="62"/>
  <c r="S583" i="62"/>
  <c r="S584" i="62"/>
  <c r="S585" i="62"/>
  <c r="S586" i="62"/>
  <c r="S587" i="62"/>
  <c r="F588" i="62"/>
  <c r="S556" i="62"/>
  <c r="F546" i="62"/>
  <c r="S541" i="62"/>
  <c r="X541" i="62" s="1"/>
  <c r="AB541" i="62" s="1"/>
  <c r="S542" i="62"/>
  <c r="X542" i="62" s="1"/>
  <c r="AB542" i="62" s="1"/>
  <c r="S524" i="62"/>
  <c r="V524" i="62" s="1"/>
  <c r="S525" i="62"/>
  <c r="V525" i="62" s="1"/>
  <c r="AD525" i="62" s="1"/>
  <c r="S508" i="62"/>
  <c r="V508" i="62" s="1"/>
  <c r="S509" i="62"/>
  <c r="V509" i="62" s="1"/>
  <c r="AD509" i="62" s="1"/>
  <c r="S510" i="62"/>
  <c r="V510" i="62" s="1"/>
  <c r="AD510" i="62" s="1"/>
  <c r="S499" i="62"/>
  <c r="V499" i="62" s="1"/>
  <c r="S500" i="62"/>
  <c r="V500" i="62" s="1"/>
  <c r="S501" i="62"/>
  <c r="V501" i="62" s="1"/>
  <c r="S502" i="62"/>
  <c r="S473" i="62"/>
  <c r="V473" i="62" s="1"/>
  <c r="AD473" i="62" s="1"/>
  <c r="AF473" i="62" s="1"/>
  <c r="S462" i="62"/>
  <c r="S475" i="62"/>
  <c r="V475" i="62" s="1"/>
  <c r="S463" i="62"/>
  <c r="V463" i="62" s="1"/>
  <c r="S450" i="62"/>
  <c r="S439" i="62"/>
  <c r="V439" i="62" s="1"/>
  <c r="S420" i="62"/>
  <c r="S421" i="62"/>
  <c r="V421" i="62" s="1"/>
  <c r="AD421" i="62" s="1"/>
  <c r="S422" i="62"/>
  <c r="S412" i="62"/>
  <c r="S413" i="62"/>
  <c r="S414" i="62"/>
  <c r="S415" i="62"/>
  <c r="S416" i="62"/>
  <c r="U416" i="62" s="1"/>
  <c r="S417" i="62"/>
  <c r="W417" i="62" s="1"/>
  <c r="AC417" i="62" s="1"/>
  <c r="S206" i="62"/>
  <c r="S335" i="62"/>
  <c r="W335" i="62" s="1"/>
  <c r="AC335" i="62" s="1"/>
  <c r="S336" i="62"/>
  <c r="W336" i="62" s="1"/>
  <c r="AC336" i="62" s="1"/>
  <c r="S337" i="62"/>
  <c r="S338" i="62"/>
  <c r="S339" i="62"/>
  <c r="S309" i="62"/>
  <c r="G325" i="62"/>
  <c r="H325" i="62"/>
  <c r="I325" i="62"/>
  <c r="J325" i="62"/>
  <c r="K325" i="62"/>
  <c r="L325" i="62"/>
  <c r="M325" i="62"/>
  <c r="N325" i="62"/>
  <c r="O325" i="62"/>
  <c r="P325" i="62"/>
  <c r="Q325" i="62"/>
  <c r="R325" i="62"/>
  <c r="F325" i="62"/>
  <c r="S265" i="62"/>
  <c r="S266" i="62"/>
  <c r="S267" i="62"/>
  <c r="S241" i="62"/>
  <c r="S242" i="62"/>
  <c r="S297" i="62"/>
  <c r="G298" i="62"/>
  <c r="H298" i="62"/>
  <c r="I298" i="62"/>
  <c r="J298" i="62"/>
  <c r="K298" i="62"/>
  <c r="L298" i="62"/>
  <c r="M298" i="62"/>
  <c r="N298" i="62"/>
  <c r="O298" i="62"/>
  <c r="P298" i="62"/>
  <c r="Q298" i="62"/>
  <c r="R298" i="62"/>
  <c r="F298" i="62"/>
  <c r="S278" i="62"/>
  <c r="S279" i="62"/>
  <c r="S280" i="62"/>
  <c r="S281" i="62"/>
  <c r="S282" i="62"/>
  <c r="S283" i="62"/>
  <c r="S284" i="62"/>
  <c r="S285" i="62"/>
  <c r="S286" i="62"/>
  <c r="S287" i="62"/>
  <c r="S288" i="62"/>
  <c r="S289" i="62"/>
  <c r="S290" i="62"/>
  <c r="S291" i="62"/>
  <c r="S292" i="62"/>
  <c r="S293" i="62"/>
  <c r="X293" i="62" s="1"/>
  <c r="S294" i="62"/>
  <c r="X294" i="62" s="1"/>
  <c r="S295" i="62"/>
  <c r="S296" i="62"/>
  <c r="AB296" i="62" l="1"/>
  <c r="X296" i="62"/>
  <c r="AD288" i="62"/>
  <c r="V288" i="62"/>
  <c r="AD280" i="62"/>
  <c r="V280" i="62"/>
  <c r="AD297" i="62"/>
  <c r="V297" i="62"/>
  <c r="AD499" i="62"/>
  <c r="AF499" i="62"/>
  <c r="AD582" i="62"/>
  <c r="V582" i="62"/>
  <c r="AC650" i="62"/>
  <c r="W650" i="62"/>
  <c r="AD279" i="62"/>
  <c r="U279" i="62"/>
  <c r="AD265" i="62"/>
  <c r="U265" i="62"/>
  <c r="AC414" i="62"/>
  <c r="W414" i="62"/>
  <c r="AD502" i="62"/>
  <c r="V502" i="62"/>
  <c r="AD524" i="62"/>
  <c r="AF524" i="62" s="1"/>
  <c r="AB585" i="62"/>
  <c r="X585" i="62"/>
  <c r="AC683" i="62"/>
  <c r="W683" i="62"/>
  <c r="AB278" i="62"/>
  <c r="X278" i="62"/>
  <c r="AD241" i="62"/>
  <c r="U241" i="62"/>
  <c r="AC413" i="62"/>
  <c r="W413" i="62"/>
  <c r="AD501" i="62"/>
  <c r="AF501" i="62" s="1"/>
  <c r="AB584" i="62"/>
  <c r="X584" i="62"/>
  <c r="AD555" i="62"/>
  <c r="V555" i="62"/>
  <c r="AC662" i="62"/>
  <c r="W662" i="62"/>
  <c r="AC687" i="62"/>
  <c r="W687" i="62"/>
  <c r="AD292" i="62"/>
  <c r="V292" i="62"/>
  <c r="AC339" i="62"/>
  <c r="W339" i="62"/>
  <c r="AD415" i="62"/>
  <c r="U415" i="62"/>
  <c r="AD586" i="62"/>
  <c r="V586" i="62"/>
  <c r="AC669" i="62"/>
  <c r="W669" i="62"/>
  <c r="AB295" i="62"/>
  <c r="X295" i="62"/>
  <c r="AD242" i="62"/>
  <c r="U242" i="62"/>
  <c r="AC338" i="62"/>
  <c r="W338" i="62"/>
  <c r="AD581" i="62"/>
  <c r="V581" i="62"/>
  <c r="AC663" i="62"/>
  <c r="W663" i="62"/>
  <c r="AD281" i="62"/>
  <c r="V281" i="62"/>
  <c r="AD267" i="62"/>
  <c r="U267" i="62"/>
  <c r="AC412" i="62"/>
  <c r="W412" i="62"/>
  <c r="AD439" i="62"/>
  <c r="AF439" i="62" s="1"/>
  <c r="AD462" i="62"/>
  <c r="V462" i="62"/>
  <c r="AD500" i="62"/>
  <c r="AF500" i="62" s="1"/>
  <c r="AD508" i="62"/>
  <c r="AF508" i="62"/>
  <c r="AD587" i="62"/>
  <c r="V587" i="62"/>
  <c r="AD583" i="62"/>
  <c r="V583" i="62"/>
  <c r="AC651" i="62"/>
  <c r="W651" i="62"/>
  <c r="AC670" i="62"/>
  <c r="W670" i="62"/>
  <c r="AD475" i="62"/>
  <c r="AF475" i="62" s="1"/>
  <c r="AD463" i="62"/>
  <c r="AF463" i="62" s="1"/>
  <c r="S230" i="62"/>
  <c r="S231" i="62"/>
  <c r="S219" i="62"/>
  <c r="S220" i="62"/>
  <c r="S221" i="62"/>
  <c r="S222" i="62"/>
  <c r="S203" i="62"/>
  <c r="S204" i="62"/>
  <c r="S205" i="62"/>
  <c r="S196" i="62"/>
  <c r="X196" i="62" s="1"/>
  <c r="Z196" i="62" s="1"/>
  <c r="S197" i="62"/>
  <c r="X197" i="62" s="1"/>
  <c r="Z197" i="62" s="1"/>
  <c r="F169" i="62"/>
  <c r="G169" i="62"/>
  <c r="H169" i="62"/>
  <c r="I169" i="62"/>
  <c r="J169" i="62"/>
  <c r="K169" i="62"/>
  <c r="L169" i="62"/>
  <c r="M169" i="62"/>
  <c r="N169" i="62"/>
  <c r="O169" i="62"/>
  <c r="P169" i="62"/>
  <c r="Q169" i="62"/>
  <c r="R169" i="62"/>
  <c r="S165" i="62"/>
  <c r="S166" i="62"/>
  <c r="S167" i="62"/>
  <c r="U167" i="62" s="1"/>
  <c r="S168" i="62"/>
  <c r="U168" i="62" s="1"/>
  <c r="S125" i="62"/>
  <c r="S126" i="62"/>
  <c r="S127" i="62"/>
  <c r="S128" i="62"/>
  <c r="S129" i="62"/>
  <c r="S130" i="62"/>
  <c r="S131" i="62"/>
  <c r="S132" i="62"/>
  <c r="S133" i="62"/>
  <c r="S134" i="62"/>
  <c r="S135" i="62"/>
  <c r="S136" i="62"/>
  <c r="S137" i="62"/>
  <c r="S138" i="62"/>
  <c r="S139" i="62"/>
  <c r="S140" i="62"/>
  <c r="S141" i="62"/>
  <c r="S142" i="62"/>
  <c r="U142" i="62" s="1"/>
  <c r="AD222" i="62" l="1"/>
  <c r="V222" i="62"/>
  <c r="AD230" i="62"/>
  <c r="U230" i="62"/>
  <c r="AD168" i="62"/>
  <c r="AF168" i="62"/>
  <c r="AD204" i="62"/>
  <c r="U204" i="62"/>
  <c r="AC220" i="62"/>
  <c r="W220" i="62"/>
  <c r="AF502" i="62"/>
  <c r="AF265" i="62"/>
  <c r="AD142" i="62"/>
  <c r="AF142" i="62" s="1"/>
  <c r="AD231" i="62"/>
  <c r="U231" i="62"/>
  <c r="AD205" i="62"/>
  <c r="U205" i="62"/>
  <c r="AC221" i="62"/>
  <c r="W221" i="62"/>
  <c r="AD167" i="62"/>
  <c r="AF167" i="62"/>
  <c r="AD203" i="62"/>
  <c r="U203" i="62"/>
  <c r="AC219" i="62"/>
  <c r="W219" i="62"/>
  <c r="F81" i="62"/>
  <c r="G81" i="62"/>
  <c r="H81" i="62"/>
  <c r="I81" i="62"/>
  <c r="J81" i="62"/>
  <c r="K81" i="62"/>
  <c r="L81" i="62"/>
  <c r="M81" i="62"/>
  <c r="N81" i="62"/>
  <c r="O81" i="62"/>
  <c r="P81" i="62"/>
  <c r="Q81" i="62"/>
  <c r="R81" i="62"/>
  <c r="S79" i="62"/>
  <c r="U79" i="62" s="1"/>
  <c r="AD79" i="62" s="1"/>
  <c r="S80" i="62"/>
  <c r="U80" i="62" s="1"/>
  <c r="AD80" i="62" s="1"/>
  <c r="S76" i="62"/>
  <c r="U76" i="62" s="1"/>
  <c r="AD76" i="62" s="1"/>
  <c r="S77" i="62"/>
  <c r="U77" i="62" s="1"/>
  <c r="AD77" i="62" s="1"/>
  <c r="S78" i="62"/>
  <c r="U78" i="62" s="1"/>
  <c r="AD78" i="62" s="1"/>
  <c r="S62" i="62"/>
  <c r="S49" i="62"/>
  <c r="S50" i="62"/>
  <c r="S51" i="62"/>
  <c r="S52" i="62"/>
  <c r="S53" i="62"/>
  <c r="S54" i="62"/>
  <c r="U54" i="62" s="1"/>
  <c r="S55" i="62"/>
  <c r="S56" i="62"/>
  <c r="S57" i="62"/>
  <c r="S58" i="62"/>
  <c r="F59" i="62"/>
  <c r="G59" i="62"/>
  <c r="H59" i="62"/>
  <c r="I59" i="62"/>
  <c r="J59" i="62"/>
  <c r="K59" i="62"/>
  <c r="L59" i="62"/>
  <c r="M59" i="62"/>
  <c r="N59" i="62"/>
  <c r="O59" i="62"/>
  <c r="P59" i="62"/>
  <c r="Q59" i="62"/>
  <c r="R59" i="62"/>
  <c r="S45" i="62"/>
  <c r="S42" i="62"/>
  <c r="S43" i="62"/>
  <c r="S44" i="62"/>
  <c r="S41" i="62"/>
  <c r="S23" i="62"/>
  <c r="S24" i="62"/>
  <c r="S25" i="62"/>
  <c r="S26" i="62"/>
  <c r="S27" i="62"/>
  <c r="S16" i="62"/>
  <c r="S17" i="62"/>
  <c r="X17" i="62" s="1"/>
  <c r="AD54" i="62" l="1"/>
  <c r="AF54" i="62"/>
  <c r="AY37" i="59"/>
  <c r="AY38" i="59"/>
  <c r="AY39" i="59"/>
  <c r="AY40" i="59"/>
  <c r="AY41" i="59"/>
  <c r="AY42" i="59"/>
  <c r="AX37" i="59"/>
  <c r="AX38" i="59"/>
  <c r="AX39" i="59"/>
  <c r="AX40" i="59"/>
  <c r="AX41" i="59"/>
  <c r="AX42" i="59"/>
  <c r="AT38" i="59"/>
  <c r="AT39" i="59"/>
  <c r="AT40" i="59"/>
  <c r="AT41" i="59"/>
  <c r="AT42" i="59"/>
  <c r="AT37" i="59"/>
  <c r="AT36" i="59"/>
  <c r="AT28" i="59"/>
  <c r="AT29" i="59"/>
  <c r="AT30" i="59"/>
  <c r="AT31" i="59"/>
  <c r="AT32" i="59"/>
  <c r="AT33" i="59"/>
  <c r="AT34" i="59"/>
  <c r="AT27" i="59"/>
  <c r="AQ38" i="59"/>
  <c r="AQ39" i="59"/>
  <c r="AQ40" i="59"/>
  <c r="AQ41" i="59"/>
  <c r="AQ42" i="59"/>
  <c r="AQ37" i="59"/>
  <c r="AQ36" i="59"/>
  <c r="AQ28" i="59"/>
  <c r="AQ29" i="59"/>
  <c r="AQ79" i="59" s="1"/>
  <c r="AQ30" i="59"/>
  <c r="AQ31" i="59"/>
  <c r="AQ32" i="59"/>
  <c r="AQ33" i="59"/>
  <c r="AQ34" i="59"/>
  <c r="AQ27" i="59"/>
  <c r="AN38" i="59"/>
  <c r="AN39" i="59"/>
  <c r="AN40" i="59"/>
  <c r="AN41" i="59"/>
  <c r="AN42" i="59"/>
  <c r="AN37" i="59"/>
  <c r="AN36" i="59"/>
  <c r="AN28" i="59"/>
  <c r="AN29" i="59"/>
  <c r="AN30" i="59"/>
  <c r="AN31" i="59"/>
  <c r="AN32" i="59"/>
  <c r="AN33" i="59"/>
  <c r="AN34" i="59"/>
  <c r="AN27" i="59"/>
  <c r="AK38" i="59"/>
  <c r="AK39" i="59"/>
  <c r="AK40" i="59"/>
  <c r="AK41" i="59"/>
  <c r="AK42" i="59"/>
  <c r="AK37" i="59"/>
  <c r="AK36" i="59"/>
  <c r="AK28" i="59"/>
  <c r="AK29" i="59"/>
  <c r="AK30" i="59"/>
  <c r="AK31" i="59"/>
  <c r="AK32" i="59"/>
  <c r="AK33" i="59"/>
  <c r="AK34" i="59"/>
  <c r="AK27" i="59"/>
  <c r="AH38" i="59"/>
  <c r="AH39" i="59"/>
  <c r="AH40" i="59"/>
  <c r="AH41" i="59"/>
  <c r="AH42" i="59"/>
  <c r="AH37" i="59"/>
  <c r="AH36" i="59"/>
  <c r="AH28" i="59"/>
  <c r="AH29" i="59"/>
  <c r="AH30" i="59"/>
  <c r="AH31" i="59"/>
  <c r="AH32" i="59"/>
  <c r="AH33" i="59"/>
  <c r="AH34" i="59"/>
  <c r="AH27" i="59"/>
  <c r="AE38" i="59"/>
  <c r="AE39" i="59"/>
  <c r="AE40" i="59"/>
  <c r="AE41" i="59"/>
  <c r="AE42" i="59"/>
  <c r="AE37" i="59"/>
  <c r="AE36" i="59"/>
  <c r="AE28" i="59"/>
  <c r="AE29" i="59"/>
  <c r="AE79" i="59" s="1"/>
  <c r="AE30" i="59"/>
  <c r="AE31" i="59"/>
  <c r="AE32" i="59"/>
  <c r="AE33" i="59"/>
  <c r="AE34" i="59"/>
  <c r="AE27" i="59"/>
  <c r="AB38" i="59"/>
  <c r="AB39" i="59"/>
  <c r="AB40" i="59"/>
  <c r="AB41" i="59"/>
  <c r="AB42" i="59"/>
  <c r="AB37" i="59"/>
  <c r="AB36" i="59"/>
  <c r="AB28" i="59"/>
  <c r="AB29" i="59"/>
  <c r="AB30" i="59"/>
  <c r="AB31" i="59"/>
  <c r="AB32" i="59"/>
  <c r="AB33" i="59"/>
  <c r="AB34" i="59"/>
  <c r="AB27" i="59"/>
  <c r="Y38" i="59"/>
  <c r="Y39" i="59"/>
  <c r="Y40" i="59"/>
  <c r="Y41" i="59"/>
  <c r="Y42" i="59"/>
  <c r="Y37" i="59"/>
  <c r="Y36" i="59"/>
  <c r="Y28" i="59"/>
  <c r="Y29" i="59"/>
  <c r="Y30" i="59"/>
  <c r="Y31" i="59"/>
  <c r="Y32" i="59"/>
  <c r="Y33" i="59"/>
  <c r="Y34" i="59"/>
  <c r="Y27" i="59"/>
  <c r="V38" i="59"/>
  <c r="V39" i="59"/>
  <c r="V40" i="59"/>
  <c r="V41" i="59"/>
  <c r="V42" i="59"/>
  <c r="V37" i="59"/>
  <c r="V36" i="59"/>
  <c r="V27" i="59"/>
  <c r="V28" i="59"/>
  <c r="V29" i="59"/>
  <c r="V30" i="59"/>
  <c r="V31" i="59"/>
  <c r="V32" i="59"/>
  <c r="V33" i="59"/>
  <c r="V34" i="59"/>
  <c r="V26" i="59"/>
  <c r="V43" i="59" s="1"/>
  <c r="S38" i="59"/>
  <c r="S39" i="59"/>
  <c r="S40" i="59"/>
  <c r="S41" i="59"/>
  <c r="S42" i="59"/>
  <c r="S37" i="59"/>
  <c r="S36" i="59"/>
  <c r="S27" i="59"/>
  <c r="S28" i="59"/>
  <c r="S29" i="59"/>
  <c r="S30" i="59"/>
  <c r="S31" i="59"/>
  <c r="S32" i="59"/>
  <c r="S33" i="59"/>
  <c r="S34" i="59"/>
  <c r="S26" i="59"/>
  <c r="P38" i="59"/>
  <c r="P39" i="59"/>
  <c r="P40" i="59"/>
  <c r="P41" i="59"/>
  <c r="P42" i="59"/>
  <c r="P37" i="59"/>
  <c r="P36" i="59"/>
  <c r="P27" i="59"/>
  <c r="P28" i="59"/>
  <c r="P29" i="59"/>
  <c r="P30" i="59"/>
  <c r="P31" i="59"/>
  <c r="P32" i="59"/>
  <c r="P33" i="59"/>
  <c r="P34" i="59"/>
  <c r="P26" i="59"/>
  <c r="M38" i="59"/>
  <c r="M39" i="59"/>
  <c r="M40" i="59"/>
  <c r="M41" i="59"/>
  <c r="M42" i="59"/>
  <c r="M37" i="59"/>
  <c r="M36" i="59"/>
  <c r="M27" i="59"/>
  <c r="M28" i="59"/>
  <c r="M29" i="59"/>
  <c r="M30" i="59"/>
  <c r="M31" i="59"/>
  <c r="M32" i="59"/>
  <c r="M33" i="59"/>
  <c r="M34" i="59"/>
  <c r="M26" i="59"/>
  <c r="J38" i="59"/>
  <c r="J39" i="59"/>
  <c r="J40" i="59"/>
  <c r="J41" i="59"/>
  <c r="J42" i="59"/>
  <c r="J37" i="59"/>
  <c r="J36" i="59"/>
  <c r="J27" i="59"/>
  <c r="J28" i="59"/>
  <c r="J29" i="59"/>
  <c r="J30" i="59"/>
  <c r="J31" i="59"/>
  <c r="J32" i="59"/>
  <c r="J33" i="59"/>
  <c r="J34" i="59"/>
  <c r="J26" i="59"/>
  <c r="N43" i="59"/>
  <c r="O43" i="59"/>
  <c r="Q43" i="59"/>
  <c r="R43" i="59"/>
  <c r="T43" i="59"/>
  <c r="U43" i="59"/>
  <c r="W43" i="59"/>
  <c r="X43" i="59"/>
  <c r="Z43" i="59"/>
  <c r="AA43" i="59"/>
  <c r="AC43" i="59"/>
  <c r="AD43" i="59"/>
  <c r="AF43" i="59"/>
  <c r="AG43" i="59"/>
  <c r="AI43" i="59"/>
  <c r="AJ43" i="59"/>
  <c r="AL43" i="59"/>
  <c r="AM43" i="59"/>
  <c r="AO43" i="59"/>
  <c r="AP43" i="59"/>
  <c r="AR43" i="59"/>
  <c r="AS43" i="59"/>
  <c r="AU43" i="59"/>
  <c r="AV43" i="59"/>
  <c r="K43" i="59"/>
  <c r="L43" i="59"/>
  <c r="AT19" i="59"/>
  <c r="AT20" i="59"/>
  <c r="AT21" i="59"/>
  <c r="AT22" i="59"/>
  <c r="AT18" i="59"/>
  <c r="AQ19" i="59"/>
  <c r="AQ20" i="59"/>
  <c r="AQ21" i="59"/>
  <c r="AQ22" i="59"/>
  <c r="AQ18" i="59"/>
  <c r="AN19" i="59"/>
  <c r="AN20" i="59"/>
  <c r="AN21" i="59"/>
  <c r="AN22" i="59"/>
  <c r="AN18" i="59"/>
  <c r="AK19" i="59"/>
  <c r="AK20" i="59"/>
  <c r="AK21" i="59"/>
  <c r="AK22" i="59"/>
  <c r="AK18" i="59"/>
  <c r="AH19" i="59"/>
  <c r="AH20" i="59"/>
  <c r="AH21" i="59"/>
  <c r="AH22" i="59"/>
  <c r="AH18" i="59"/>
  <c r="AE21" i="59"/>
  <c r="AE19" i="59"/>
  <c r="AE18" i="59"/>
  <c r="AB21" i="59"/>
  <c r="AB19" i="59"/>
  <c r="AB18" i="59"/>
  <c r="Y21" i="59"/>
  <c r="Y19" i="59"/>
  <c r="Y18" i="59"/>
  <c r="V21" i="59"/>
  <c r="V19" i="59"/>
  <c r="V18" i="59"/>
  <c r="S21" i="59"/>
  <c r="S19" i="59"/>
  <c r="S18" i="59"/>
  <c r="P21" i="59"/>
  <c r="P18" i="59"/>
  <c r="M21" i="59"/>
  <c r="M22" i="59"/>
  <c r="M20" i="59"/>
  <c r="M19" i="59"/>
  <c r="M18" i="59"/>
  <c r="J19" i="59"/>
  <c r="J20" i="59"/>
  <c r="J21" i="59"/>
  <c r="J22" i="59"/>
  <c r="J18" i="59"/>
  <c r="AN79" i="59" l="1"/>
  <c r="AB79" i="59"/>
  <c r="M79" i="59"/>
  <c r="P79" i="59"/>
  <c r="S79" i="59"/>
  <c r="V79" i="59"/>
  <c r="Y79" i="59"/>
  <c r="AK79" i="59"/>
  <c r="AH79" i="59"/>
  <c r="AT79" i="59"/>
  <c r="AW37" i="59"/>
  <c r="AW41" i="59"/>
  <c r="AQ43" i="59"/>
  <c r="AW40" i="59"/>
  <c r="AW39" i="59"/>
  <c r="AW42" i="59"/>
  <c r="AW38" i="59"/>
  <c r="AB43" i="59"/>
  <c r="AN43" i="59"/>
  <c r="S43" i="59"/>
  <c r="AT43" i="59"/>
  <c r="AK43" i="59"/>
  <c r="AH43" i="59"/>
  <c r="AE43" i="59"/>
  <c r="Y43" i="59"/>
  <c r="P43" i="59"/>
  <c r="M43" i="59"/>
  <c r="J43" i="59"/>
  <c r="D11" i="73" l="1"/>
  <c r="U98" i="31" l="1"/>
  <c r="L15" i="31" l="1"/>
  <c r="J16" i="4" s="1"/>
  <c r="I15" i="31"/>
  <c r="G16" i="4" s="1"/>
  <c r="J19" i="4" l="1"/>
  <c r="H21" i="70"/>
  <c r="H27" i="70" s="1"/>
  <c r="S15" i="62"/>
  <c r="S18" i="62"/>
  <c r="S19" i="62"/>
  <c r="S22" i="62"/>
  <c r="S30" i="62"/>
  <c r="S31" i="62"/>
  <c r="S38" i="62"/>
  <c r="S46" i="62"/>
  <c r="S48" i="62"/>
  <c r="S61" i="62"/>
  <c r="S63" i="62" s="1"/>
  <c r="S65" i="62"/>
  <c r="S66" i="62"/>
  <c r="S67" i="62"/>
  <c r="S68" i="62"/>
  <c r="S69" i="62"/>
  <c r="S70" i="62"/>
  <c r="S71" i="62"/>
  <c r="S72" i="62"/>
  <c r="S73" i="62"/>
  <c r="S74" i="62"/>
  <c r="S75" i="62"/>
  <c r="S83" i="62"/>
  <c r="S84" i="62"/>
  <c r="S86" i="62"/>
  <c r="S87" i="62"/>
  <c r="S88" i="62"/>
  <c r="S89" i="62"/>
  <c r="S90" i="62"/>
  <c r="S91" i="62"/>
  <c r="S92" i="62"/>
  <c r="S93" i="62"/>
  <c r="S94" i="62"/>
  <c r="S97" i="62"/>
  <c r="S100" i="62"/>
  <c r="S101" i="62"/>
  <c r="S102" i="62"/>
  <c r="S103" i="62"/>
  <c r="S104" i="62"/>
  <c r="S105" i="62"/>
  <c r="S106" i="62"/>
  <c r="S107" i="62"/>
  <c r="S108" i="62"/>
  <c r="S109" i="62"/>
  <c r="S110" i="62"/>
  <c r="S111" i="62"/>
  <c r="S112" i="62"/>
  <c r="S113" i="62"/>
  <c r="S114" i="62"/>
  <c r="S115" i="62"/>
  <c r="S116" i="62"/>
  <c r="S117" i="62"/>
  <c r="S118" i="62"/>
  <c r="S119" i="62"/>
  <c r="S124" i="62"/>
  <c r="S143" i="62"/>
  <c r="S144" i="62"/>
  <c r="S145" i="62"/>
  <c r="S146" i="62"/>
  <c r="S147" i="62"/>
  <c r="S148" i="62"/>
  <c r="S151" i="62"/>
  <c r="S152" i="62"/>
  <c r="S153" i="62"/>
  <c r="S154" i="62"/>
  <c r="S155" i="62"/>
  <c r="S156" i="62"/>
  <c r="S157" i="62"/>
  <c r="S158" i="62"/>
  <c r="S159" i="62"/>
  <c r="S160" i="62"/>
  <c r="S161" i="62"/>
  <c r="S162" i="62"/>
  <c r="S163" i="62"/>
  <c r="S164" i="62"/>
  <c r="S171" i="62"/>
  <c r="S172" i="62"/>
  <c r="S173" i="62"/>
  <c r="S174" i="62"/>
  <c r="S175" i="62"/>
  <c r="S176" i="62"/>
  <c r="S177" i="62"/>
  <c r="S178" i="62"/>
  <c r="S179" i="62"/>
  <c r="S180" i="62"/>
  <c r="S183" i="62"/>
  <c r="S184" i="62"/>
  <c r="S185" i="62"/>
  <c r="S186" i="62"/>
  <c r="S187" i="62"/>
  <c r="S188" i="62"/>
  <c r="S189" i="62"/>
  <c r="S190" i="62"/>
  <c r="S191" i="62"/>
  <c r="S192" i="62"/>
  <c r="S193" i="62"/>
  <c r="S194" i="62"/>
  <c r="S195" i="62"/>
  <c r="S198" i="62"/>
  <c r="S199" i="62"/>
  <c r="S201" i="62"/>
  <c r="S202" i="62"/>
  <c r="X202" i="62" s="1"/>
  <c r="S207" i="62"/>
  <c r="S208" i="62"/>
  <c r="S209" i="62"/>
  <c r="S210" i="62"/>
  <c r="S211" i="62"/>
  <c r="S212" i="62"/>
  <c r="S213" i="62"/>
  <c r="S214" i="62"/>
  <c r="S215" i="62"/>
  <c r="S216" i="62"/>
  <c r="S217" i="62"/>
  <c r="S218" i="62"/>
  <c r="S223" i="62"/>
  <c r="AD223" i="62" s="1"/>
  <c r="S226" i="62"/>
  <c r="S227" i="62" s="1"/>
  <c r="S229" i="62"/>
  <c r="S232" i="62"/>
  <c r="S233" i="62"/>
  <c r="S234" i="62"/>
  <c r="S235" i="62"/>
  <c r="S236" i="62"/>
  <c r="X236" i="62" s="1"/>
  <c r="AB236" i="62" s="1"/>
  <c r="S237" i="62"/>
  <c r="X237" i="62" s="1"/>
  <c r="AB237" i="62" s="1"/>
  <c r="S238" i="62"/>
  <c r="X238" i="62" s="1"/>
  <c r="AB238" i="62" s="1"/>
  <c r="S239" i="62"/>
  <c r="X239" i="62" s="1"/>
  <c r="AB239" i="62" s="1"/>
  <c r="S240" i="62"/>
  <c r="X240" i="62" s="1"/>
  <c r="AB240" i="62" s="1"/>
  <c r="S243" i="62"/>
  <c r="S244" i="62"/>
  <c r="S245" i="62"/>
  <c r="S246" i="62"/>
  <c r="S247" i="62"/>
  <c r="S248" i="62"/>
  <c r="S249" i="62"/>
  <c r="S250" i="62"/>
  <c r="S251" i="62"/>
  <c r="S252" i="62"/>
  <c r="S253" i="62"/>
  <c r="S254" i="62"/>
  <c r="S255" i="62"/>
  <c r="S256" i="62"/>
  <c r="S257" i="62"/>
  <c r="S258" i="62"/>
  <c r="S259" i="62"/>
  <c r="S260" i="62"/>
  <c r="S261" i="62"/>
  <c r="S262" i="62"/>
  <c r="S263" i="62"/>
  <c r="S264" i="62"/>
  <c r="S268" i="62"/>
  <c r="S269" i="62"/>
  <c r="S270" i="62"/>
  <c r="S271" i="62"/>
  <c r="S272" i="62"/>
  <c r="S273" i="62"/>
  <c r="S274" i="62"/>
  <c r="S275" i="62"/>
  <c r="S276" i="62"/>
  <c r="S277" i="62"/>
  <c r="S300" i="62"/>
  <c r="S301" i="62"/>
  <c r="S302" i="62"/>
  <c r="S303" i="62"/>
  <c r="S306" i="62"/>
  <c r="S307" i="62"/>
  <c r="S310" i="62"/>
  <c r="S311" i="62"/>
  <c r="S312" i="62"/>
  <c r="S313" i="62"/>
  <c r="S314" i="62"/>
  <c r="S315" i="62"/>
  <c r="S316" i="62"/>
  <c r="S317" i="62"/>
  <c r="S318" i="62"/>
  <c r="S319" i="62"/>
  <c r="S320" i="62"/>
  <c r="S321" i="62"/>
  <c r="S322" i="62"/>
  <c r="S323" i="62"/>
  <c r="S324" i="62"/>
  <c r="S327" i="62"/>
  <c r="S328" i="62"/>
  <c r="S329" i="62"/>
  <c r="S332" i="62"/>
  <c r="S333" i="62"/>
  <c r="S334" i="62"/>
  <c r="S340" i="62"/>
  <c r="S341" i="62"/>
  <c r="S342" i="62"/>
  <c r="S343" i="62"/>
  <c r="S344" i="62"/>
  <c r="S345" i="62"/>
  <c r="S346" i="62"/>
  <c r="S347" i="62"/>
  <c r="S350" i="62"/>
  <c r="S351" i="62"/>
  <c r="S352" i="62"/>
  <c r="S353" i="62"/>
  <c r="S354" i="62"/>
  <c r="S355" i="62"/>
  <c r="S356" i="62"/>
  <c r="S357" i="62"/>
  <c r="S358" i="62"/>
  <c r="S359" i="62"/>
  <c r="S360" i="62"/>
  <c r="S361" i="62"/>
  <c r="S362" i="62"/>
  <c r="S363" i="62"/>
  <c r="S364" i="62"/>
  <c r="S365" i="62"/>
  <c r="S366" i="62"/>
  <c r="S367" i="62"/>
  <c r="S368" i="62"/>
  <c r="S369" i="62"/>
  <c r="S370" i="62"/>
  <c r="S374" i="62"/>
  <c r="S375" i="62"/>
  <c r="S376" i="62"/>
  <c r="S377" i="62"/>
  <c r="S378" i="62"/>
  <c r="S379" i="62"/>
  <c r="S380" i="62"/>
  <c r="S381" i="62"/>
  <c r="S382" i="62"/>
  <c r="S383" i="62"/>
  <c r="S386" i="62"/>
  <c r="S387" i="62" s="1"/>
  <c r="S392" i="62"/>
  <c r="S393" i="62"/>
  <c r="S394" i="62"/>
  <c r="S395" i="62"/>
  <c r="S396" i="62"/>
  <c r="S397" i="62"/>
  <c r="S398" i="62"/>
  <c r="S401" i="62"/>
  <c r="S402" i="62"/>
  <c r="S403" i="62"/>
  <c r="S404" i="62"/>
  <c r="S405" i="62"/>
  <c r="S406" i="62"/>
  <c r="S407" i="62"/>
  <c r="S408" i="62"/>
  <c r="S409" i="62"/>
  <c r="S410" i="62"/>
  <c r="S411" i="62"/>
  <c r="S418" i="62"/>
  <c r="S424" i="62"/>
  <c r="S425" i="62"/>
  <c r="S427" i="62"/>
  <c r="S428" i="62"/>
  <c r="S429" i="62"/>
  <c r="S430" i="62"/>
  <c r="S431" i="62"/>
  <c r="S432" i="62"/>
  <c r="S433" i="62"/>
  <c r="S434" i="62"/>
  <c r="S435" i="62"/>
  <c r="S436" i="62"/>
  <c r="S437" i="62"/>
  <c r="S438" i="62"/>
  <c r="S440" i="62"/>
  <c r="S442" i="62"/>
  <c r="S443" i="62"/>
  <c r="S444" i="62"/>
  <c r="S445" i="62"/>
  <c r="S446" i="62"/>
  <c r="S447" i="62"/>
  <c r="S449" i="62"/>
  <c r="S453" i="62"/>
  <c r="S454" i="62"/>
  <c r="S455" i="62"/>
  <c r="S456" i="62"/>
  <c r="S464" i="62"/>
  <c r="S465" i="62"/>
  <c r="S466" i="62"/>
  <c r="S467" i="62"/>
  <c r="S468" i="62"/>
  <c r="S469" i="62"/>
  <c r="S470" i="62"/>
  <c r="S471" i="62"/>
  <c r="S472" i="62"/>
  <c r="S474" i="62"/>
  <c r="S476" i="62"/>
  <c r="S477" i="62"/>
  <c r="S478" i="62"/>
  <c r="S479" i="62"/>
  <c r="S480" i="62"/>
  <c r="S481" i="62"/>
  <c r="S482" i="62"/>
  <c r="S483" i="62"/>
  <c r="S484" i="62"/>
  <c r="S485" i="62"/>
  <c r="S486" i="62"/>
  <c r="S487" i="62"/>
  <c r="S488" i="62"/>
  <c r="S489" i="62"/>
  <c r="S490" i="62"/>
  <c r="S491" i="62"/>
  <c r="S492" i="62"/>
  <c r="S493" i="62"/>
  <c r="S494" i="62"/>
  <c r="S495" i="62"/>
  <c r="S496" i="62"/>
  <c r="S497" i="62"/>
  <c r="S498" i="62"/>
  <c r="S503" i="62"/>
  <c r="S504" i="62"/>
  <c r="S505" i="62"/>
  <c r="S506" i="62"/>
  <c r="S507" i="62"/>
  <c r="S511" i="62"/>
  <c r="S512" i="62"/>
  <c r="S513" i="62"/>
  <c r="S514" i="62"/>
  <c r="S515" i="62"/>
  <c r="S516" i="62"/>
  <c r="S517" i="62"/>
  <c r="S518" i="62"/>
  <c r="S519" i="62"/>
  <c r="S520" i="62"/>
  <c r="S521" i="62"/>
  <c r="S522" i="62"/>
  <c r="S523" i="62"/>
  <c r="S526" i="62"/>
  <c r="S527" i="62"/>
  <c r="S528" i="62"/>
  <c r="S529" i="62"/>
  <c r="S530" i="62"/>
  <c r="S531" i="62"/>
  <c r="S532" i="62"/>
  <c r="S533" i="62"/>
  <c r="S534" i="62"/>
  <c r="S535" i="62"/>
  <c r="S536" i="62"/>
  <c r="S537" i="62"/>
  <c r="S538" i="62"/>
  <c r="S539" i="62"/>
  <c r="S540" i="62"/>
  <c r="S543" i="62"/>
  <c r="S544" i="62"/>
  <c r="V544" i="62" s="1"/>
  <c r="S545" i="62"/>
  <c r="V545" i="62" s="1"/>
  <c r="S548" i="62"/>
  <c r="S549" i="62"/>
  <c r="S550" i="62"/>
  <c r="S551" i="62"/>
  <c r="S552" i="62"/>
  <c r="S553" i="62"/>
  <c r="S554" i="62"/>
  <c r="S557" i="62"/>
  <c r="S558" i="62"/>
  <c r="S559" i="62"/>
  <c r="S560" i="62"/>
  <c r="S561" i="62"/>
  <c r="S562" i="62"/>
  <c r="S563" i="62"/>
  <c r="S564" i="62"/>
  <c r="S565" i="62"/>
  <c r="S566" i="62"/>
  <c r="S567" i="62"/>
  <c r="S568" i="62"/>
  <c r="S569" i="62"/>
  <c r="V569" i="62" s="1"/>
  <c r="S570" i="62"/>
  <c r="V570" i="62" s="1"/>
  <c r="S571" i="62"/>
  <c r="S572" i="62"/>
  <c r="S573" i="62"/>
  <c r="S574" i="62"/>
  <c r="S575" i="62"/>
  <c r="S576" i="62"/>
  <c r="S577" i="62"/>
  <c r="S578" i="62"/>
  <c r="S579" i="62"/>
  <c r="S580" i="62"/>
  <c r="S590" i="62"/>
  <c r="S591" i="62"/>
  <c r="S592" i="62"/>
  <c r="S593" i="62"/>
  <c r="S594" i="62"/>
  <c r="AB594" i="62" s="1"/>
  <c r="S595" i="62"/>
  <c r="S596" i="62"/>
  <c r="AB596" i="62" s="1"/>
  <c r="S597" i="62"/>
  <c r="AB597" i="62" s="1"/>
  <c r="S598" i="62"/>
  <c r="S599" i="62"/>
  <c r="AB599" i="62" s="1"/>
  <c r="S600" i="62"/>
  <c r="S601" i="62"/>
  <c r="S602" i="62"/>
  <c r="S603" i="62"/>
  <c r="S604" i="62"/>
  <c r="AB604" i="62" s="1"/>
  <c r="S605" i="62"/>
  <c r="S606" i="62"/>
  <c r="AB606" i="62" s="1"/>
  <c r="S607" i="62"/>
  <c r="AB607" i="62" s="1"/>
  <c r="S608" i="62"/>
  <c r="S609" i="62"/>
  <c r="AB609" i="62" s="1"/>
  <c r="S610" i="62"/>
  <c r="AD610" i="62" s="1"/>
  <c r="S617" i="62"/>
  <c r="S618" i="62"/>
  <c r="S619" i="62"/>
  <c r="S620" i="62"/>
  <c r="S621" i="62"/>
  <c r="S622" i="62"/>
  <c r="S623" i="62"/>
  <c r="S624" i="62"/>
  <c r="S625" i="62"/>
  <c r="S626" i="62"/>
  <c r="S627" i="62"/>
  <c r="S628" i="62"/>
  <c r="S629" i="62"/>
  <c r="S630" i="62"/>
  <c r="S631" i="62"/>
  <c r="S632" i="62"/>
  <c r="S633" i="62"/>
  <c r="S634" i="62"/>
  <c r="S635" i="62"/>
  <c r="S636" i="62"/>
  <c r="S637" i="62"/>
  <c r="S638" i="62"/>
  <c r="S639" i="62"/>
  <c r="S640" i="62"/>
  <c r="S641" i="62"/>
  <c r="S642" i="62"/>
  <c r="S643" i="62"/>
  <c r="S644" i="62"/>
  <c r="S645" i="62"/>
  <c r="S646" i="62"/>
  <c r="S647" i="62"/>
  <c r="S648" i="62"/>
  <c r="S649" i="62"/>
  <c r="S652" i="62"/>
  <c r="S653" i="62"/>
  <c r="S654" i="62"/>
  <c r="S655" i="62"/>
  <c r="S656" i="62"/>
  <c r="S657" i="62"/>
  <c r="S658" i="62"/>
  <c r="S659" i="62"/>
  <c r="S660" i="62"/>
  <c r="S661" i="62"/>
  <c r="S664" i="62"/>
  <c r="S665" i="62"/>
  <c r="S666" i="62"/>
  <c r="S667" i="62"/>
  <c r="S668" i="62"/>
  <c r="S671" i="62"/>
  <c r="S672" i="62"/>
  <c r="S673" i="62"/>
  <c r="S674" i="62"/>
  <c r="S675" i="62"/>
  <c r="S676" i="62"/>
  <c r="S677" i="62"/>
  <c r="S678" i="62"/>
  <c r="S679" i="62"/>
  <c r="S680" i="62"/>
  <c r="S681" i="62"/>
  <c r="S682" i="62"/>
  <c r="S684" i="62"/>
  <c r="S688" i="62"/>
  <c r="S689" i="62"/>
  <c r="S690" i="62"/>
  <c r="S691" i="62"/>
  <c r="S692" i="62"/>
  <c r="S693" i="62"/>
  <c r="S694" i="62"/>
  <c r="S695" i="62"/>
  <c r="S696" i="62"/>
  <c r="S697" i="62"/>
  <c r="S698" i="62" l="1"/>
  <c r="K15" i="31"/>
  <c r="I16" i="4" s="1"/>
  <c r="S615" i="62"/>
  <c r="S588" i="62"/>
  <c r="S546" i="62"/>
  <c r="S419" i="62"/>
  <c r="S224" i="62"/>
  <c r="S325" i="62"/>
  <c r="S298" i="62"/>
  <c r="S169" i="62"/>
  <c r="S81" i="62"/>
  <c r="S28" i="62"/>
  <c r="S20" i="62"/>
  <c r="S330" i="62"/>
  <c r="S399" i="62"/>
  <c r="S32" i="62"/>
  <c r="AB271" i="62"/>
  <c r="X271" i="62"/>
  <c r="S371" i="62"/>
  <c r="AB186" i="62"/>
  <c r="X186" i="62"/>
  <c r="S120" i="62"/>
  <c r="S59" i="62"/>
  <c r="S384" i="62"/>
  <c r="S348" i="62"/>
  <c r="X199" i="62"/>
  <c r="Y199" i="62" s="1"/>
  <c r="X193" i="62"/>
  <c r="AB193" i="62"/>
  <c r="X189" i="62"/>
  <c r="AB189" i="62"/>
  <c r="X185" i="62"/>
  <c r="S149" i="62"/>
  <c r="X190" i="62"/>
  <c r="AB190" i="62"/>
  <c r="S685" i="62"/>
  <c r="S451" i="62"/>
  <c r="S304" i="62"/>
  <c r="X198" i="62"/>
  <c r="Y198" i="62" s="1"/>
  <c r="X192" i="62"/>
  <c r="Z192" i="62" s="1"/>
  <c r="AB184" i="62"/>
  <c r="X184" i="62"/>
  <c r="S181" i="62"/>
  <c r="S95" i="62"/>
  <c r="S457" i="62"/>
  <c r="X191" i="62"/>
  <c r="Z191" i="62" s="1"/>
  <c r="AB183" i="62"/>
  <c r="X183" i="62"/>
  <c r="AC697" i="62"/>
  <c r="AC696" i="62"/>
  <c r="AC695" i="62"/>
  <c r="AC694" i="62"/>
  <c r="AC693" i="62"/>
  <c r="AC692" i="62"/>
  <c r="AC691" i="62"/>
  <c r="AC690" i="62"/>
  <c r="AC689" i="62"/>
  <c r="AC688" i="62"/>
  <c r="AC684" i="62"/>
  <c r="AC682" i="62"/>
  <c r="AC681" i="62"/>
  <c r="AC680" i="62"/>
  <c r="AC679" i="62"/>
  <c r="AC678" i="62"/>
  <c r="AC677" i="62"/>
  <c r="AC676" i="62"/>
  <c r="AC675" i="62"/>
  <c r="AC674" i="62"/>
  <c r="AC673" i="62"/>
  <c r="AC672" i="62"/>
  <c r="AC671" i="62"/>
  <c r="AC668" i="62"/>
  <c r="AC667" i="62"/>
  <c r="AC666" i="62"/>
  <c r="AC665" i="62"/>
  <c r="AC664" i="62"/>
  <c r="AC661" i="62"/>
  <c r="AC660" i="62"/>
  <c r="AC659" i="62"/>
  <c r="AC658" i="62"/>
  <c r="AC657" i="62"/>
  <c r="AC656" i="62"/>
  <c r="AC655" i="62"/>
  <c r="AC654" i="62"/>
  <c r="AC653" i="62"/>
  <c r="AC652" i="62"/>
  <c r="AC649" i="62"/>
  <c r="AC648" i="62"/>
  <c r="AC647" i="62"/>
  <c r="AC646" i="62"/>
  <c r="AC645" i="62"/>
  <c r="AC644" i="62"/>
  <c r="AC643" i="62"/>
  <c r="AC642" i="62"/>
  <c r="AC641" i="62"/>
  <c r="AC640" i="62"/>
  <c r="AC639" i="62"/>
  <c r="AC638" i="62"/>
  <c r="AC637" i="62"/>
  <c r="AC636" i="62"/>
  <c r="AC635" i="62"/>
  <c r="AC634" i="62"/>
  <c r="AC633" i="62"/>
  <c r="AC632" i="62"/>
  <c r="AC631" i="62"/>
  <c r="AC630" i="62"/>
  <c r="AC629" i="62"/>
  <c r="AC628" i="62"/>
  <c r="AC627" i="62"/>
  <c r="AC626" i="62"/>
  <c r="AC625" i="62"/>
  <c r="AC624" i="62"/>
  <c r="AC623" i="62"/>
  <c r="AC622" i="62"/>
  <c r="AC621" i="62"/>
  <c r="AC620" i="62"/>
  <c r="AC619" i="62"/>
  <c r="AC618" i="62"/>
  <c r="AC617" i="62"/>
  <c r="AB602" i="62"/>
  <c r="AB601" i="62"/>
  <c r="X602" i="62"/>
  <c r="X601" i="62"/>
  <c r="AF697" i="62"/>
  <c r="AF696" i="62"/>
  <c r="AF695" i="62"/>
  <c r="AF694" i="62"/>
  <c r="AF693" i="62"/>
  <c r="AF692" i="62"/>
  <c r="AF691" i="62"/>
  <c r="AF690" i="62"/>
  <c r="AF689" i="62"/>
  <c r="AF688" i="62"/>
  <c r="AF686" i="62"/>
  <c r="AF685" i="62"/>
  <c r="AF684" i="62"/>
  <c r="AF682" i="62"/>
  <c r="AF681" i="62"/>
  <c r="AF680" i="62"/>
  <c r="AF679" i="62"/>
  <c r="AF678" i="62"/>
  <c r="AF677" i="62"/>
  <c r="AF676" i="62"/>
  <c r="AF675" i="62"/>
  <c r="AF674" i="62"/>
  <c r="AF673" i="62"/>
  <c r="AF672" i="62"/>
  <c r="AF671" i="62"/>
  <c r="AF668" i="62"/>
  <c r="AF667" i="62"/>
  <c r="AF666" i="62"/>
  <c r="AF665" i="62"/>
  <c r="AF664" i="62"/>
  <c r="AF661" i="62"/>
  <c r="AF660" i="62"/>
  <c r="AF659" i="62"/>
  <c r="AF658" i="62"/>
  <c r="AF657" i="62"/>
  <c r="AF656" i="62"/>
  <c r="AF655" i="62"/>
  <c r="AF654" i="62"/>
  <c r="AF653" i="62"/>
  <c r="AF652" i="62"/>
  <c r="AF649" i="62"/>
  <c r="AF648" i="62"/>
  <c r="AF647" i="62"/>
  <c r="AF646" i="62"/>
  <c r="AF645" i="62"/>
  <c r="AF644" i="62"/>
  <c r="AF643" i="62"/>
  <c r="AF642" i="62"/>
  <c r="AF641" i="62"/>
  <c r="AF640" i="62"/>
  <c r="AF639" i="62"/>
  <c r="AF638" i="62"/>
  <c r="AF637" i="62"/>
  <c r="AF636" i="62"/>
  <c r="AF635" i="62"/>
  <c r="AF634" i="62"/>
  <c r="AF633" i="62"/>
  <c r="AF632" i="62"/>
  <c r="AF631" i="62"/>
  <c r="AF630" i="62"/>
  <c r="AF629" i="62"/>
  <c r="AF628" i="62"/>
  <c r="AF627" i="62"/>
  <c r="AF626" i="62"/>
  <c r="AF625" i="62"/>
  <c r="AF624" i="62"/>
  <c r="AF623" i="62"/>
  <c r="AF622" i="62"/>
  <c r="AF621" i="62"/>
  <c r="AF620" i="62"/>
  <c r="AF619" i="62"/>
  <c r="AF618" i="62"/>
  <c r="AF617" i="62"/>
  <c r="AF616" i="62"/>
  <c r="AF615" i="62"/>
  <c r="AF603" i="62"/>
  <c r="AF602" i="62"/>
  <c r="AF601" i="62"/>
  <c r="AF600" i="62"/>
  <c r="AF599" i="62"/>
  <c r="AF598" i="62"/>
  <c r="AF597" i="62"/>
  <c r="AF596" i="62"/>
  <c r="AF595" i="62"/>
  <c r="AF594" i="62"/>
  <c r="AF593" i="62"/>
  <c r="AF592" i="62"/>
  <c r="AF591" i="62"/>
  <c r="AF590" i="62"/>
  <c r="AF589" i="62"/>
  <c r="AF588" i="62"/>
  <c r="AF580" i="62"/>
  <c r="AF577" i="62"/>
  <c r="AF576" i="62"/>
  <c r="AF575" i="62"/>
  <c r="AF574" i="62"/>
  <c r="AF573" i="62"/>
  <c r="AF572" i="62"/>
  <c r="AF571" i="62"/>
  <c r="AF561" i="62"/>
  <c r="AF560" i="62"/>
  <c r="AF559" i="62"/>
  <c r="AF558" i="62"/>
  <c r="AF557" i="62"/>
  <c r="AF556" i="62"/>
  <c r="AF554" i="62"/>
  <c r="AF547" i="62"/>
  <c r="AF546" i="62"/>
  <c r="AF532" i="62"/>
  <c r="AF487" i="62"/>
  <c r="AF486" i="62"/>
  <c r="AF485" i="62"/>
  <c r="AF460" i="62"/>
  <c r="AF459" i="62"/>
  <c r="AF458" i="62"/>
  <c r="AF457" i="62"/>
  <c r="AF452" i="62"/>
  <c r="AF451" i="62"/>
  <c r="AF449" i="62"/>
  <c r="AF448" i="62"/>
  <c r="AF447" i="62"/>
  <c r="AF446" i="62"/>
  <c r="AF445" i="62"/>
  <c r="AF444" i="62"/>
  <c r="AF443" i="62"/>
  <c r="AF442" i="62"/>
  <c r="AF426" i="62"/>
  <c r="AF425" i="62"/>
  <c r="AF424" i="62"/>
  <c r="AF420" i="62"/>
  <c r="AF419" i="62"/>
  <c r="AF418" i="62"/>
  <c r="AF416" i="62"/>
  <c r="AF411" i="62"/>
  <c r="AF410" i="62"/>
  <c r="AF409" i="62"/>
  <c r="AF408" i="62"/>
  <c r="AF407" i="62"/>
  <c r="AF406" i="62"/>
  <c r="AF405" i="62"/>
  <c r="AF404" i="62"/>
  <c r="AF403" i="62"/>
  <c r="AF402" i="62"/>
  <c r="AF401" i="62"/>
  <c r="AF400" i="62"/>
  <c r="AF399" i="62"/>
  <c r="AF398" i="62"/>
  <c r="AF397" i="62"/>
  <c r="AF396" i="62"/>
  <c r="AF395" i="62"/>
  <c r="AF394" i="62"/>
  <c r="AF393" i="62"/>
  <c r="AF392" i="62"/>
  <c r="AF391" i="62"/>
  <c r="AF390" i="62"/>
  <c r="AF389" i="62"/>
  <c r="AF388" i="62"/>
  <c r="AF387" i="62"/>
  <c r="AF386" i="62"/>
  <c r="AF385" i="62"/>
  <c r="AF384" i="62"/>
  <c r="AF383" i="62"/>
  <c r="AF382" i="62"/>
  <c r="AF381" i="62"/>
  <c r="AF380" i="62"/>
  <c r="AF379" i="62"/>
  <c r="AF378" i="62"/>
  <c r="AF377" i="62"/>
  <c r="AF376" i="62"/>
  <c r="AF375" i="62"/>
  <c r="AF374" i="62"/>
  <c r="AF373" i="62"/>
  <c r="AF372" i="62"/>
  <c r="AF371" i="62"/>
  <c r="AF370" i="62"/>
  <c r="AF369" i="62"/>
  <c r="AF368" i="62"/>
  <c r="AF367" i="62"/>
  <c r="AF366" i="62"/>
  <c r="AF365" i="62"/>
  <c r="AF364" i="62"/>
  <c r="AF363" i="62"/>
  <c r="AF362" i="62"/>
  <c r="AF361" i="62"/>
  <c r="AF360" i="62"/>
  <c r="AF359" i="62"/>
  <c r="AF358" i="62"/>
  <c r="AF357" i="62"/>
  <c r="AF356" i="62"/>
  <c r="AF355" i="62"/>
  <c r="AF354" i="62"/>
  <c r="AF353" i="62"/>
  <c r="AF352" i="62"/>
  <c r="AF351" i="62"/>
  <c r="AF350" i="62"/>
  <c r="AF349" i="62"/>
  <c r="AF348" i="62"/>
  <c r="AF347" i="62"/>
  <c r="AF346" i="62"/>
  <c r="AF345" i="62"/>
  <c r="AF344" i="62"/>
  <c r="AF343" i="62"/>
  <c r="AF342" i="62"/>
  <c r="AF341" i="62"/>
  <c r="AF340" i="62"/>
  <c r="AF337" i="62"/>
  <c r="AF334" i="62"/>
  <c r="AF333" i="62"/>
  <c r="AF332" i="62"/>
  <c r="AF331" i="62"/>
  <c r="AF330" i="62"/>
  <c r="AF329" i="62"/>
  <c r="AF328" i="62"/>
  <c r="AF327" i="62"/>
  <c r="AF326" i="62"/>
  <c r="AF325" i="62"/>
  <c r="AF324" i="62"/>
  <c r="AF323" i="62"/>
  <c r="AF322" i="62"/>
  <c r="AF321" i="62"/>
  <c r="AF320" i="62"/>
  <c r="AF319" i="62"/>
  <c r="AF318" i="62"/>
  <c r="AF317" i="62"/>
  <c r="AF316" i="62"/>
  <c r="AF315" i="62"/>
  <c r="AF314" i="62"/>
  <c r="AF313" i="62"/>
  <c r="AF312" i="62"/>
  <c r="AF311" i="62"/>
  <c r="AF310" i="62"/>
  <c r="AF309" i="62"/>
  <c r="AF307" i="62"/>
  <c r="AF306" i="62"/>
  <c r="AF305" i="62"/>
  <c r="AF304" i="62"/>
  <c r="AF303" i="62"/>
  <c r="AF302" i="62"/>
  <c r="AF301" i="62"/>
  <c r="AF300" i="62"/>
  <c r="AF299" i="62"/>
  <c r="AF298" i="62"/>
  <c r="AF294" i="62"/>
  <c r="AF293" i="62"/>
  <c r="AF292" i="62"/>
  <c r="AF291" i="62"/>
  <c r="AF290" i="62"/>
  <c r="AF289" i="62"/>
  <c r="AF288" i="62"/>
  <c r="AF287" i="62"/>
  <c r="AF286" i="62"/>
  <c r="AF285" i="62"/>
  <c r="AF284" i="62"/>
  <c r="AF283" i="62"/>
  <c r="AF282" i="62"/>
  <c r="AF277" i="62"/>
  <c r="AF274" i="62"/>
  <c r="AF270" i="62"/>
  <c r="AF269" i="62"/>
  <c r="AF268" i="62"/>
  <c r="AF228" i="62"/>
  <c r="AF227" i="62"/>
  <c r="AF226" i="62"/>
  <c r="AF225" i="62"/>
  <c r="AF224" i="62"/>
  <c r="AF223" i="62"/>
  <c r="AF218" i="62"/>
  <c r="AF217" i="62"/>
  <c r="AF216" i="62"/>
  <c r="AF215" i="62"/>
  <c r="AF214" i="62"/>
  <c r="AF213" i="62"/>
  <c r="AF212" i="62"/>
  <c r="AF211" i="62"/>
  <c r="AF210" i="62"/>
  <c r="AF209" i="62"/>
  <c r="AF208" i="62"/>
  <c r="AF207" i="62"/>
  <c r="AF206" i="62"/>
  <c r="AF202" i="62"/>
  <c r="AF201" i="62"/>
  <c r="AF182" i="62"/>
  <c r="AF181" i="62"/>
  <c r="AF170" i="62"/>
  <c r="AF169" i="62"/>
  <c r="AF150" i="62"/>
  <c r="AF149" i="62"/>
  <c r="AF123" i="62"/>
  <c r="AF122" i="62"/>
  <c r="AF121" i="62"/>
  <c r="AF120" i="62"/>
  <c r="AF100" i="62"/>
  <c r="AF99" i="62"/>
  <c r="AF98" i="62"/>
  <c r="AF97" i="62"/>
  <c r="AF96" i="62"/>
  <c r="AF95" i="62"/>
  <c r="AF94" i="62"/>
  <c r="AF93" i="62"/>
  <c r="AF92" i="62"/>
  <c r="AF91" i="62"/>
  <c r="AF90" i="62"/>
  <c r="AF89" i="62"/>
  <c r="AF88" i="62"/>
  <c r="AF87" i="62"/>
  <c r="AF86" i="62"/>
  <c r="AF85" i="62"/>
  <c r="AF82" i="62"/>
  <c r="AF81" i="62"/>
  <c r="AF64" i="62"/>
  <c r="AF63" i="62"/>
  <c r="AF60" i="62"/>
  <c r="AF59" i="62"/>
  <c r="AF47" i="62"/>
  <c r="AF46" i="62"/>
  <c r="AF44" i="62"/>
  <c r="AF43" i="62"/>
  <c r="AF42" i="62"/>
  <c r="AF41" i="62"/>
  <c r="AF40" i="62"/>
  <c r="AF39" i="62"/>
  <c r="AF37" i="62"/>
  <c r="AF36" i="62"/>
  <c r="AF35" i="62"/>
  <c r="AF34" i="62"/>
  <c r="AF33" i="62"/>
  <c r="AF32" i="62"/>
  <c r="AF31" i="62"/>
  <c r="AF30" i="62"/>
  <c r="AF29" i="62"/>
  <c r="AF28" i="62"/>
  <c r="AF27" i="62"/>
  <c r="AF26" i="62"/>
  <c r="AF23" i="62"/>
  <c r="AF22" i="62"/>
  <c r="AF21" i="62"/>
  <c r="AF20" i="62"/>
  <c r="AF19" i="62"/>
  <c r="AF18" i="62"/>
  <c r="AF15" i="62"/>
  <c r="AD48" i="62"/>
  <c r="AB591" i="62"/>
  <c r="AB592" i="62"/>
  <c r="AB577" i="62"/>
  <c r="AB576" i="62"/>
  <c r="AB575" i="62"/>
  <c r="AB574" i="62"/>
  <c r="AB573" i="62"/>
  <c r="AB572" i="62"/>
  <c r="AB571" i="62"/>
  <c r="AB568" i="62"/>
  <c r="AB567" i="62"/>
  <c r="X577" i="62"/>
  <c r="X576" i="62"/>
  <c r="X575" i="62"/>
  <c r="X574" i="62"/>
  <c r="X573" i="62"/>
  <c r="X572" i="62"/>
  <c r="X571" i="62"/>
  <c r="X568" i="62"/>
  <c r="X567" i="62"/>
  <c r="AC386" i="62"/>
  <c r="AC383" i="62"/>
  <c r="AC382" i="62"/>
  <c r="AC381" i="62"/>
  <c r="AC380" i="62"/>
  <c r="AC379" i="62"/>
  <c r="AC378" i="62"/>
  <c r="AC377" i="62"/>
  <c r="AC376" i="62"/>
  <c r="AC375" i="62"/>
  <c r="AC374" i="62"/>
  <c r="AC370" i="62"/>
  <c r="AC369" i="62"/>
  <c r="AC368" i="62"/>
  <c r="AC367" i="62"/>
  <c r="AC366" i="62"/>
  <c r="AC365" i="62"/>
  <c r="AC364" i="62"/>
  <c r="AC363" i="62"/>
  <c r="AC362" i="62"/>
  <c r="AC361" i="62"/>
  <c r="AC360" i="62"/>
  <c r="AC359" i="62"/>
  <c r="AC358" i="62"/>
  <c r="AC357" i="62"/>
  <c r="AC356" i="62"/>
  <c r="AC355" i="62"/>
  <c r="AC354" i="62"/>
  <c r="AC353" i="62"/>
  <c r="AC352" i="62"/>
  <c r="AC351" i="62"/>
  <c r="AC350" i="62"/>
  <c r="AC347" i="62"/>
  <c r="AC346" i="62"/>
  <c r="AC345" i="62"/>
  <c r="AC344" i="62"/>
  <c r="AC343" i="62"/>
  <c r="AC342" i="62"/>
  <c r="AC341" i="62"/>
  <c r="AC340" i="62"/>
  <c r="AC337" i="62"/>
  <c r="AC334" i="62"/>
  <c r="AC333" i="62"/>
  <c r="AC329" i="62"/>
  <c r="AC328" i="62"/>
  <c r="AC327" i="62"/>
  <c r="AC324" i="62"/>
  <c r="AC323" i="62"/>
  <c r="AC322" i="62"/>
  <c r="AC321" i="62"/>
  <c r="AC320" i="62"/>
  <c r="AC319" i="62"/>
  <c r="AC318" i="62"/>
  <c r="AC317" i="62"/>
  <c r="AC316" i="62"/>
  <c r="AC315" i="62"/>
  <c r="AC314" i="62"/>
  <c r="AC313" i="62"/>
  <c r="AC312" i="62"/>
  <c r="AC311" i="62"/>
  <c r="AC310" i="62"/>
  <c r="AC309" i="62"/>
  <c r="AC307" i="62"/>
  <c r="AC306" i="62"/>
  <c r="AC303" i="62"/>
  <c r="AC302" i="62"/>
  <c r="AC301" i="62"/>
  <c r="AC300" i="62"/>
  <c r="AD276" i="62"/>
  <c r="AD275" i="62"/>
  <c r="U276" i="62"/>
  <c r="U275" i="62"/>
  <c r="U273" i="62"/>
  <c r="U272" i="62"/>
  <c r="S459" i="62" l="1"/>
  <c r="S700" i="62" s="1"/>
  <c r="S34" i="62"/>
  <c r="S36" i="62" s="1"/>
  <c r="S99" i="62"/>
  <c r="S122" i="62" s="1"/>
  <c r="AF275" i="62"/>
  <c r="AF276" i="62"/>
  <c r="AC92" i="58"/>
  <c r="W680" i="62" l="1"/>
  <c r="W681" i="62"/>
  <c r="X85" i="62" l="1"/>
  <c r="W689" i="62" l="1"/>
  <c r="W666" i="62"/>
  <c r="W667" i="62"/>
  <c r="W668" i="62"/>
  <c r="X599" i="62"/>
  <c r="V549" i="62"/>
  <c r="V550" i="62"/>
  <c r="X551" i="62"/>
  <c r="X552" i="62"/>
  <c r="X553" i="62"/>
  <c r="X557" i="62"/>
  <c r="X558" i="62"/>
  <c r="X559" i="62"/>
  <c r="X560" i="62"/>
  <c r="X561" i="62"/>
  <c r="AB553" i="62" l="1"/>
  <c r="AF553" i="62" s="1"/>
  <c r="AD549" i="62"/>
  <c r="AF549" i="62" s="1"/>
  <c r="AB552" i="62"/>
  <c r="AF552" i="62" s="1"/>
  <c r="AB551" i="62"/>
  <c r="AF551" i="62" s="1"/>
  <c r="AD550" i="62"/>
  <c r="AF550" i="62" s="1"/>
  <c r="X554" i="62"/>
  <c r="X597" i="62"/>
  <c r="X593" i="62"/>
  <c r="X594" i="62"/>
  <c r="X596" i="62"/>
  <c r="X592" i="62"/>
  <c r="X598" i="62"/>
  <c r="Z598" i="62" s="1"/>
  <c r="X595" i="62"/>
  <c r="X591" i="62"/>
  <c r="V518" i="62"/>
  <c r="V519" i="62"/>
  <c r="V520" i="62"/>
  <c r="V521" i="62"/>
  <c r="V522" i="62"/>
  <c r="V523" i="62"/>
  <c r="V526" i="62"/>
  <c r="V527" i="62"/>
  <c r="V454" i="62"/>
  <c r="AD518" i="62" l="1"/>
  <c r="AF518" i="62" s="1"/>
  <c r="AD523" i="62"/>
  <c r="AF523" i="62" s="1"/>
  <c r="AD454" i="62"/>
  <c r="AF454" i="62" s="1"/>
  <c r="AD521" i="62"/>
  <c r="AF521" i="62" s="1"/>
  <c r="AD519" i="62"/>
  <c r="AF519" i="62" s="1"/>
  <c r="AD522" i="62"/>
  <c r="AF522" i="62" s="1"/>
  <c r="AD527" i="62"/>
  <c r="AF527" i="62" s="1"/>
  <c r="AD526" i="62"/>
  <c r="AF526" i="62" s="1"/>
  <c r="AD520" i="62"/>
  <c r="AF520" i="62" s="1"/>
  <c r="W377" i="62"/>
  <c r="W360" i="62"/>
  <c r="W361" i="62"/>
  <c r="W362" i="62"/>
  <c r="W363" i="62"/>
  <c r="W364" i="62"/>
  <c r="W365" i="62"/>
  <c r="W366" i="62"/>
  <c r="W367" i="62"/>
  <c r="W368" i="62"/>
  <c r="W369" i="62"/>
  <c r="W345" i="62"/>
  <c r="U264" i="62"/>
  <c r="AB276" i="62"/>
  <c r="X277" i="62"/>
  <c r="AB277" i="62" s="1"/>
  <c r="X282" i="62"/>
  <c r="AB282" i="62" s="1"/>
  <c r="X283" i="62"/>
  <c r="AB283" i="62" s="1"/>
  <c r="X284" i="62"/>
  <c r="AB284" i="62" s="1"/>
  <c r="X285" i="62"/>
  <c r="AB285" i="62" s="1"/>
  <c r="X286" i="62"/>
  <c r="AB286" i="62" s="1"/>
  <c r="X287" i="62"/>
  <c r="AB287" i="62" s="1"/>
  <c r="AB288" i="62"/>
  <c r="X289" i="62"/>
  <c r="AB289" i="62" s="1"/>
  <c r="X290" i="62"/>
  <c r="AB290" i="62" s="1"/>
  <c r="X291" i="62"/>
  <c r="AB291" i="62" s="1"/>
  <c r="X269" i="62" l="1"/>
  <c r="AB269" i="62"/>
  <c r="AB270" i="62"/>
  <c r="X270" i="62"/>
  <c r="U187" i="62" l="1"/>
  <c r="U188" i="62"/>
  <c r="U194" i="62"/>
  <c r="U195" i="62"/>
  <c r="U156" i="62"/>
  <c r="U157" i="62"/>
  <c r="U158" i="62"/>
  <c r="U139" i="62"/>
  <c r="U140" i="62"/>
  <c r="U48" i="62"/>
  <c r="AF48" i="62" s="1"/>
  <c r="AD198" i="62" l="1"/>
  <c r="AF198" i="62" s="1"/>
  <c r="AD188" i="62"/>
  <c r="AF188" i="62" s="1"/>
  <c r="AD189" i="62"/>
  <c r="AF189" i="62" s="1"/>
  <c r="AD139" i="62"/>
  <c r="AF139" i="62" s="1"/>
  <c r="AD199" i="62"/>
  <c r="AF199" i="62" s="1"/>
  <c r="AD193" i="62"/>
  <c r="AF193" i="62" s="1"/>
  <c r="AD158" i="62"/>
  <c r="AF158" i="62" s="1"/>
  <c r="AD192" i="62"/>
  <c r="AF192" i="62" s="1"/>
  <c r="AD157" i="62"/>
  <c r="AF157" i="62" s="1"/>
  <c r="AD195" i="62"/>
  <c r="AF195" i="62" s="1"/>
  <c r="AD191" i="62"/>
  <c r="AF191" i="62" s="1"/>
  <c r="AD187" i="62"/>
  <c r="AF187" i="62" s="1"/>
  <c r="AD140" i="62"/>
  <c r="AF140" i="62" s="1"/>
  <c r="AD156" i="62"/>
  <c r="AF156" i="62" s="1"/>
  <c r="AD194" i="62"/>
  <c r="AF194" i="62" s="1"/>
  <c r="AD190" i="62"/>
  <c r="AF190" i="62" s="1"/>
  <c r="AD186" i="62"/>
  <c r="AF186" i="62" s="1"/>
  <c r="X201" i="62"/>
  <c r="AB201" i="62"/>
  <c r="AX31" i="59" l="1"/>
  <c r="AX32" i="59"/>
  <c r="AX33" i="59"/>
  <c r="AX34" i="59"/>
  <c r="AX35" i="59"/>
  <c r="AX36" i="59"/>
  <c r="AX19" i="59"/>
  <c r="AX20" i="59"/>
  <c r="AX21" i="59"/>
  <c r="AW72" i="59" l="1"/>
  <c r="J73" i="59"/>
  <c r="J79" i="59" s="1"/>
  <c r="J63" i="59"/>
  <c r="J78" i="59" s="1"/>
  <c r="M63" i="59"/>
  <c r="M78" i="59" s="1"/>
  <c r="P63" i="59"/>
  <c r="P78" i="59" s="1"/>
  <c r="S63" i="59"/>
  <c r="S78" i="59" s="1"/>
  <c r="V63" i="59"/>
  <c r="V78" i="59" s="1"/>
  <c r="Y63" i="59"/>
  <c r="Y78" i="59" s="1"/>
  <c r="AB63" i="59"/>
  <c r="AB78" i="59" s="1"/>
  <c r="AE63" i="59"/>
  <c r="AE78" i="59" s="1"/>
  <c r="AH63" i="59"/>
  <c r="AH78" i="59" s="1"/>
  <c r="AK63" i="59"/>
  <c r="AK78" i="59" s="1"/>
  <c r="AN63" i="59"/>
  <c r="AN78" i="59" s="1"/>
  <c r="AQ63" i="59"/>
  <c r="AQ78" i="59" s="1"/>
  <c r="AT63" i="59"/>
  <c r="AT78" i="59" s="1"/>
  <c r="AW55" i="59"/>
  <c r="AW56" i="59"/>
  <c r="AW57" i="59"/>
  <c r="AW58" i="59"/>
  <c r="AW59" i="59"/>
  <c r="AW60" i="59"/>
  <c r="AW61" i="59"/>
  <c r="AW62" i="59"/>
  <c r="AW65" i="59"/>
  <c r="AW66" i="59"/>
  <c r="AW67" i="59"/>
  <c r="AW68" i="59"/>
  <c r="AW69" i="59"/>
  <c r="AW70" i="59"/>
  <c r="AW46" i="59"/>
  <c r="AW47" i="59"/>
  <c r="AW48" i="59"/>
  <c r="AW49" i="59"/>
  <c r="AW50" i="59"/>
  <c r="AW51" i="59"/>
  <c r="AW52" i="59"/>
  <c r="P53" i="59"/>
  <c r="P77" i="59" s="1"/>
  <c r="S53" i="59"/>
  <c r="S77" i="59" s="1"/>
  <c r="V53" i="59"/>
  <c r="V77" i="59" s="1"/>
  <c r="Y53" i="59"/>
  <c r="Y77" i="59" s="1"/>
  <c r="AB53" i="59"/>
  <c r="AB77" i="59" s="1"/>
  <c r="AE53" i="59"/>
  <c r="AE77" i="59" s="1"/>
  <c r="AH53" i="59"/>
  <c r="AH77" i="59" s="1"/>
  <c r="AK53" i="59"/>
  <c r="AK77" i="59" s="1"/>
  <c r="AN53" i="59"/>
  <c r="AN77" i="59" s="1"/>
  <c r="AQ53" i="59"/>
  <c r="AQ77" i="59" s="1"/>
  <c r="AT53" i="59"/>
  <c r="AT77" i="59" s="1"/>
  <c r="J53" i="59"/>
  <c r="J77" i="59" s="1"/>
  <c r="M53" i="59"/>
  <c r="M77" i="59" s="1"/>
  <c r="AQ80" i="59" l="1"/>
  <c r="AN80" i="59"/>
  <c r="AB80" i="59"/>
  <c r="AE80" i="59"/>
  <c r="S80" i="59"/>
  <c r="P80" i="59"/>
  <c r="J80" i="59"/>
  <c r="AT80" i="59"/>
  <c r="AH80" i="59"/>
  <c r="V80" i="59"/>
  <c r="M80" i="59"/>
  <c r="AK80" i="59"/>
  <c r="Y80" i="59"/>
  <c r="AW63" i="59"/>
  <c r="AW53" i="59"/>
  <c r="B30" i="64" l="1"/>
  <c r="N115" i="31" s="1"/>
  <c r="B25" i="64"/>
  <c r="C15" i="64"/>
  <c r="H44" i="6" l="1"/>
  <c r="I44" i="6" s="1"/>
  <c r="K44" i="6" s="1"/>
  <c r="L44" i="6" s="1"/>
  <c r="P44" i="6" l="1"/>
  <c r="M61" i="31" s="1"/>
  <c r="N44" i="6"/>
  <c r="Q44" i="6" s="1"/>
  <c r="O44" i="6" l="1"/>
  <c r="P88" i="6" l="1"/>
  <c r="P89" i="6"/>
  <c r="P90" i="6"/>
  <c r="P91" i="6"/>
  <c r="P92" i="6"/>
  <c r="P93" i="6"/>
  <c r="P94" i="6"/>
  <c r="F169" i="58" l="1"/>
  <c r="F168" i="58"/>
  <c r="F163" i="58"/>
  <c r="F162" i="58"/>
  <c r="AF138" i="58"/>
  <c r="AF139" i="58"/>
  <c r="AF140" i="58"/>
  <c r="AF141" i="58"/>
  <c r="AF142" i="58"/>
  <c r="AF143" i="58"/>
  <c r="AF144" i="58"/>
  <c r="AF145" i="58"/>
  <c r="AF146" i="58"/>
  <c r="AF147" i="58"/>
  <c r="AE138" i="58"/>
  <c r="AE139" i="58"/>
  <c r="AE140" i="58"/>
  <c r="AE141" i="58"/>
  <c r="AE142" i="58"/>
  <c r="AE143" i="58"/>
  <c r="AE144" i="58"/>
  <c r="AE145" i="58"/>
  <c r="AE146" i="58"/>
  <c r="AE147" i="58"/>
  <c r="AF89" i="58"/>
  <c r="AF90" i="58"/>
  <c r="AE89" i="58"/>
  <c r="AE90" i="58"/>
  <c r="AF46" i="58"/>
  <c r="AE46" i="58"/>
  <c r="F47" i="58"/>
  <c r="G47" i="58"/>
  <c r="H47" i="58"/>
  <c r="I47" i="58"/>
  <c r="J47" i="58"/>
  <c r="K47" i="58"/>
  <c r="L47" i="58"/>
  <c r="M47" i="58"/>
  <c r="N47" i="58"/>
  <c r="O47" i="58"/>
  <c r="P47" i="58"/>
  <c r="Q47" i="58"/>
  <c r="R47" i="58"/>
  <c r="S47" i="58"/>
  <c r="T47" i="58"/>
  <c r="U47" i="58"/>
  <c r="V47" i="58"/>
  <c r="W47" i="58"/>
  <c r="X47" i="58"/>
  <c r="Y47" i="58"/>
  <c r="Z47" i="58"/>
  <c r="AA47" i="58"/>
  <c r="AB47" i="58"/>
  <c r="AC47" i="58"/>
  <c r="AD47" i="58"/>
  <c r="E47" i="58"/>
  <c r="AY30" i="59" l="1"/>
  <c r="AY31" i="59"/>
  <c r="AY32" i="59"/>
  <c r="AY33" i="59"/>
  <c r="AY34" i="59"/>
  <c r="AY35" i="59"/>
  <c r="AY36" i="59"/>
  <c r="AX30" i="59"/>
  <c r="AW30" i="59"/>
  <c r="AW31" i="59"/>
  <c r="AW32" i="59"/>
  <c r="AW33" i="59"/>
  <c r="AW34" i="59"/>
  <c r="AW35" i="59"/>
  <c r="AW36" i="59"/>
  <c r="AW77" i="59" l="1"/>
  <c r="R5" i="59"/>
  <c r="AB5" i="59" s="1"/>
  <c r="AP5" i="59" s="1"/>
  <c r="R3" i="59"/>
  <c r="AB3" i="59" s="1"/>
  <c r="AP3" i="59" s="1"/>
  <c r="R2" i="59"/>
  <c r="AB2" i="59" s="1"/>
  <c r="AP2" i="59" s="1"/>
  <c r="B64" i="6" l="1"/>
  <c r="B62" i="6" l="1"/>
  <c r="B61" i="6"/>
  <c r="B60" i="6"/>
  <c r="B59" i="6"/>
  <c r="B57" i="6"/>
  <c r="B55" i="6"/>
  <c r="B53" i="6"/>
  <c r="B47" i="6"/>
  <c r="H46" i="6" l="1"/>
  <c r="H45" i="6"/>
  <c r="K81" i="6" l="1"/>
  <c r="L81" i="6" s="1"/>
  <c r="N81" i="6" s="1"/>
  <c r="H48" i="6"/>
  <c r="K82" i="6" l="1"/>
  <c r="L82" i="6" s="1"/>
  <c r="N82" i="6" s="1"/>
  <c r="H49" i="6"/>
  <c r="K83" i="6" l="1"/>
  <c r="L83" i="6" s="1"/>
  <c r="N83" i="6" s="1"/>
  <c r="K84" i="6" l="1"/>
  <c r="L84" i="6" s="1"/>
  <c r="N84" i="6" s="1"/>
  <c r="K85" i="6" l="1"/>
  <c r="L85" i="6" s="1"/>
  <c r="N85" i="6" s="1"/>
  <c r="P99" i="31" l="1"/>
  <c r="U99" i="31" s="1"/>
  <c r="P88" i="31"/>
  <c r="P97" i="31"/>
  <c r="P100" i="31" s="1"/>
  <c r="K86" i="6"/>
  <c r="L86" i="6" s="1"/>
  <c r="N86" i="6" s="1"/>
  <c r="F35" i="18"/>
  <c r="F36" i="18"/>
  <c r="F37" i="18"/>
  <c r="F29" i="18"/>
  <c r="F30" i="18"/>
  <c r="F31" i="18"/>
  <c r="F32" i="18"/>
  <c r="F33" i="18"/>
  <c r="F34" i="18"/>
  <c r="F28" i="18"/>
  <c r="K87" i="6" l="1"/>
  <c r="L87" i="6" s="1"/>
  <c r="N87" i="6" s="1"/>
  <c r="J220" i="49"/>
  <c r="K88" i="6" l="1"/>
  <c r="L88" i="6" s="1"/>
  <c r="N88" i="6" s="1"/>
  <c r="J221" i="49"/>
  <c r="J219" i="49"/>
  <c r="J218" i="49"/>
  <c r="J217" i="49"/>
  <c r="J213" i="49"/>
  <c r="Q88" i="6" l="1"/>
  <c r="E195" i="49"/>
  <c r="G74" i="49"/>
  <c r="H74" i="49" s="1"/>
  <c r="G71" i="49"/>
  <c r="G72" i="49"/>
  <c r="O88" i="6" l="1"/>
  <c r="K89" i="6"/>
  <c r="L89" i="6" s="1"/>
  <c r="N89" i="6" s="1"/>
  <c r="G67" i="49"/>
  <c r="H67" i="49" s="1"/>
  <c r="G68" i="49"/>
  <c r="H68" i="49" s="1"/>
  <c r="G70" i="49"/>
  <c r="H70" i="49" s="1"/>
  <c r="G64" i="49"/>
  <c r="H64" i="49" s="1"/>
  <c r="G49" i="49"/>
  <c r="G57" i="49"/>
  <c r="G69" i="49"/>
  <c r="H69" i="49" s="1"/>
  <c r="G52" i="49"/>
  <c r="H52" i="49" s="1"/>
  <c r="H210" i="49" l="1"/>
  <c r="J210" i="49" s="1"/>
  <c r="H49" i="49"/>
  <c r="Q89" i="6"/>
  <c r="K90" i="6"/>
  <c r="L90" i="6" s="1"/>
  <c r="N90" i="6" s="1"/>
  <c r="Q90" i="6" l="1"/>
  <c r="K91" i="6"/>
  <c r="L91" i="6" s="1"/>
  <c r="N91" i="6" s="1"/>
  <c r="O89" i="6"/>
  <c r="G21" i="49"/>
  <c r="H206" i="49" s="1"/>
  <c r="J206" i="49" s="1"/>
  <c r="O90" i="6" l="1"/>
  <c r="Q91" i="6"/>
  <c r="K92" i="6"/>
  <c r="L92" i="6" s="1"/>
  <c r="N92" i="6" s="1"/>
  <c r="O91" i="6" l="1"/>
  <c r="Q92" i="6"/>
  <c r="K93" i="6"/>
  <c r="L93" i="6" s="1"/>
  <c r="N93" i="6" s="1"/>
  <c r="G145" i="31"/>
  <c r="G146" i="31"/>
  <c r="G147" i="31"/>
  <c r="G148" i="31"/>
  <c r="G143" i="31"/>
  <c r="O92" i="6" l="1"/>
  <c r="Q93" i="6"/>
  <c r="K94" i="6"/>
  <c r="L94" i="6" s="1"/>
  <c r="N94" i="6" s="1"/>
  <c r="F27" i="31"/>
  <c r="G26" i="31"/>
  <c r="E27" i="31"/>
  <c r="Q94" i="6" l="1"/>
  <c r="O93" i="6"/>
  <c r="O94" i="6" l="1"/>
  <c r="P87" i="6"/>
  <c r="P86" i="6"/>
  <c r="P85" i="6"/>
  <c r="P84" i="6"/>
  <c r="P83" i="6"/>
  <c r="P82" i="6"/>
  <c r="P81" i="6"/>
  <c r="P80" i="6"/>
  <c r="P79" i="6"/>
  <c r="P78" i="6"/>
  <c r="P77" i="6"/>
  <c r="P76" i="6"/>
  <c r="P75" i="6"/>
  <c r="N135" i="31"/>
  <c r="M135" i="31"/>
  <c r="N121" i="31"/>
  <c r="N123" i="31" s="1"/>
  <c r="N107" i="31"/>
  <c r="M107" i="31"/>
  <c r="N100" i="31"/>
  <c r="M100" i="31"/>
  <c r="N93" i="31"/>
  <c r="N84" i="31"/>
  <c r="N72" i="31"/>
  <c r="N51" i="31"/>
  <c r="M51" i="31"/>
  <c r="N37" i="31"/>
  <c r="M37" i="31"/>
  <c r="N27" i="31"/>
  <c r="M27" i="31"/>
  <c r="N17" i="31"/>
  <c r="M17" i="31"/>
  <c r="W697" i="62"/>
  <c r="W696" i="62"/>
  <c r="W695" i="62"/>
  <c r="W694" i="62"/>
  <c r="W693" i="62"/>
  <c r="W692" i="62"/>
  <c r="W691" i="62"/>
  <c r="W690" i="62"/>
  <c r="F685" i="62"/>
  <c r="W684" i="62"/>
  <c r="W682" i="62"/>
  <c r="W679" i="62"/>
  <c r="W678" i="62"/>
  <c r="W677" i="62"/>
  <c r="W676" i="62"/>
  <c r="W675" i="62"/>
  <c r="W674" i="62"/>
  <c r="W673" i="62"/>
  <c r="W672" i="62"/>
  <c r="W671" i="62"/>
  <c r="W665" i="62"/>
  <c r="W664" i="62"/>
  <c r="W661" i="62"/>
  <c r="W660" i="62"/>
  <c r="W659" i="62"/>
  <c r="W658" i="62"/>
  <c r="W657" i="62"/>
  <c r="W656" i="62"/>
  <c r="W655" i="62"/>
  <c r="W654" i="62"/>
  <c r="W653" i="62"/>
  <c r="W652" i="62"/>
  <c r="W649" i="62"/>
  <c r="W648" i="62"/>
  <c r="W647" i="62"/>
  <c r="W646" i="62"/>
  <c r="W645" i="62"/>
  <c r="W644" i="62"/>
  <c r="W643" i="62"/>
  <c r="W642" i="62"/>
  <c r="W641" i="62"/>
  <c r="W640" i="62"/>
  <c r="W639" i="62"/>
  <c r="W638" i="62"/>
  <c r="W637" i="62"/>
  <c r="W636" i="62"/>
  <c r="W635" i="62"/>
  <c r="W634" i="62"/>
  <c r="W633" i="62"/>
  <c r="W632" i="62"/>
  <c r="W631" i="62"/>
  <c r="W630" i="62"/>
  <c r="W629" i="62"/>
  <c r="W628" i="62"/>
  <c r="W627" i="62"/>
  <c r="W626" i="62"/>
  <c r="W625" i="62"/>
  <c r="W624" i="62"/>
  <c r="W623" i="62"/>
  <c r="W622" i="62"/>
  <c r="W621" i="62"/>
  <c r="W620" i="62"/>
  <c r="W619" i="62"/>
  <c r="W618" i="62"/>
  <c r="W617" i="62"/>
  <c r="V610" i="62"/>
  <c r="X609" i="62"/>
  <c r="X608" i="62"/>
  <c r="Z608" i="62" s="1"/>
  <c r="X607" i="62"/>
  <c r="V605" i="62"/>
  <c r="V579" i="62"/>
  <c r="V578" i="62"/>
  <c r="AD570" i="62"/>
  <c r="AF570" i="62" s="1"/>
  <c r="AD569" i="62"/>
  <c r="AF569" i="62" s="1"/>
  <c r="AD568" i="62"/>
  <c r="AF568" i="62" s="1"/>
  <c r="AD567" i="62"/>
  <c r="AF567" i="62" s="1"/>
  <c r="V566" i="62"/>
  <c r="V565" i="62"/>
  <c r="V564" i="62"/>
  <c r="V563" i="62"/>
  <c r="V562" i="62"/>
  <c r="AD545" i="62"/>
  <c r="AF545" i="62" s="1"/>
  <c r="AD544" i="62"/>
  <c r="AF544" i="62" s="1"/>
  <c r="AD543" i="62"/>
  <c r="AF543" i="62" s="1"/>
  <c r="X543" i="62"/>
  <c r="AB543" i="62" s="1"/>
  <c r="AD540" i="62"/>
  <c r="AF540" i="62" s="1"/>
  <c r="X540" i="62"/>
  <c r="AB540" i="62" s="1"/>
  <c r="AD539" i="62"/>
  <c r="AF539" i="62" s="1"/>
  <c r="X539" i="62"/>
  <c r="AB539" i="62" s="1"/>
  <c r="AD538" i="62"/>
  <c r="AF538" i="62" s="1"/>
  <c r="X538" i="62"/>
  <c r="AB538" i="62" s="1"/>
  <c r="AD537" i="62"/>
  <c r="AF537" i="62" s="1"/>
  <c r="X537" i="62"/>
  <c r="AB537" i="62" s="1"/>
  <c r="AD536" i="62"/>
  <c r="AF536" i="62" s="1"/>
  <c r="X536" i="62"/>
  <c r="AB536" i="62" s="1"/>
  <c r="AD535" i="62"/>
  <c r="AF535" i="62" s="1"/>
  <c r="X535" i="62"/>
  <c r="AB535" i="62" s="1"/>
  <c r="AD534" i="62"/>
  <c r="AF534" i="62" s="1"/>
  <c r="X534" i="62"/>
  <c r="AB534" i="62" s="1"/>
  <c r="AD533" i="62"/>
  <c r="AF533" i="62" s="1"/>
  <c r="X533" i="62"/>
  <c r="AB533" i="62" s="1"/>
  <c r="X532" i="62"/>
  <c r="AB532" i="62" s="1"/>
  <c r="V531" i="62"/>
  <c r="V530" i="62"/>
  <c r="V529" i="62"/>
  <c r="V528" i="62"/>
  <c r="V517" i="62"/>
  <c r="V516" i="62"/>
  <c r="V515" i="62"/>
  <c r="V514" i="62"/>
  <c r="V513" i="62"/>
  <c r="V512" i="62"/>
  <c r="V511" i="62"/>
  <c r="V507" i="62"/>
  <c r="V506" i="62"/>
  <c r="V505" i="62"/>
  <c r="V504" i="62"/>
  <c r="V503" i="62"/>
  <c r="V498" i="62"/>
  <c r="V497" i="62"/>
  <c r="V496" i="62"/>
  <c r="V495" i="62"/>
  <c r="V494" i="62"/>
  <c r="V493" i="62"/>
  <c r="V492" i="62"/>
  <c r="V491" i="62"/>
  <c r="V490" i="62"/>
  <c r="V489" i="62"/>
  <c r="V488" i="62"/>
  <c r="X487" i="62"/>
  <c r="AB487" i="62" s="1"/>
  <c r="X486" i="62"/>
  <c r="AB486" i="62" s="1"/>
  <c r="W485" i="62"/>
  <c r="AC485" i="62" s="1"/>
  <c r="V484" i="62"/>
  <c r="AD483" i="62"/>
  <c r="AD482" i="62"/>
  <c r="V481" i="62"/>
  <c r="V480" i="62"/>
  <c r="V479" i="62"/>
  <c r="V478" i="62"/>
  <c r="V477" i="62"/>
  <c r="V476" i="62"/>
  <c r="V474" i="62"/>
  <c r="V472" i="62"/>
  <c r="V471" i="62"/>
  <c r="V470" i="62"/>
  <c r="V469" i="62"/>
  <c r="V468" i="62"/>
  <c r="V467" i="62"/>
  <c r="V466" i="62"/>
  <c r="V465" i="62"/>
  <c r="R457" i="62"/>
  <c r="Q457" i="62"/>
  <c r="P457" i="62"/>
  <c r="O457" i="62"/>
  <c r="N457" i="62"/>
  <c r="M457" i="62"/>
  <c r="L457" i="62"/>
  <c r="K457" i="62"/>
  <c r="J457" i="62"/>
  <c r="I457" i="62"/>
  <c r="H457" i="62"/>
  <c r="G457" i="62"/>
  <c r="F457" i="62"/>
  <c r="V456" i="62"/>
  <c r="V455" i="62"/>
  <c r="V453" i="62"/>
  <c r="R451" i="62"/>
  <c r="R459" i="62" s="1"/>
  <c r="Q451" i="62"/>
  <c r="Q459" i="62" s="1"/>
  <c r="P451" i="62"/>
  <c r="P459" i="62" s="1"/>
  <c r="O451" i="62"/>
  <c r="O459" i="62" s="1"/>
  <c r="N451" i="62"/>
  <c r="N459" i="62" s="1"/>
  <c r="M451" i="62"/>
  <c r="M459" i="62" s="1"/>
  <c r="L451" i="62"/>
  <c r="L459" i="62" s="1"/>
  <c r="K451" i="62"/>
  <c r="K459" i="62" s="1"/>
  <c r="J451" i="62"/>
  <c r="J459" i="62" s="1"/>
  <c r="I451" i="62"/>
  <c r="I459" i="62" s="1"/>
  <c r="H451" i="62"/>
  <c r="H459" i="62" s="1"/>
  <c r="G451" i="62"/>
  <c r="G459" i="62" s="1"/>
  <c r="F451" i="62"/>
  <c r="F459" i="62" s="1"/>
  <c r="AB449" i="62"/>
  <c r="X446" i="62"/>
  <c r="AB445" i="62"/>
  <c r="AB444" i="62"/>
  <c r="X442" i="62"/>
  <c r="AD441" i="62"/>
  <c r="AF441" i="62" s="1"/>
  <c r="V440" i="62"/>
  <c r="V438" i="62"/>
  <c r="V437" i="62"/>
  <c r="V436" i="62"/>
  <c r="V435" i="62"/>
  <c r="V434" i="62"/>
  <c r="V433" i="62"/>
  <c r="V432" i="62"/>
  <c r="V431" i="62"/>
  <c r="V430" i="62"/>
  <c r="V429" i="62"/>
  <c r="V428" i="62"/>
  <c r="V427" i="62"/>
  <c r="AC425" i="62"/>
  <c r="AC424" i="62"/>
  <c r="R419" i="62"/>
  <c r="Q419" i="62"/>
  <c r="P419" i="62"/>
  <c r="O419" i="62"/>
  <c r="N419" i="62"/>
  <c r="M419" i="62"/>
  <c r="L419" i="62"/>
  <c r="K419" i="62"/>
  <c r="J419" i="62"/>
  <c r="I419" i="62"/>
  <c r="H419" i="62"/>
  <c r="G419" i="62"/>
  <c r="F419" i="62"/>
  <c r="AD416" i="62"/>
  <c r="AC410" i="62"/>
  <c r="AC409" i="62"/>
  <c r="AC408" i="62"/>
  <c r="AC406" i="62"/>
  <c r="AC405" i="62"/>
  <c r="AC404" i="62"/>
  <c r="AC402" i="62"/>
  <c r="AC401" i="62"/>
  <c r="R399" i="62"/>
  <c r="Q399" i="62"/>
  <c r="P399" i="62"/>
  <c r="O399" i="62"/>
  <c r="N399" i="62"/>
  <c r="M399" i="62"/>
  <c r="L399" i="62"/>
  <c r="K399" i="62"/>
  <c r="J399" i="62"/>
  <c r="I399" i="62"/>
  <c r="H399" i="62"/>
  <c r="G399" i="62"/>
  <c r="F399" i="62"/>
  <c r="AC397" i="62"/>
  <c r="AC396" i="62"/>
  <c r="AC394" i="62"/>
  <c r="AC392" i="62"/>
  <c r="R387" i="62"/>
  <c r="Q387" i="62"/>
  <c r="P387" i="62"/>
  <c r="O387" i="62"/>
  <c r="N387" i="62"/>
  <c r="M387" i="62"/>
  <c r="L387" i="62"/>
  <c r="K387" i="62"/>
  <c r="J387" i="62"/>
  <c r="I387" i="62"/>
  <c r="H387" i="62"/>
  <c r="G387" i="62"/>
  <c r="F387" i="62"/>
  <c r="R384" i="62"/>
  <c r="Q384" i="62"/>
  <c r="P384" i="62"/>
  <c r="O384" i="62"/>
  <c r="N384" i="62"/>
  <c r="M384" i="62"/>
  <c r="L384" i="62"/>
  <c r="K384" i="62"/>
  <c r="J384" i="62"/>
  <c r="I384" i="62"/>
  <c r="H384" i="62"/>
  <c r="G384" i="62"/>
  <c r="F384" i="62"/>
  <c r="W383" i="62"/>
  <c r="W382" i="62"/>
  <c r="W381" i="62"/>
  <c r="W380" i="62"/>
  <c r="W379" i="62"/>
  <c r="W378" i="62"/>
  <c r="W376" i="62"/>
  <c r="W374" i="62"/>
  <c r="R371" i="62"/>
  <c r="Q371" i="62"/>
  <c r="P371" i="62"/>
  <c r="O371" i="62"/>
  <c r="N371" i="62"/>
  <c r="M371" i="62"/>
  <c r="L371" i="62"/>
  <c r="K371" i="62"/>
  <c r="J371" i="62"/>
  <c r="I371" i="62"/>
  <c r="H371" i="62"/>
  <c r="G371" i="62"/>
  <c r="F371" i="62"/>
  <c r="W370" i="62"/>
  <c r="W359" i="62"/>
  <c r="W358" i="62"/>
  <c r="W357" i="62"/>
  <c r="W356" i="62"/>
  <c r="W355" i="62"/>
  <c r="W354" i="62"/>
  <c r="W353" i="62"/>
  <c r="W352" i="62"/>
  <c r="W351" i="62"/>
  <c r="W350" i="62"/>
  <c r="R348" i="62"/>
  <c r="Q348" i="62"/>
  <c r="P348" i="62"/>
  <c r="O348" i="62"/>
  <c r="N348" i="62"/>
  <c r="M348" i="62"/>
  <c r="L348" i="62"/>
  <c r="K348" i="62"/>
  <c r="J348" i="62"/>
  <c r="I348" i="62"/>
  <c r="H348" i="62"/>
  <c r="G348" i="62"/>
  <c r="F348" i="62"/>
  <c r="W347" i="62"/>
  <c r="W346" i="62"/>
  <c r="W344" i="62"/>
  <c r="W343" i="62"/>
  <c r="W342" i="62"/>
  <c r="W341" i="62"/>
  <c r="W340" i="62"/>
  <c r="W337" i="62"/>
  <c r="W334" i="62"/>
  <c r="R330" i="62"/>
  <c r="Q330" i="62"/>
  <c r="P330" i="62"/>
  <c r="O330" i="62"/>
  <c r="N330" i="62"/>
  <c r="M330" i="62"/>
  <c r="L330" i="62"/>
  <c r="K330" i="62"/>
  <c r="J330" i="62"/>
  <c r="I330" i="62"/>
  <c r="H330" i="62"/>
  <c r="G330" i="62"/>
  <c r="F330" i="62"/>
  <c r="W329" i="62"/>
  <c r="W328" i="62"/>
  <c r="W327" i="62"/>
  <c r="W324" i="62"/>
  <c r="W323" i="62"/>
  <c r="W322" i="62"/>
  <c r="W321" i="62"/>
  <c r="W320" i="62"/>
  <c r="W319" i="62"/>
  <c r="W318" i="62"/>
  <c r="W317" i="62"/>
  <c r="W316" i="62"/>
  <c r="W315" i="62"/>
  <c r="W314" i="62"/>
  <c r="W313" i="62"/>
  <c r="W312" i="62"/>
  <c r="W311" i="62"/>
  <c r="W309" i="62"/>
  <c r="W307" i="62"/>
  <c r="W306" i="62"/>
  <c r="R304" i="62"/>
  <c r="Q304" i="62"/>
  <c r="P304" i="62"/>
  <c r="O304" i="62"/>
  <c r="N304" i="62"/>
  <c r="M304" i="62"/>
  <c r="L304" i="62"/>
  <c r="K304" i="62"/>
  <c r="J304" i="62"/>
  <c r="I304" i="62"/>
  <c r="H304" i="62"/>
  <c r="G304" i="62"/>
  <c r="F304" i="62"/>
  <c r="W303" i="62"/>
  <c r="W302" i="62"/>
  <c r="W301" i="62"/>
  <c r="W300" i="62"/>
  <c r="AB294" i="62"/>
  <c r="AB293" i="62"/>
  <c r="AB274" i="62"/>
  <c r="AD272" i="62"/>
  <c r="AF272" i="62" s="1"/>
  <c r="AF271" i="62"/>
  <c r="X268" i="62"/>
  <c r="U266" i="62"/>
  <c r="AD264" i="62"/>
  <c r="AF264" i="62" s="1"/>
  <c r="U263" i="62"/>
  <c r="U262" i="62"/>
  <c r="U261" i="62"/>
  <c r="U260" i="62"/>
  <c r="U259" i="62"/>
  <c r="U258" i="62"/>
  <c r="U257" i="62"/>
  <c r="U256" i="62"/>
  <c r="U255" i="62"/>
  <c r="U254" i="62"/>
  <c r="U253" i="62"/>
  <c r="U252" i="62"/>
  <c r="U251" i="62"/>
  <c r="U250" i="62"/>
  <c r="U249" i="62"/>
  <c r="U248" i="62"/>
  <c r="U247" i="62"/>
  <c r="U246" i="62"/>
  <c r="U245" i="62"/>
  <c r="U244" i="62"/>
  <c r="U243" i="62"/>
  <c r="U235" i="62"/>
  <c r="U234" i="62"/>
  <c r="U233" i="62"/>
  <c r="U232" i="62"/>
  <c r="U229" i="62"/>
  <c r="R227" i="62"/>
  <c r="Q227" i="62"/>
  <c r="P227" i="62"/>
  <c r="O227" i="62"/>
  <c r="N227" i="62"/>
  <c r="M227" i="62"/>
  <c r="L227" i="62"/>
  <c r="K227" i="62"/>
  <c r="J227" i="62"/>
  <c r="I227" i="62"/>
  <c r="H227" i="62"/>
  <c r="G227" i="62"/>
  <c r="F227" i="62"/>
  <c r="AC226" i="62"/>
  <c r="R224" i="62"/>
  <c r="Q224" i="62"/>
  <c r="P224" i="62"/>
  <c r="O224" i="62"/>
  <c r="N224" i="62"/>
  <c r="M224" i="62"/>
  <c r="L224" i="62"/>
  <c r="K224" i="62"/>
  <c r="J224" i="62"/>
  <c r="I224" i="62"/>
  <c r="H224" i="62"/>
  <c r="G224" i="62"/>
  <c r="F224" i="62"/>
  <c r="AC218" i="62"/>
  <c r="AC216" i="62"/>
  <c r="AC215" i="62"/>
  <c r="AC214" i="62"/>
  <c r="AC212" i="62"/>
  <c r="AC211" i="62"/>
  <c r="AC210" i="62"/>
  <c r="AC208" i="62"/>
  <c r="AC207" i="62"/>
  <c r="U200" i="62"/>
  <c r="AF200" i="62" s="1"/>
  <c r="R181" i="62"/>
  <c r="Q181" i="62"/>
  <c r="P181" i="62"/>
  <c r="O181" i="62"/>
  <c r="N181" i="62"/>
  <c r="M181" i="62"/>
  <c r="L181" i="62"/>
  <c r="K181" i="62"/>
  <c r="J181" i="62"/>
  <c r="I181" i="62"/>
  <c r="H181" i="62"/>
  <c r="G181" i="62"/>
  <c r="F181" i="62"/>
  <c r="U180" i="62"/>
  <c r="U179" i="62"/>
  <c r="U178" i="62"/>
  <c r="U177" i="62"/>
  <c r="U176" i="62"/>
  <c r="U175" i="62"/>
  <c r="U174" i="62"/>
  <c r="U173" i="62"/>
  <c r="U171" i="62"/>
  <c r="U166" i="62"/>
  <c r="U165" i="62"/>
  <c r="U164" i="62"/>
  <c r="U163" i="62"/>
  <c r="U162" i="62"/>
  <c r="U161" i="62"/>
  <c r="U160" i="62"/>
  <c r="U159" i="62"/>
  <c r="U155" i="62"/>
  <c r="U154" i="62"/>
  <c r="U153" i="62"/>
  <c r="U152" i="62"/>
  <c r="R149" i="62"/>
  <c r="Q149" i="62"/>
  <c r="P149" i="62"/>
  <c r="O149" i="62"/>
  <c r="N149" i="62"/>
  <c r="M149" i="62"/>
  <c r="L149" i="62"/>
  <c r="K149" i="62"/>
  <c r="J149" i="62"/>
  <c r="I149" i="62"/>
  <c r="H149" i="62"/>
  <c r="G149" i="62"/>
  <c r="F149" i="62"/>
  <c r="U148" i="62"/>
  <c r="U147" i="62"/>
  <c r="U146" i="62"/>
  <c r="U145" i="62"/>
  <c r="U144" i="62"/>
  <c r="U143" i="62"/>
  <c r="U141" i="62"/>
  <c r="U138" i="62"/>
  <c r="U137" i="62"/>
  <c r="U136" i="62"/>
  <c r="U135" i="62"/>
  <c r="U134" i="62"/>
  <c r="U133" i="62"/>
  <c r="U132" i="62"/>
  <c r="U131" i="62"/>
  <c r="U130" i="62"/>
  <c r="U129" i="62"/>
  <c r="U128" i="62"/>
  <c r="U127" i="62"/>
  <c r="U126" i="62"/>
  <c r="U125" i="62"/>
  <c r="R120" i="62"/>
  <c r="Q120" i="62"/>
  <c r="P120" i="62"/>
  <c r="O120" i="62"/>
  <c r="N120" i="62"/>
  <c r="M120" i="62"/>
  <c r="L120" i="62"/>
  <c r="K120" i="62"/>
  <c r="J120" i="62"/>
  <c r="I120" i="62"/>
  <c r="H120" i="62"/>
  <c r="G120" i="62"/>
  <c r="F120" i="62"/>
  <c r="U119" i="62"/>
  <c r="U118" i="62"/>
  <c r="U117" i="62"/>
  <c r="U116" i="62"/>
  <c r="U115" i="62"/>
  <c r="U114" i="62"/>
  <c r="U111" i="62"/>
  <c r="U110" i="62"/>
  <c r="U109" i="62"/>
  <c r="U108" i="62"/>
  <c r="U107" i="62"/>
  <c r="U106" i="62"/>
  <c r="U105" i="62"/>
  <c r="U104" i="62"/>
  <c r="U103" i="62"/>
  <c r="U102" i="62"/>
  <c r="R95" i="62"/>
  <c r="Q95" i="62"/>
  <c r="P95" i="62"/>
  <c r="O95" i="62"/>
  <c r="N95" i="62"/>
  <c r="M95" i="62"/>
  <c r="L95" i="62"/>
  <c r="K95" i="62"/>
  <c r="J95" i="62"/>
  <c r="I95" i="62"/>
  <c r="H95" i="62"/>
  <c r="G95" i="62"/>
  <c r="F95" i="62"/>
  <c r="X94" i="62"/>
  <c r="X93" i="62"/>
  <c r="X92" i="62"/>
  <c r="X91" i="62"/>
  <c r="X90" i="62"/>
  <c r="X89" i="62"/>
  <c r="X88" i="62"/>
  <c r="U84" i="62"/>
  <c r="AF84" i="62" s="1"/>
  <c r="U75" i="62"/>
  <c r="U74" i="62"/>
  <c r="U73" i="62"/>
  <c r="U72" i="62"/>
  <c r="U71" i="62"/>
  <c r="U70" i="62"/>
  <c r="U69" i="62"/>
  <c r="U68" i="62"/>
  <c r="U67" i="62"/>
  <c r="U66" i="62"/>
  <c r="U65" i="62"/>
  <c r="R63" i="62"/>
  <c r="Q63" i="62"/>
  <c r="P63" i="62"/>
  <c r="O63" i="62"/>
  <c r="N63" i="62"/>
  <c r="M63" i="62"/>
  <c r="L63" i="62"/>
  <c r="K63" i="62"/>
  <c r="J63" i="62"/>
  <c r="I63" i="62"/>
  <c r="H63" i="62"/>
  <c r="G63" i="62"/>
  <c r="F63" i="62"/>
  <c r="U58" i="62"/>
  <c r="U57" i="62"/>
  <c r="U56" i="62"/>
  <c r="U53" i="62"/>
  <c r="U52" i="62"/>
  <c r="U51" i="62"/>
  <c r="U50" i="62"/>
  <c r="U49" i="62"/>
  <c r="R46" i="62"/>
  <c r="Q46" i="62"/>
  <c r="P46" i="62"/>
  <c r="O46" i="62"/>
  <c r="N46" i="62"/>
  <c r="M46" i="62"/>
  <c r="L46" i="62"/>
  <c r="K46" i="62"/>
  <c r="J46" i="62"/>
  <c r="I46" i="62"/>
  <c r="H46" i="62"/>
  <c r="G46" i="62"/>
  <c r="F46" i="62"/>
  <c r="AB45" i="62"/>
  <c r="U45" i="62"/>
  <c r="AF45" i="62" s="1"/>
  <c r="AB44" i="62"/>
  <c r="X44" i="62"/>
  <c r="AB43" i="62"/>
  <c r="X43" i="62"/>
  <c r="AB42" i="62"/>
  <c r="X42" i="62"/>
  <c r="AB41" i="62"/>
  <c r="F39" i="62"/>
  <c r="S39" i="62" s="1"/>
  <c r="S389" i="62" s="1"/>
  <c r="U38" i="62"/>
  <c r="AF38" i="62" s="1"/>
  <c r="R32" i="62"/>
  <c r="Q32" i="62"/>
  <c r="P32" i="62"/>
  <c r="O32" i="62"/>
  <c r="N32" i="62"/>
  <c r="M32" i="62"/>
  <c r="L32" i="62"/>
  <c r="K32" i="62"/>
  <c r="J32" i="62"/>
  <c r="I32" i="62"/>
  <c r="H32" i="62"/>
  <c r="G32" i="62"/>
  <c r="F32" i="62"/>
  <c r="R28" i="62"/>
  <c r="Q28" i="62"/>
  <c r="P28" i="62"/>
  <c r="O28" i="62"/>
  <c r="N28" i="62"/>
  <c r="M28" i="62"/>
  <c r="L28" i="62"/>
  <c r="K28" i="62"/>
  <c r="J28" i="62"/>
  <c r="I28" i="62"/>
  <c r="H28" i="62"/>
  <c r="G28" i="62"/>
  <c r="F28" i="62"/>
  <c r="X22" i="62"/>
  <c r="R20" i="62"/>
  <c r="Q20" i="62"/>
  <c r="P20" i="62"/>
  <c r="O20" i="62"/>
  <c r="N20" i="62"/>
  <c r="M20" i="62"/>
  <c r="L20" i="62"/>
  <c r="K20" i="62"/>
  <c r="J20" i="62"/>
  <c r="I20" i="62"/>
  <c r="H20" i="62"/>
  <c r="G20" i="62"/>
  <c r="F20" i="62"/>
  <c r="X19" i="62"/>
  <c r="X18" i="62"/>
  <c r="X15" i="62"/>
  <c r="K700" i="62" l="1"/>
  <c r="H700" i="62"/>
  <c r="F700" i="62"/>
  <c r="O110" i="6"/>
  <c r="M28" i="31"/>
  <c r="M53" i="31" s="1"/>
  <c r="AD51" i="62"/>
  <c r="AF51" i="62" s="1"/>
  <c r="AD75" i="62"/>
  <c r="AF75" i="62" s="1"/>
  <c r="AD115" i="62"/>
  <c r="AF115" i="62" s="1"/>
  <c r="AD135" i="62"/>
  <c r="AF135" i="62" s="1"/>
  <c r="AD163" i="62"/>
  <c r="AF163" i="62" s="1"/>
  <c r="AD234" i="62"/>
  <c r="AF234" i="62" s="1"/>
  <c r="AD251" i="62"/>
  <c r="AF251" i="62" s="1"/>
  <c r="AD263" i="62"/>
  <c r="AF263" i="62" s="1"/>
  <c r="AD440" i="62"/>
  <c r="AF440" i="62" s="1"/>
  <c r="AD496" i="62"/>
  <c r="AF496" i="62" s="1"/>
  <c r="AD511" i="62"/>
  <c r="AF511" i="62" s="1"/>
  <c r="AD514" i="62"/>
  <c r="AF514" i="62" s="1"/>
  <c r="AD110" i="62"/>
  <c r="AF110" i="62" s="1"/>
  <c r="AD132" i="62"/>
  <c r="AF132" i="62" s="1"/>
  <c r="AD143" i="62"/>
  <c r="AF143" i="62" s="1"/>
  <c r="AD147" i="62"/>
  <c r="AF147" i="62" s="1"/>
  <c r="AD153" i="62"/>
  <c r="AF153" i="62" s="1"/>
  <c r="AD164" i="62"/>
  <c r="AF164" i="62" s="1"/>
  <c r="AD171" i="62"/>
  <c r="AF171" i="62" s="1"/>
  <c r="AD176" i="62"/>
  <c r="AF176" i="62" s="1"/>
  <c r="AD180" i="62"/>
  <c r="AF180" i="62" s="1"/>
  <c r="AD185" i="62"/>
  <c r="AF185" i="62" s="1"/>
  <c r="AD229" i="62"/>
  <c r="AF229" i="62" s="1"/>
  <c r="AD235" i="62"/>
  <c r="AF235" i="62" s="1"/>
  <c r="AD239" i="62"/>
  <c r="AF239" i="62" s="1"/>
  <c r="AD244" i="62"/>
  <c r="AF244" i="62" s="1"/>
  <c r="AD248" i="62"/>
  <c r="AF248" i="62" s="1"/>
  <c r="AD252" i="62"/>
  <c r="AF252" i="62" s="1"/>
  <c r="AD256" i="62"/>
  <c r="AF256" i="62" s="1"/>
  <c r="AD260" i="62"/>
  <c r="AF260" i="62" s="1"/>
  <c r="AD428" i="62"/>
  <c r="AF428" i="62" s="1"/>
  <c r="AD432" i="62"/>
  <c r="AF432" i="62" s="1"/>
  <c r="AD436" i="62"/>
  <c r="AF436" i="62" s="1"/>
  <c r="AD455" i="62"/>
  <c r="AF455" i="62" s="1"/>
  <c r="AD468" i="62"/>
  <c r="AF468" i="62" s="1"/>
  <c r="AD472" i="62"/>
  <c r="AF472" i="62" s="1"/>
  <c r="AD477" i="62"/>
  <c r="AF477" i="62" s="1"/>
  <c r="AD489" i="62"/>
  <c r="AF489" i="62" s="1"/>
  <c r="AD493" i="62"/>
  <c r="AF493" i="62" s="1"/>
  <c r="AD497" i="62"/>
  <c r="AF497" i="62" s="1"/>
  <c r="AD505" i="62"/>
  <c r="AF505" i="62" s="1"/>
  <c r="AD512" i="62"/>
  <c r="AF512" i="62" s="1"/>
  <c r="AD515" i="62"/>
  <c r="AF515" i="62" s="1"/>
  <c r="AD529" i="62"/>
  <c r="AF529" i="62" s="1"/>
  <c r="AD562" i="62"/>
  <c r="AF562" i="62" s="1"/>
  <c r="AD566" i="62"/>
  <c r="AF566" i="62" s="1"/>
  <c r="AD67" i="62"/>
  <c r="AF67" i="62" s="1"/>
  <c r="AD109" i="62"/>
  <c r="AF109" i="62" s="1"/>
  <c r="AD131" i="62"/>
  <c r="AF131" i="62" s="1"/>
  <c r="AD146" i="62"/>
  <c r="AF146" i="62" s="1"/>
  <c r="AD159" i="62"/>
  <c r="AF159" i="62" s="1"/>
  <c r="AD175" i="62"/>
  <c r="AF175" i="62" s="1"/>
  <c r="AD184" i="62"/>
  <c r="AF184" i="62" s="1"/>
  <c r="AD238" i="62"/>
  <c r="AF238" i="62" s="1"/>
  <c r="AD243" i="62"/>
  <c r="AF243" i="62" s="1"/>
  <c r="AD255" i="62"/>
  <c r="AF255" i="62" s="1"/>
  <c r="AD259" i="62"/>
  <c r="AF259" i="62" s="1"/>
  <c r="AD435" i="62"/>
  <c r="AF435" i="62" s="1"/>
  <c r="AD453" i="62"/>
  <c r="AF453" i="62" s="1"/>
  <c r="AD471" i="62"/>
  <c r="AF471" i="62" s="1"/>
  <c r="AD480" i="62"/>
  <c r="AF480" i="62" s="1"/>
  <c r="AD492" i="62"/>
  <c r="AF492" i="62" s="1"/>
  <c r="AD52" i="62"/>
  <c r="AF52" i="62" s="1"/>
  <c r="AD106" i="62"/>
  <c r="AF106" i="62" s="1"/>
  <c r="AD116" i="62"/>
  <c r="AF116" i="62" s="1"/>
  <c r="AD136" i="62"/>
  <c r="AF136" i="62" s="1"/>
  <c r="AD160" i="62"/>
  <c r="AF160" i="62" s="1"/>
  <c r="AD49" i="62"/>
  <c r="AF49" i="62" s="1"/>
  <c r="AD53" i="62"/>
  <c r="AF53" i="62" s="1"/>
  <c r="AD58" i="62"/>
  <c r="AF58" i="62" s="1"/>
  <c r="AD65" i="62"/>
  <c r="AF65" i="62" s="1"/>
  <c r="AD69" i="62"/>
  <c r="AF69" i="62" s="1"/>
  <c r="AD73" i="62"/>
  <c r="AF73" i="62" s="1"/>
  <c r="AD103" i="62"/>
  <c r="AF103" i="62" s="1"/>
  <c r="AD107" i="62"/>
  <c r="AF107" i="62" s="1"/>
  <c r="AD111" i="62"/>
  <c r="AF111" i="62" s="1"/>
  <c r="AD117" i="62"/>
  <c r="AF117" i="62" s="1"/>
  <c r="AD125" i="62"/>
  <c r="AF125" i="62" s="1"/>
  <c r="AD129" i="62"/>
  <c r="AF129" i="62" s="1"/>
  <c r="AD133" i="62"/>
  <c r="AF133" i="62" s="1"/>
  <c r="AD137" i="62"/>
  <c r="AF137" i="62" s="1"/>
  <c r="AD144" i="62"/>
  <c r="AF144" i="62" s="1"/>
  <c r="AD148" i="62"/>
  <c r="AF148" i="62" s="1"/>
  <c r="AD154" i="62"/>
  <c r="AF154" i="62" s="1"/>
  <c r="AD161" i="62"/>
  <c r="AF161" i="62" s="1"/>
  <c r="AD165" i="62"/>
  <c r="AF165" i="62" s="1"/>
  <c r="AD173" i="62"/>
  <c r="AF173" i="62" s="1"/>
  <c r="AD177" i="62"/>
  <c r="AF177" i="62" s="1"/>
  <c r="AD232" i="62"/>
  <c r="AF232" i="62" s="1"/>
  <c r="AD236" i="62"/>
  <c r="AF236" i="62" s="1"/>
  <c r="AD240" i="62"/>
  <c r="AF240" i="62" s="1"/>
  <c r="AD245" i="62"/>
  <c r="AF245" i="62" s="1"/>
  <c r="AD249" i="62"/>
  <c r="AF249" i="62" s="1"/>
  <c r="AD253" i="62"/>
  <c r="AF253" i="62" s="1"/>
  <c r="AD257" i="62"/>
  <c r="AF257" i="62" s="1"/>
  <c r="AD261" i="62"/>
  <c r="AF261" i="62" s="1"/>
  <c r="AD266" i="62"/>
  <c r="AF266" i="62" s="1"/>
  <c r="AD429" i="62"/>
  <c r="AF429" i="62" s="1"/>
  <c r="AD433" i="62"/>
  <c r="AF433" i="62" s="1"/>
  <c r="AD437" i="62"/>
  <c r="AF437" i="62" s="1"/>
  <c r="AD456" i="62"/>
  <c r="AF456" i="62" s="1"/>
  <c r="AD465" i="62"/>
  <c r="AF465" i="62" s="1"/>
  <c r="AD469" i="62"/>
  <c r="AF469" i="62" s="1"/>
  <c r="AD474" i="62"/>
  <c r="AF474" i="62" s="1"/>
  <c r="AD478" i="62"/>
  <c r="AF478" i="62" s="1"/>
  <c r="AD490" i="62"/>
  <c r="AF490" i="62" s="1"/>
  <c r="AD494" i="62"/>
  <c r="AF494" i="62" s="1"/>
  <c r="AD498" i="62"/>
  <c r="AF498" i="62" s="1"/>
  <c r="AD506" i="62"/>
  <c r="AF506" i="62" s="1"/>
  <c r="AD516" i="62"/>
  <c r="AF516" i="62" s="1"/>
  <c r="AD530" i="62"/>
  <c r="AF530" i="62" s="1"/>
  <c r="AD563" i="62"/>
  <c r="AF563" i="62" s="1"/>
  <c r="AD578" i="62"/>
  <c r="AF578" i="62" s="1"/>
  <c r="AD605" i="62"/>
  <c r="AF605" i="62" s="1"/>
  <c r="AF609" i="62"/>
  <c r="AD71" i="62"/>
  <c r="AF71" i="62" s="1"/>
  <c r="AD105" i="62"/>
  <c r="AF105" i="62" s="1"/>
  <c r="AD119" i="62"/>
  <c r="AF119" i="62" s="1"/>
  <c r="AD127" i="62"/>
  <c r="AF127" i="62" s="1"/>
  <c r="AD141" i="62"/>
  <c r="AF141" i="62" s="1"/>
  <c r="AD152" i="62"/>
  <c r="AF152" i="62" s="1"/>
  <c r="AD179" i="62"/>
  <c r="AF179" i="62" s="1"/>
  <c r="AD247" i="62"/>
  <c r="AF247" i="62" s="1"/>
  <c r="AD431" i="62"/>
  <c r="AF431" i="62" s="1"/>
  <c r="AD467" i="62"/>
  <c r="AF467" i="62" s="1"/>
  <c r="AD476" i="62"/>
  <c r="AF476" i="62" s="1"/>
  <c r="AD488" i="62"/>
  <c r="AF488" i="62" s="1"/>
  <c r="AD504" i="62"/>
  <c r="AF504" i="62" s="1"/>
  <c r="AD528" i="62"/>
  <c r="AF528" i="62" s="1"/>
  <c r="AD565" i="62"/>
  <c r="AF565" i="62" s="1"/>
  <c r="AF608" i="62"/>
  <c r="AD57" i="62"/>
  <c r="AF57" i="62" s="1"/>
  <c r="AD68" i="62"/>
  <c r="AF68" i="62" s="1"/>
  <c r="AD72" i="62"/>
  <c r="AF72" i="62" s="1"/>
  <c r="AD102" i="62"/>
  <c r="AF102" i="62" s="1"/>
  <c r="AD128" i="62"/>
  <c r="AF128" i="62" s="1"/>
  <c r="AD50" i="62"/>
  <c r="AF50" i="62" s="1"/>
  <c r="AD56" i="62"/>
  <c r="AF56" i="62" s="1"/>
  <c r="AD66" i="62"/>
  <c r="AF66" i="62" s="1"/>
  <c r="AD70" i="62"/>
  <c r="AF70" i="62" s="1"/>
  <c r="AD74" i="62"/>
  <c r="AF74" i="62" s="1"/>
  <c r="AD104" i="62"/>
  <c r="AF104" i="62" s="1"/>
  <c r="AD108" i="62"/>
  <c r="AF108" i="62" s="1"/>
  <c r="AD114" i="62"/>
  <c r="AF114" i="62" s="1"/>
  <c r="AD118" i="62"/>
  <c r="AF118" i="62" s="1"/>
  <c r="AD126" i="62"/>
  <c r="AF126" i="62" s="1"/>
  <c r="AD130" i="62"/>
  <c r="AF130" i="62" s="1"/>
  <c r="AD134" i="62"/>
  <c r="AF134" i="62" s="1"/>
  <c r="AD138" i="62"/>
  <c r="AF138" i="62" s="1"/>
  <c r="AD145" i="62"/>
  <c r="AF145" i="62" s="1"/>
  <c r="AD155" i="62"/>
  <c r="AF155" i="62" s="1"/>
  <c r="AD162" i="62"/>
  <c r="AF162" i="62" s="1"/>
  <c r="AD166" i="62"/>
  <c r="AF166" i="62" s="1"/>
  <c r="AD174" i="62"/>
  <c r="AF174" i="62" s="1"/>
  <c r="AD178" i="62"/>
  <c r="AF178" i="62" s="1"/>
  <c r="AD183" i="62"/>
  <c r="AF183" i="62" s="1"/>
  <c r="AD233" i="62"/>
  <c r="AF233" i="62" s="1"/>
  <c r="AD237" i="62"/>
  <c r="AF237" i="62" s="1"/>
  <c r="AD246" i="62"/>
  <c r="AF246" i="62" s="1"/>
  <c r="AD250" i="62"/>
  <c r="AF250" i="62" s="1"/>
  <c r="AD254" i="62"/>
  <c r="AF254" i="62" s="1"/>
  <c r="AD258" i="62"/>
  <c r="AF258" i="62" s="1"/>
  <c r="AD262" i="62"/>
  <c r="AF262" i="62" s="1"/>
  <c r="AD430" i="62"/>
  <c r="AF430" i="62" s="1"/>
  <c r="AD434" i="62"/>
  <c r="AF434" i="62" s="1"/>
  <c r="AD438" i="62"/>
  <c r="AF438" i="62" s="1"/>
  <c r="AD466" i="62"/>
  <c r="AF466" i="62" s="1"/>
  <c r="AD470" i="62"/>
  <c r="AF470" i="62" s="1"/>
  <c r="AD479" i="62"/>
  <c r="AF479" i="62" s="1"/>
  <c r="AD491" i="62"/>
  <c r="AF491" i="62" s="1"/>
  <c r="AD495" i="62"/>
  <c r="AF495" i="62" s="1"/>
  <c r="AD503" i="62"/>
  <c r="AF503" i="62" s="1"/>
  <c r="AD507" i="62"/>
  <c r="AF507" i="62" s="1"/>
  <c r="AD513" i="62"/>
  <c r="AF513" i="62" s="1"/>
  <c r="AD517" i="62"/>
  <c r="AF517" i="62" s="1"/>
  <c r="AD531" i="62"/>
  <c r="AF531" i="62" s="1"/>
  <c r="AD564" i="62"/>
  <c r="AF564" i="62" s="1"/>
  <c r="AD579" i="62"/>
  <c r="AF579" i="62" s="1"/>
  <c r="AF607" i="62"/>
  <c r="AF610" i="62"/>
  <c r="V464" i="62"/>
  <c r="G700" i="62"/>
  <c r="O700" i="62"/>
  <c r="I99" i="62"/>
  <c r="I122" i="62" s="1"/>
  <c r="I389" i="62" s="1"/>
  <c r="M99" i="62"/>
  <c r="M122" i="62" s="1"/>
  <c r="M389" i="62" s="1"/>
  <c r="Q99" i="62"/>
  <c r="Q122" i="62" s="1"/>
  <c r="Q389" i="62" s="1"/>
  <c r="X580" i="62"/>
  <c r="X600" i="62"/>
  <c r="X604" i="62"/>
  <c r="X86" i="62"/>
  <c r="AB86" i="62"/>
  <c r="U112" i="62"/>
  <c r="V482" i="62"/>
  <c r="AF482" i="62" s="1"/>
  <c r="X87" i="62"/>
  <c r="AB87" i="62"/>
  <c r="U113" i="62"/>
  <c r="V483" i="62"/>
  <c r="AF483" i="62" s="1"/>
  <c r="X606" i="62"/>
  <c r="X603" i="62"/>
  <c r="H99" i="62"/>
  <c r="H122" i="62" s="1"/>
  <c r="H389" i="62" s="1"/>
  <c r="P99" i="62"/>
  <c r="P122" i="62" s="1"/>
  <c r="P389" i="62" s="1"/>
  <c r="L99" i="62"/>
  <c r="L122" i="62" s="1"/>
  <c r="L389" i="62" s="1"/>
  <c r="G99" i="62"/>
  <c r="G122" i="62" s="1"/>
  <c r="G389" i="62" s="1"/>
  <c r="K99" i="62"/>
  <c r="K122" i="62" s="1"/>
  <c r="K389" i="62" s="1"/>
  <c r="O99" i="62"/>
  <c r="O122" i="62" s="1"/>
  <c r="O389" i="62" s="1"/>
  <c r="I700" i="62"/>
  <c r="M700" i="62"/>
  <c r="Q700" i="62"/>
  <c r="L700" i="62"/>
  <c r="X444" i="62"/>
  <c r="X449" i="62"/>
  <c r="W405" i="62"/>
  <c r="X445" i="62"/>
  <c r="W424" i="62"/>
  <c r="N700" i="62"/>
  <c r="R700" i="62"/>
  <c r="X590" i="62"/>
  <c r="AB590" i="62" s="1"/>
  <c r="W396" i="62"/>
  <c r="W394" i="62"/>
  <c r="W409" i="62"/>
  <c r="AB442" i="62"/>
  <c r="AB446" i="62"/>
  <c r="J700" i="62"/>
  <c r="W386" i="62"/>
  <c r="W401" i="62"/>
  <c r="P700" i="62"/>
  <c r="AB268" i="62"/>
  <c r="X274" i="62"/>
  <c r="W210" i="62"/>
  <c r="W214" i="62"/>
  <c r="W218" i="62"/>
  <c r="AB202" i="62"/>
  <c r="U172" i="62"/>
  <c r="U55" i="62"/>
  <c r="AB88" i="62"/>
  <c r="AB90" i="62"/>
  <c r="AB93" i="62"/>
  <c r="F99" i="62"/>
  <c r="F122" i="62" s="1"/>
  <c r="F389" i="62" s="1"/>
  <c r="J99" i="62"/>
  <c r="J122" i="62" s="1"/>
  <c r="J389" i="62" s="1"/>
  <c r="N99" i="62"/>
  <c r="N122" i="62" s="1"/>
  <c r="N389" i="62" s="1"/>
  <c r="R99" i="62"/>
  <c r="R122" i="62" s="1"/>
  <c r="R389" i="62" s="1"/>
  <c r="AB89" i="62"/>
  <c r="AB91" i="62"/>
  <c r="AB92" i="62"/>
  <c r="AB94" i="62"/>
  <c r="U61" i="62"/>
  <c r="X52" i="62"/>
  <c r="AB52" i="62" s="1"/>
  <c r="M34" i="62"/>
  <c r="M36" i="62" s="1"/>
  <c r="G34" i="62"/>
  <c r="G36" i="62" s="1"/>
  <c r="K34" i="62"/>
  <c r="K36" i="62" s="1"/>
  <c r="O34" i="62"/>
  <c r="O36" i="62" s="1"/>
  <c r="H34" i="62"/>
  <c r="H36" i="62" s="1"/>
  <c r="L34" i="62"/>
  <c r="L36" i="62" s="1"/>
  <c r="P34" i="62"/>
  <c r="P36" i="62" s="1"/>
  <c r="I34" i="62"/>
  <c r="I36" i="62" s="1"/>
  <c r="Q34" i="62"/>
  <c r="Q36" i="62" s="1"/>
  <c r="F34" i="62"/>
  <c r="F36" i="62" s="1"/>
  <c r="J34" i="62"/>
  <c r="J36" i="62" s="1"/>
  <c r="N34" i="62"/>
  <c r="N36" i="62" s="1"/>
  <c r="R34" i="62"/>
  <c r="R36" i="62" s="1"/>
  <c r="AB19" i="62"/>
  <c r="P111" i="6"/>
  <c r="N85" i="31"/>
  <c r="N28" i="31"/>
  <c r="N53" i="31" s="1"/>
  <c r="L29" i="4"/>
  <c r="AC411" i="62"/>
  <c r="W411" i="62"/>
  <c r="AC403" i="62"/>
  <c r="W403" i="62"/>
  <c r="AC418" i="62"/>
  <c r="W418" i="62"/>
  <c r="AC395" i="62"/>
  <c r="W395" i="62"/>
  <c r="AC213" i="62"/>
  <c r="W213" i="62"/>
  <c r="AC398" i="62"/>
  <c r="W398" i="62"/>
  <c r="AC209" i="62"/>
  <c r="W209" i="62"/>
  <c r="AC217" i="62"/>
  <c r="W217" i="62"/>
  <c r="W393" i="62"/>
  <c r="AC393" i="62" s="1"/>
  <c r="AC407" i="62"/>
  <c r="W407" i="62"/>
  <c r="W688" i="62"/>
  <c r="U83" i="62"/>
  <c r="AF83" i="62" s="1"/>
  <c r="W208" i="62"/>
  <c r="W212" i="62"/>
  <c r="W216" i="62"/>
  <c r="W226" i="62"/>
  <c r="AD273" i="62"/>
  <c r="AF273" i="62" s="1"/>
  <c r="W404" i="62"/>
  <c r="W408" i="62"/>
  <c r="X41" i="62"/>
  <c r="U101" i="62"/>
  <c r="U124" i="62"/>
  <c r="U151" i="62"/>
  <c r="W207" i="62"/>
  <c r="W211" i="62"/>
  <c r="W215" i="62"/>
  <c r="V223" i="62"/>
  <c r="W333" i="62"/>
  <c r="W375" i="62"/>
  <c r="AB443" i="62"/>
  <c r="X443" i="62"/>
  <c r="AB447" i="62"/>
  <c r="X447" i="62"/>
  <c r="W310" i="62"/>
  <c r="W392" i="62"/>
  <c r="W397" i="62"/>
  <c r="W402" i="62"/>
  <c r="W406" i="62"/>
  <c r="W410" i="62"/>
  <c r="W425" i="62"/>
  <c r="AD427" i="62"/>
  <c r="AF427" i="62" s="1"/>
  <c r="V548" i="62"/>
  <c r="AD484" i="62"/>
  <c r="AF484" i="62" s="1"/>
  <c r="AD481" i="62"/>
  <c r="AF481" i="62" s="1"/>
  <c r="M54" i="31" l="1"/>
  <c r="N54" i="31"/>
  <c r="AD101" i="62"/>
  <c r="AF101" i="62" s="1"/>
  <c r="AF604" i="62"/>
  <c r="AF606" i="62"/>
  <c r="AD464" i="62"/>
  <c r="AF464" i="62" s="1"/>
  <c r="AD151" i="62"/>
  <c r="AF151" i="62" s="1"/>
  <c r="AD55" i="62"/>
  <c r="AF55" i="62" s="1"/>
  <c r="AD113" i="62"/>
  <c r="AF113" i="62" s="1"/>
  <c r="AD112" i="62"/>
  <c r="AF112" i="62" s="1"/>
  <c r="AD61" i="62"/>
  <c r="AF61" i="62" s="1"/>
  <c r="AD548" i="62"/>
  <c r="AF548" i="62" s="1"/>
  <c r="AD124" i="62"/>
  <c r="AF124" i="62" s="1"/>
  <c r="AD172" i="62"/>
  <c r="AF172" i="62" s="1"/>
  <c r="U703" i="62"/>
  <c r="V703" i="62"/>
  <c r="X34" i="62"/>
  <c r="AC703" i="62"/>
  <c r="W703" i="62"/>
  <c r="AB703" i="62"/>
  <c r="AA703" i="62"/>
  <c r="X703" i="62" l="1"/>
  <c r="X704" i="62" s="1"/>
  <c r="AD703" i="62"/>
  <c r="V704" i="62"/>
  <c r="X705" i="62" l="1"/>
  <c r="L43" i="4" l="1"/>
  <c r="L19" i="4"/>
  <c r="K43" i="4" l="1"/>
  <c r="K19" i="4"/>
  <c r="G37" i="49"/>
  <c r="E32" i="13" l="1"/>
  <c r="C11" i="13" s="1"/>
  <c r="F11" i="60" l="1"/>
  <c r="K11" i="60"/>
  <c r="O11" i="60"/>
  <c r="R11" i="60"/>
  <c r="S17" i="60" s="1"/>
  <c r="N18" i="60"/>
  <c r="L25" i="60" s="1"/>
  <c r="E21" i="60"/>
  <c r="S25" i="60"/>
  <c r="T21" i="60" s="1"/>
  <c r="H9" i="31" s="1"/>
  <c r="H32" i="60"/>
  <c r="I32" i="60"/>
  <c r="H35" i="60"/>
  <c r="I35" i="60"/>
  <c r="R50" i="60"/>
  <c r="R51" i="60"/>
  <c r="R52" i="60"/>
  <c r="R53" i="60"/>
  <c r="R54" i="60"/>
  <c r="R55" i="60"/>
  <c r="R56" i="60"/>
  <c r="R57" i="60"/>
  <c r="R58" i="60"/>
  <c r="R59" i="60"/>
  <c r="R60" i="60"/>
  <c r="R61" i="60"/>
  <c r="P62" i="60"/>
  <c r="P17" i="60" s="1"/>
  <c r="Q62" i="60"/>
  <c r="P18" i="60" s="1"/>
  <c r="J35" i="60" l="1"/>
  <c r="H39" i="60" s="1"/>
  <c r="C18" i="60"/>
  <c r="D18" i="60" s="1"/>
  <c r="M25" i="60"/>
  <c r="T22" i="60"/>
  <c r="H10" i="31" s="1"/>
  <c r="C29" i="60"/>
  <c r="D29" i="60" s="1"/>
  <c r="P21" i="60"/>
  <c r="Q17" i="60" s="1"/>
  <c r="C16" i="60" s="1"/>
  <c r="G163" i="58" l="1"/>
  <c r="I39" i="60"/>
  <c r="C17" i="60"/>
  <c r="D17" i="60" s="1"/>
  <c r="G9" i="31"/>
  <c r="Q18" i="60"/>
  <c r="A13" i="57"/>
  <c r="A14" i="57" s="1"/>
  <c r="A15" i="57" s="1"/>
  <c r="A16" i="57" s="1"/>
  <c r="A17" i="57" s="1"/>
  <c r="A18" i="57" s="1"/>
  <c r="A21" i="57" l="1"/>
  <c r="A22" i="57" s="1"/>
  <c r="A23" i="57" s="1"/>
  <c r="A24" i="57" s="1"/>
  <c r="A25" i="57" s="1"/>
  <c r="A26" i="57" s="1"/>
  <c r="A27" i="57" s="1"/>
  <c r="A28" i="57" s="1"/>
  <c r="A29" i="57" s="1"/>
  <c r="A30" i="57" s="1"/>
  <c r="C21" i="60"/>
  <c r="H169" i="58"/>
  <c r="I163" i="58"/>
  <c r="H163" i="58"/>
  <c r="D16" i="60"/>
  <c r="F48" i="49" l="1"/>
  <c r="G48" i="49" s="1"/>
  <c r="F33" i="49"/>
  <c r="G33" i="49" s="1"/>
  <c r="F152" i="49"/>
  <c r="F151" i="49"/>
  <c r="F42" i="49"/>
  <c r="G42" i="49" s="1"/>
  <c r="F157" i="49"/>
  <c r="F43" i="49"/>
  <c r="G43" i="49" s="1"/>
  <c r="F32" i="49"/>
  <c r="G32" i="49" s="1"/>
  <c r="F158" i="49"/>
  <c r="F41" i="49"/>
  <c r="G41" i="49" s="1"/>
  <c r="H41" i="49" s="1"/>
  <c r="H212" i="49" s="1"/>
  <c r="J212" i="49" s="1"/>
  <c r="F51" i="49"/>
  <c r="G51" i="49" s="1"/>
  <c r="F176" i="49"/>
  <c r="F153" i="49"/>
  <c r="F150" i="49"/>
  <c r="F162" i="49"/>
  <c r="F175" i="49"/>
  <c r="F173" i="49"/>
  <c r="F178" i="49"/>
  <c r="F22" i="49"/>
  <c r="G22" i="49" s="1"/>
  <c r="F177" i="49"/>
  <c r="F18" i="49"/>
  <c r="G18" i="49" s="1"/>
  <c r="F27" i="49"/>
  <c r="G27" i="49" s="1"/>
  <c r="F15" i="49"/>
  <c r="G15" i="49" s="1"/>
  <c r="F28" i="49"/>
  <c r="G28" i="49" s="1"/>
  <c r="F9" i="49"/>
  <c r="G9" i="49" s="1"/>
  <c r="E52" i="18"/>
  <c r="E56" i="18"/>
  <c r="E60" i="18"/>
  <c r="E64" i="18"/>
  <c r="E68" i="18"/>
  <c r="E72" i="18"/>
  <c r="E76" i="18"/>
  <c r="E80" i="18"/>
  <c r="E84" i="18"/>
  <c r="E88" i="18"/>
  <c r="E92" i="18"/>
  <c r="E96" i="18"/>
  <c r="E100" i="18"/>
  <c r="E104" i="18"/>
  <c r="E108" i="18"/>
  <c r="E112" i="18"/>
  <c r="E116" i="18"/>
  <c r="E120" i="18"/>
  <c r="E124" i="18"/>
  <c r="E128" i="18"/>
  <c r="E132" i="18"/>
  <c r="E136" i="18"/>
  <c r="E140" i="18"/>
  <c r="E144" i="18"/>
  <c r="E148" i="18"/>
  <c r="E152" i="18"/>
  <c r="E156" i="18"/>
  <c r="E53" i="18"/>
  <c r="E57" i="18"/>
  <c r="E61" i="18"/>
  <c r="E65" i="18"/>
  <c r="E69" i="18"/>
  <c r="E73" i="18"/>
  <c r="E77" i="18"/>
  <c r="E81" i="18"/>
  <c r="E85" i="18"/>
  <c r="E89" i="18"/>
  <c r="E93" i="18"/>
  <c r="E97" i="18"/>
  <c r="E101" i="18"/>
  <c r="E105" i="18"/>
  <c r="E109" i="18"/>
  <c r="E113" i="18"/>
  <c r="E117" i="18"/>
  <c r="E121" i="18"/>
  <c r="E125" i="18"/>
  <c r="E129" i="18"/>
  <c r="E133" i="18"/>
  <c r="E137" i="18"/>
  <c r="E141" i="18"/>
  <c r="E145" i="18"/>
  <c r="E149" i="18"/>
  <c r="E153" i="18"/>
  <c r="E54" i="18"/>
  <c r="E58" i="18"/>
  <c r="E66" i="18"/>
  <c r="E70" i="18"/>
  <c r="E74" i="18"/>
  <c r="E78" i="18"/>
  <c r="E82" i="18"/>
  <c r="E86" i="18"/>
  <c r="E90" i="18"/>
  <c r="E98" i="18"/>
  <c r="E102" i="18"/>
  <c r="E106" i="18"/>
  <c r="E114" i="18"/>
  <c r="E126" i="18"/>
  <c r="E134" i="18"/>
  <c r="E138" i="18"/>
  <c r="E146" i="18"/>
  <c r="E154" i="18"/>
  <c r="E59" i="18"/>
  <c r="E67" i="18"/>
  <c r="E75" i="18"/>
  <c r="E83" i="18"/>
  <c r="E91" i="18"/>
  <c r="E103" i="18"/>
  <c r="E111" i="18"/>
  <c r="E123" i="18"/>
  <c r="E135" i="18"/>
  <c r="E143" i="18"/>
  <c r="E151" i="18"/>
  <c r="E62" i="18"/>
  <c r="E94" i="18"/>
  <c r="E110" i="18"/>
  <c r="E118" i="18"/>
  <c r="E122" i="18"/>
  <c r="E130" i="18"/>
  <c r="E142" i="18"/>
  <c r="E150" i="18"/>
  <c r="E55" i="18"/>
  <c r="E63" i="18"/>
  <c r="E71" i="18"/>
  <c r="E79" i="18"/>
  <c r="E87" i="18"/>
  <c r="E95" i="18"/>
  <c r="E99" i="18"/>
  <c r="E107" i="18"/>
  <c r="E115" i="18"/>
  <c r="E119" i="18"/>
  <c r="E127" i="18"/>
  <c r="E131" i="18"/>
  <c r="E139" i="18"/>
  <c r="E147" i="18"/>
  <c r="E155" i="18"/>
  <c r="E157" i="18"/>
  <c r="E20" i="18"/>
  <c r="E17" i="18"/>
  <c r="E19" i="18"/>
  <c r="F24" i="49"/>
  <c r="G24" i="49" s="1"/>
  <c r="F9" i="31"/>
  <c r="Z7" i="62"/>
  <c r="G162" i="58"/>
  <c r="F193" i="49"/>
  <c r="F20" i="49"/>
  <c r="F13" i="49"/>
  <c r="G13" i="49" s="1"/>
  <c r="F16" i="49"/>
  <c r="F14" i="49"/>
  <c r="G14" i="49" s="1"/>
  <c r="F11" i="49"/>
  <c r="J169" i="58"/>
  <c r="J163" i="58"/>
  <c r="K163" i="58"/>
  <c r="D21" i="60"/>
  <c r="G10" i="31"/>
  <c r="Y17" i="62" l="1"/>
  <c r="Y185" i="62"/>
  <c r="Y559" i="62"/>
  <c r="Y560" i="62"/>
  <c r="Y558" i="62"/>
  <c r="Y557" i="62"/>
  <c r="Y561" i="62"/>
  <c r="Y593" i="62"/>
  <c r="Y15" i="62"/>
  <c r="Y22" i="62"/>
  <c r="Y603" i="62"/>
  <c r="Y580" i="62"/>
  <c r="Y34" i="62"/>
  <c r="E159" i="18"/>
  <c r="F10" i="31"/>
  <c r="Z8" i="62"/>
  <c r="H162" i="58"/>
  <c r="H168" i="58"/>
  <c r="I162" i="58"/>
  <c r="L169" i="58"/>
  <c r="M163" i="58"/>
  <c r="L163" i="58"/>
  <c r="Y554" i="62"/>
  <c r="Y18" i="62"/>
  <c r="AW45" i="59"/>
  <c r="Z17" i="62" l="1"/>
  <c r="Z185" i="62"/>
  <c r="Z558" i="62"/>
  <c r="Z557" i="62"/>
  <c r="Z561" i="62"/>
  <c r="Z559" i="62"/>
  <c r="Z560" i="62"/>
  <c r="Z593" i="62"/>
  <c r="Z22" i="62"/>
  <c r="Z15" i="62"/>
  <c r="Z603" i="62"/>
  <c r="Z580" i="62"/>
  <c r="Z34" i="62"/>
  <c r="N169" i="58"/>
  <c r="N163" i="58"/>
  <c r="O163" i="58"/>
  <c r="Z554" i="62"/>
  <c r="Z18" i="62"/>
  <c r="J162" i="58"/>
  <c r="K162" i="58"/>
  <c r="J168" i="58"/>
  <c r="P169" i="58" l="1"/>
  <c r="Q163" i="58"/>
  <c r="P163" i="58"/>
  <c r="L168" i="58"/>
  <c r="M162" i="58"/>
  <c r="L162" i="58"/>
  <c r="R169" i="58" l="1"/>
  <c r="R163" i="58"/>
  <c r="S163" i="58"/>
  <c r="O162" i="58"/>
  <c r="N168" i="58"/>
  <c r="N162" i="58"/>
  <c r="AW71" i="59"/>
  <c r="AW73" i="59" s="1"/>
  <c r="T169" i="58" l="1"/>
  <c r="U163" i="58"/>
  <c r="T163" i="58"/>
  <c r="P168" i="58"/>
  <c r="Q162" i="58"/>
  <c r="P162" i="58"/>
  <c r="AY29" i="59"/>
  <c r="AX29" i="59"/>
  <c r="AW29" i="59"/>
  <c r="AW79" i="59" s="1"/>
  <c r="AY28" i="59"/>
  <c r="AX28" i="59"/>
  <c r="AY27" i="59"/>
  <c r="AX27" i="59"/>
  <c r="AY26" i="59"/>
  <c r="AX26" i="59"/>
  <c r="AW28" i="59"/>
  <c r="AW27" i="59"/>
  <c r="AW26" i="59"/>
  <c r="AW78" i="59" s="1"/>
  <c r="M75" i="59"/>
  <c r="P75" i="59"/>
  <c r="S75" i="59"/>
  <c r="V75" i="59"/>
  <c r="Y75" i="59"/>
  <c r="AB75" i="59"/>
  <c r="AE75" i="59"/>
  <c r="AH75" i="59"/>
  <c r="AK75" i="59"/>
  <c r="AN75" i="59"/>
  <c r="AQ75" i="59"/>
  <c r="AT75" i="59"/>
  <c r="H17" i="32"/>
  <c r="AV23" i="59"/>
  <c r="AU23" i="59"/>
  <c r="H16" i="32" s="1"/>
  <c r="AT23" i="59"/>
  <c r="AS23" i="59"/>
  <c r="AR23" i="59"/>
  <c r="AQ23" i="59"/>
  <c r="AP23" i="59"/>
  <c r="AO23" i="59"/>
  <c r="AN23" i="59"/>
  <c r="AM23" i="59"/>
  <c r="AL23" i="59"/>
  <c r="AK23" i="59"/>
  <c r="AJ23" i="59"/>
  <c r="AI23" i="59"/>
  <c r="AH23" i="59"/>
  <c r="AG23" i="59"/>
  <c r="AF23" i="59"/>
  <c r="AE23" i="59"/>
  <c r="AD23" i="59"/>
  <c r="AC23" i="59"/>
  <c r="AB23" i="59"/>
  <c r="AA23" i="59"/>
  <c r="Z23" i="59"/>
  <c r="Y23" i="59"/>
  <c r="X23" i="59"/>
  <c r="W23" i="59"/>
  <c r="V23" i="59"/>
  <c r="U23" i="59"/>
  <c r="T23" i="59"/>
  <c r="S23" i="59"/>
  <c r="R23" i="59"/>
  <c r="Q23" i="59"/>
  <c r="P23" i="59"/>
  <c r="O23" i="59"/>
  <c r="N23" i="59"/>
  <c r="M23" i="59"/>
  <c r="L23" i="59"/>
  <c r="K23" i="59"/>
  <c r="J23" i="59"/>
  <c r="AY22" i="59"/>
  <c r="AX22" i="59"/>
  <c r="AY21" i="59"/>
  <c r="AY20" i="59"/>
  <c r="AY19" i="59"/>
  <c r="AY18" i="59"/>
  <c r="AX18" i="59"/>
  <c r="AW22" i="59"/>
  <c r="AW21" i="59"/>
  <c r="AW20" i="59"/>
  <c r="AW19" i="59"/>
  <c r="AW18" i="59"/>
  <c r="AD153" i="58"/>
  <c r="AC153" i="58"/>
  <c r="AB153" i="58"/>
  <c r="AA153" i="58"/>
  <c r="Z153" i="58"/>
  <c r="Y153" i="58"/>
  <c r="X153" i="58"/>
  <c r="W153" i="58"/>
  <c r="V153" i="58"/>
  <c r="U153" i="58"/>
  <c r="T153" i="58"/>
  <c r="S153" i="58"/>
  <c r="R153" i="58"/>
  <c r="Q153" i="58"/>
  <c r="P153" i="58"/>
  <c r="O153" i="58"/>
  <c r="N153" i="58"/>
  <c r="M153" i="58"/>
  <c r="L153" i="58"/>
  <c r="K153" i="58"/>
  <c r="J153" i="58"/>
  <c r="I153" i="58"/>
  <c r="H153" i="58"/>
  <c r="G153" i="58"/>
  <c r="F153" i="58"/>
  <c r="E153" i="58"/>
  <c r="AF152" i="58"/>
  <c r="AE152" i="58"/>
  <c r="AF151" i="58"/>
  <c r="AE151" i="58"/>
  <c r="AF150" i="58"/>
  <c r="AE150" i="58"/>
  <c r="AD148" i="58"/>
  <c r="AC148" i="58"/>
  <c r="AB148" i="58"/>
  <c r="AA148" i="58"/>
  <c r="Z148" i="58"/>
  <c r="Y148" i="58"/>
  <c r="X148" i="58"/>
  <c r="W148" i="58"/>
  <c r="V148" i="58"/>
  <c r="U148" i="58"/>
  <c r="T148" i="58"/>
  <c r="S148" i="58"/>
  <c r="R148" i="58"/>
  <c r="Q148" i="58"/>
  <c r="P148" i="58"/>
  <c r="O148" i="58"/>
  <c r="N148" i="58"/>
  <c r="M148" i="58"/>
  <c r="L148" i="58"/>
  <c r="K148" i="58"/>
  <c r="J148" i="58"/>
  <c r="I148" i="58"/>
  <c r="H148" i="58"/>
  <c r="G148" i="58"/>
  <c r="F148" i="58"/>
  <c r="E148" i="58"/>
  <c r="AF131" i="58"/>
  <c r="AE131" i="58"/>
  <c r="AF130" i="58"/>
  <c r="AE130" i="58"/>
  <c r="AF129" i="58"/>
  <c r="AE129" i="58"/>
  <c r="AF128" i="58"/>
  <c r="AE128" i="58"/>
  <c r="AF127" i="58"/>
  <c r="AE127" i="58"/>
  <c r="AF126" i="58"/>
  <c r="AE126" i="58"/>
  <c r="AF125" i="58"/>
  <c r="AE125" i="58"/>
  <c r="AF124" i="58"/>
  <c r="AE124" i="58"/>
  <c r="AF123" i="58"/>
  <c r="AE123" i="58"/>
  <c r="AF122" i="58"/>
  <c r="AE122" i="58"/>
  <c r="AF121" i="58"/>
  <c r="AE121" i="58"/>
  <c r="AF120" i="58"/>
  <c r="AE120" i="58"/>
  <c r="AF119" i="58"/>
  <c r="AE119" i="58"/>
  <c r="AF118" i="58"/>
  <c r="AE118" i="58"/>
  <c r="AF117" i="58"/>
  <c r="AE117" i="58"/>
  <c r="AF116" i="58"/>
  <c r="AE116" i="58"/>
  <c r="AF115" i="58"/>
  <c r="AE115" i="58"/>
  <c r="AF114" i="58"/>
  <c r="AE114" i="58"/>
  <c r="AF113" i="58"/>
  <c r="AE113" i="58"/>
  <c r="AF112" i="58"/>
  <c r="AE112" i="58"/>
  <c r="AF111" i="58"/>
  <c r="AE111" i="58"/>
  <c r="AF110" i="58"/>
  <c r="AE110" i="58"/>
  <c r="AF109" i="58"/>
  <c r="AE109" i="58"/>
  <c r="AF108" i="58"/>
  <c r="AE108" i="58"/>
  <c r="AF107" i="58"/>
  <c r="AE107" i="58"/>
  <c r="AF106" i="58"/>
  <c r="AE106" i="58"/>
  <c r="AF105" i="58"/>
  <c r="AE105" i="58"/>
  <c r="AF104" i="58"/>
  <c r="AE104" i="58"/>
  <c r="AF103" i="58"/>
  <c r="AE103" i="58"/>
  <c r="AF102" i="58"/>
  <c r="AE102" i="58"/>
  <c r="AF101" i="58"/>
  <c r="AE101" i="58"/>
  <c r="AF100" i="58"/>
  <c r="AE100" i="58"/>
  <c r="AF99" i="58"/>
  <c r="AE99" i="58"/>
  <c r="AF98" i="58"/>
  <c r="AE98" i="58"/>
  <c r="AF97" i="58"/>
  <c r="AE97" i="58"/>
  <c r="AF96" i="58"/>
  <c r="AE96" i="58"/>
  <c r="AF95" i="58"/>
  <c r="AE95" i="58"/>
  <c r="AF94" i="58"/>
  <c r="AE94" i="58"/>
  <c r="AD161" i="58"/>
  <c r="AB92" i="58"/>
  <c r="AB167" i="58" s="1"/>
  <c r="AA92" i="58"/>
  <c r="AB161" i="58" s="1"/>
  <c r="Z92" i="58"/>
  <c r="Z167" i="58" s="1"/>
  <c r="Y92" i="58"/>
  <c r="Z161" i="58" s="1"/>
  <c r="X92" i="58"/>
  <c r="X167" i="58" s="1"/>
  <c r="W92" i="58"/>
  <c r="X161" i="58" s="1"/>
  <c r="V92" i="58"/>
  <c r="V167" i="58" s="1"/>
  <c r="U92" i="58"/>
  <c r="V161" i="58" s="1"/>
  <c r="T92" i="58"/>
  <c r="T167" i="58" s="1"/>
  <c r="S92" i="58"/>
  <c r="T161" i="58" s="1"/>
  <c r="R92" i="58"/>
  <c r="R167" i="58" s="1"/>
  <c r="Q92" i="58"/>
  <c r="R161" i="58" s="1"/>
  <c r="P92" i="58"/>
  <c r="P167" i="58" s="1"/>
  <c r="O92" i="58"/>
  <c r="P161" i="58" s="1"/>
  <c r="N92" i="58"/>
  <c r="N167" i="58" s="1"/>
  <c r="M92" i="58"/>
  <c r="N161" i="58" s="1"/>
  <c r="L92" i="58"/>
  <c r="L167" i="58" s="1"/>
  <c r="K92" i="58"/>
  <c r="L161" i="58" s="1"/>
  <c r="J92" i="58"/>
  <c r="J167" i="58" s="1"/>
  <c r="I92" i="58"/>
  <c r="J161" i="58" s="1"/>
  <c r="H92" i="58"/>
  <c r="H167" i="58" s="1"/>
  <c r="G92" i="58"/>
  <c r="H161" i="58" s="1"/>
  <c r="F92" i="58"/>
  <c r="F167" i="58" s="1"/>
  <c r="E92" i="58"/>
  <c r="F161" i="58" s="1"/>
  <c r="AF91" i="58"/>
  <c r="AE91" i="58"/>
  <c r="AF88" i="58"/>
  <c r="AE88" i="58"/>
  <c r="AF87" i="58"/>
  <c r="AE87" i="58"/>
  <c r="AF86" i="58"/>
  <c r="AE86" i="58"/>
  <c r="AF85" i="58"/>
  <c r="AE85" i="58"/>
  <c r="AF84" i="58"/>
  <c r="AE84" i="58"/>
  <c r="AF83" i="58"/>
  <c r="AE83" i="58"/>
  <c r="AF82" i="58"/>
  <c r="AE82" i="58"/>
  <c r="AF81" i="58"/>
  <c r="AE81" i="58"/>
  <c r="AF80" i="58"/>
  <c r="AE80" i="58"/>
  <c r="AF79" i="58"/>
  <c r="AE79" i="58"/>
  <c r="AF78" i="58"/>
  <c r="AE78" i="58"/>
  <c r="AF77" i="58"/>
  <c r="AE77" i="58"/>
  <c r="AF76" i="58"/>
  <c r="AE76" i="58"/>
  <c r="AF75" i="58"/>
  <c r="AE75" i="58"/>
  <c r="AF74" i="58"/>
  <c r="AE74" i="58"/>
  <c r="AF73" i="58"/>
  <c r="AE73" i="58"/>
  <c r="AF72" i="58"/>
  <c r="AE72" i="58"/>
  <c r="AF71" i="58"/>
  <c r="AE71" i="58"/>
  <c r="AF70" i="58"/>
  <c r="AE70" i="58"/>
  <c r="AF69" i="58"/>
  <c r="AE69" i="58"/>
  <c r="AF68" i="58"/>
  <c r="AE68" i="58"/>
  <c r="AF67" i="58"/>
  <c r="AE67" i="58"/>
  <c r="AF66" i="58"/>
  <c r="AE66" i="58"/>
  <c r="AF65" i="58"/>
  <c r="AE65" i="58"/>
  <c r="AF64" i="58"/>
  <c r="AE64" i="58"/>
  <c r="AF63" i="58"/>
  <c r="AE63" i="58"/>
  <c r="AF62" i="58"/>
  <c r="AE62" i="58"/>
  <c r="AF61" i="58"/>
  <c r="AE61" i="58"/>
  <c r="AF60" i="58"/>
  <c r="AE60" i="58"/>
  <c r="AF59" i="58"/>
  <c r="AE59" i="58"/>
  <c r="AF58" i="58"/>
  <c r="AE58" i="58"/>
  <c r="AF57" i="58"/>
  <c r="AE57" i="58"/>
  <c r="AF56" i="58"/>
  <c r="AE56" i="58"/>
  <c r="AF55" i="58"/>
  <c r="AE55" i="58"/>
  <c r="AF54" i="58"/>
  <c r="AE54" i="58"/>
  <c r="AF53" i="58"/>
  <c r="AE53" i="58"/>
  <c r="AF52" i="58"/>
  <c r="AE52" i="58"/>
  <c r="AF51" i="58"/>
  <c r="AE51" i="58"/>
  <c r="AF50" i="58"/>
  <c r="AE50" i="58"/>
  <c r="AF49" i="58"/>
  <c r="AE49" i="58"/>
  <c r="AF45" i="58"/>
  <c r="AE45" i="58"/>
  <c r="AF44" i="58"/>
  <c r="AE44" i="58"/>
  <c r="AF43" i="58"/>
  <c r="AE43" i="58"/>
  <c r="AF42" i="58"/>
  <c r="AE42" i="58"/>
  <c r="AF41" i="58"/>
  <c r="AE41" i="58"/>
  <c r="AF40" i="58"/>
  <c r="AE40" i="58"/>
  <c r="AF39" i="58"/>
  <c r="AE39" i="58"/>
  <c r="AF38" i="58"/>
  <c r="AE38" i="58"/>
  <c r="AF37" i="58"/>
  <c r="AE37" i="58"/>
  <c r="AF36" i="58"/>
  <c r="AE36" i="58"/>
  <c r="AF35" i="58"/>
  <c r="AE35" i="58"/>
  <c r="AF34" i="58"/>
  <c r="AE34" i="58"/>
  <c r="AF33" i="58"/>
  <c r="AE33" i="58"/>
  <c r="AF32" i="58"/>
  <c r="AE32" i="58"/>
  <c r="AF31" i="58"/>
  <c r="AE31" i="58"/>
  <c r="AF30" i="58"/>
  <c r="AE30" i="58"/>
  <c r="AF29" i="58"/>
  <c r="AE29" i="58"/>
  <c r="AF28" i="58"/>
  <c r="AE28" i="58"/>
  <c r="AF27" i="58"/>
  <c r="AE27" i="58"/>
  <c r="AF26" i="58"/>
  <c r="AE26" i="58"/>
  <c r="AF25" i="58"/>
  <c r="AE25" i="58"/>
  <c r="AF24" i="58"/>
  <c r="AE24" i="58"/>
  <c r="AF23" i="58"/>
  <c r="AE23" i="58"/>
  <c r="AF22" i="58"/>
  <c r="AE22" i="58"/>
  <c r="AF21" i="58"/>
  <c r="AE21" i="58"/>
  <c r="AF20" i="58"/>
  <c r="AE20" i="58"/>
  <c r="AF19" i="58"/>
  <c r="AE19" i="58"/>
  <c r="AF18" i="58"/>
  <c r="AE18" i="58"/>
  <c r="AF17" i="58"/>
  <c r="AE17" i="58"/>
  <c r="AF16" i="58"/>
  <c r="AE16" i="58"/>
  <c r="AF15" i="58"/>
  <c r="AE15" i="58"/>
  <c r="AF14" i="58"/>
  <c r="AE14" i="58"/>
  <c r="AF13" i="58"/>
  <c r="AE13" i="58"/>
  <c r="AF12" i="58"/>
  <c r="AE12" i="58"/>
  <c r="AF11" i="58"/>
  <c r="AE11" i="58"/>
  <c r="AF10" i="58"/>
  <c r="AE10" i="58"/>
  <c r="AX43" i="59" l="1"/>
  <c r="AW43" i="59"/>
  <c r="AW75" i="59" s="1"/>
  <c r="AY43" i="59"/>
  <c r="V169" i="58"/>
  <c r="V163" i="58"/>
  <c r="W163" i="58"/>
  <c r="P171" i="58"/>
  <c r="AW80" i="59"/>
  <c r="S162" i="58"/>
  <c r="R168" i="58"/>
  <c r="R171" i="58" s="1"/>
  <c r="R162" i="58"/>
  <c r="R165" i="58" s="1"/>
  <c r="D17" i="32"/>
  <c r="E38" i="1" s="1"/>
  <c r="H171" i="58"/>
  <c r="F171" i="58"/>
  <c r="N171" i="58"/>
  <c r="AF47" i="58"/>
  <c r="H165" i="58"/>
  <c r="P165" i="58"/>
  <c r="L171" i="58"/>
  <c r="AE47" i="58"/>
  <c r="J165" i="58"/>
  <c r="F165" i="58"/>
  <c r="N165" i="58"/>
  <c r="J171" i="58"/>
  <c r="L165" i="58"/>
  <c r="AF92" i="58"/>
  <c r="AE148" i="58"/>
  <c r="AE153" i="58"/>
  <c r="K155" i="58"/>
  <c r="S155" i="58"/>
  <c r="AA155" i="58"/>
  <c r="AF148" i="58"/>
  <c r="AF153" i="58"/>
  <c r="H155" i="58"/>
  <c r="L155" i="58"/>
  <c r="P155" i="58"/>
  <c r="T155" i="58"/>
  <c r="X155" i="58"/>
  <c r="AB155" i="58"/>
  <c r="G155" i="58"/>
  <c r="O155" i="58"/>
  <c r="W155" i="58"/>
  <c r="AE92" i="58"/>
  <c r="E155" i="58"/>
  <c r="I155" i="58"/>
  <c r="M155" i="58"/>
  <c r="Q155" i="58"/>
  <c r="U155" i="58"/>
  <c r="Y155" i="58"/>
  <c r="AC155" i="58"/>
  <c r="F155" i="58"/>
  <c r="J155" i="58"/>
  <c r="N155" i="58"/>
  <c r="R155" i="58"/>
  <c r="V155" i="58"/>
  <c r="Z155" i="58"/>
  <c r="AD155" i="58"/>
  <c r="AW23" i="59"/>
  <c r="AX23" i="59"/>
  <c r="D16" i="32" s="1"/>
  <c r="E37" i="1" s="1"/>
  <c r="AY23" i="59"/>
  <c r="J40" i="4" l="1"/>
  <c r="J41" i="4"/>
  <c r="X169" i="58"/>
  <c r="Y163" i="58"/>
  <c r="X163" i="58"/>
  <c r="T168" i="58"/>
  <c r="T171" i="58" s="1"/>
  <c r="U162" i="58"/>
  <c r="T162" i="58"/>
  <c r="T165" i="58" s="1"/>
  <c r="AE155" i="58"/>
  <c r="AF155" i="58"/>
  <c r="Z169" i="58" l="1"/>
  <c r="Z163" i="58"/>
  <c r="AA163" i="58"/>
  <c r="W162" i="58"/>
  <c r="V168" i="58"/>
  <c r="V171" i="58" s="1"/>
  <c r="V162" i="58"/>
  <c r="V165" i="58" s="1"/>
  <c r="X168" i="58" l="1"/>
  <c r="X171" i="58" s="1"/>
  <c r="Y162" i="58"/>
  <c r="X162" i="58"/>
  <c r="X165" i="58" s="1"/>
  <c r="AB169" i="58"/>
  <c r="AC163" i="58"/>
  <c r="AD169" i="58" s="1"/>
  <c r="AB163" i="58"/>
  <c r="J216" i="49"/>
  <c r="G61" i="49"/>
  <c r="G54" i="49"/>
  <c r="G53" i="49"/>
  <c r="H207" i="49" s="1"/>
  <c r="J207" i="49" s="1"/>
  <c r="G44" i="49"/>
  <c r="G40" i="49"/>
  <c r="G39" i="49"/>
  <c r="H215" i="49" s="1"/>
  <c r="J215" i="49" s="1"/>
  <c r="G38" i="49"/>
  <c r="G16" i="49"/>
  <c r="G20" i="49"/>
  <c r="G11" i="49"/>
  <c r="J214" i="49" l="1"/>
  <c r="H209" i="49"/>
  <c r="J209" i="49" s="1"/>
  <c r="G30" i="49"/>
  <c r="AA162" i="58"/>
  <c r="Z168" i="58"/>
  <c r="Z171" i="58" s="1"/>
  <c r="Z162" i="58"/>
  <c r="Z165" i="58" s="1"/>
  <c r="AD163" i="58"/>
  <c r="H195" i="49"/>
  <c r="E199" i="49"/>
  <c r="G195" i="49"/>
  <c r="H146" i="49" l="1"/>
  <c r="H199" i="49" s="1"/>
  <c r="H211" i="49"/>
  <c r="J211" i="49" s="1"/>
  <c r="J222" i="49" s="1"/>
  <c r="AB168" i="58"/>
  <c r="AB171" i="58" s="1"/>
  <c r="AC162" i="58"/>
  <c r="AB162" i="58"/>
  <c r="AB165" i="58" s="1"/>
  <c r="G199" i="49"/>
  <c r="AD168" i="58" l="1"/>
  <c r="AD162" i="58"/>
  <c r="AD165" i="58" s="1"/>
  <c r="H222" i="49"/>
  <c r="H224" i="49" s="1"/>
  <c r="AD171" i="58"/>
  <c r="E18" i="13"/>
  <c r="E9" i="13"/>
  <c r="Q21" i="31"/>
  <c r="AF165" i="58" l="1"/>
  <c r="D13" i="32" s="1"/>
  <c r="E35" i="1" s="1"/>
  <c r="H13" i="32"/>
  <c r="J38" i="4" s="1"/>
  <c r="AF171" i="58"/>
  <c r="H14" i="32"/>
  <c r="K222" i="49"/>
  <c r="D14" i="32" l="1"/>
  <c r="E36" i="1" s="1"/>
  <c r="H15" i="32"/>
  <c r="J39" i="4" l="1"/>
  <c r="Y703" i="62"/>
  <c r="Z703" i="62"/>
  <c r="X706" i="62" l="1"/>
  <c r="AE703" i="62"/>
  <c r="AE704" i="62" s="1"/>
  <c r="AA705" i="62"/>
  <c r="AC704" i="62"/>
  <c r="AB706" i="62" l="1"/>
  <c r="AB708" i="62" s="1"/>
  <c r="Z706" i="62"/>
  <c r="Z708" i="62" s="1"/>
  <c r="Y706" i="62"/>
  <c r="Y708" i="62" s="1"/>
  <c r="D18" i="32" l="1"/>
  <c r="H18" i="32" s="1"/>
  <c r="E39" i="1"/>
  <c r="D11" i="38"/>
  <c r="D13" i="38" s="1"/>
  <c r="D15" i="38" s="1"/>
  <c r="R61" i="31" s="1"/>
  <c r="P25" i="4" s="1"/>
  <c r="K75" i="6"/>
  <c r="L75" i="6" s="1"/>
  <c r="F66" i="6"/>
  <c r="F13" i="6" s="1"/>
  <c r="D66" i="6"/>
  <c r="H62" i="6"/>
  <c r="P62" i="6" s="1"/>
  <c r="H60" i="6"/>
  <c r="H59" i="6"/>
  <c r="H58" i="6"/>
  <c r="H57" i="6"/>
  <c r="H56" i="6"/>
  <c r="H55" i="6"/>
  <c r="H54" i="6"/>
  <c r="H53" i="6"/>
  <c r="H52" i="6"/>
  <c r="H51" i="6"/>
  <c r="H50" i="6"/>
  <c r="H47" i="6"/>
  <c r="F42" i="6"/>
  <c r="H20" i="6"/>
  <c r="H11" i="6"/>
  <c r="F159" i="18"/>
  <c r="F22" i="18"/>
  <c r="E22" i="18"/>
  <c r="U16" i="31"/>
  <c r="F14" i="3"/>
  <c r="J13" i="3"/>
  <c r="J12" i="3"/>
  <c r="J11" i="3"/>
  <c r="D15" i="32"/>
  <c r="D151" i="31"/>
  <c r="D187" i="31" s="1"/>
  <c r="T149" i="31"/>
  <c r="S149" i="31"/>
  <c r="U148" i="31"/>
  <c r="U147" i="31"/>
  <c r="U146" i="31"/>
  <c r="U145" i="31"/>
  <c r="V145" i="31" s="1"/>
  <c r="U144" i="31"/>
  <c r="T135" i="31"/>
  <c r="S135" i="31"/>
  <c r="R135" i="31"/>
  <c r="P135" i="31"/>
  <c r="O135" i="31"/>
  <c r="K135" i="31"/>
  <c r="J135" i="31"/>
  <c r="I135" i="31"/>
  <c r="U134" i="31"/>
  <c r="U133" i="31"/>
  <c r="U132" i="31"/>
  <c r="U131" i="31"/>
  <c r="U130" i="31"/>
  <c r="U129" i="31"/>
  <c r="D125" i="31"/>
  <c r="U122" i="31"/>
  <c r="T121" i="31"/>
  <c r="T123" i="31" s="1"/>
  <c r="S121" i="31"/>
  <c r="S123" i="31" s="1"/>
  <c r="Q121" i="31"/>
  <c r="Q123" i="31" s="1"/>
  <c r="O121" i="31"/>
  <c r="O123" i="31" s="1"/>
  <c r="L121" i="31"/>
  <c r="L123" i="31" s="1"/>
  <c r="K121" i="31"/>
  <c r="K123" i="31" s="1"/>
  <c r="I121" i="31"/>
  <c r="I123" i="31" s="1"/>
  <c r="U119" i="31"/>
  <c r="U118" i="31"/>
  <c r="U116" i="31"/>
  <c r="U114" i="31"/>
  <c r="U113" i="31"/>
  <c r="T107" i="31"/>
  <c r="S107" i="31"/>
  <c r="R107" i="31"/>
  <c r="Q107" i="31"/>
  <c r="P107" i="31"/>
  <c r="O107" i="31"/>
  <c r="L107" i="31"/>
  <c r="K107" i="31"/>
  <c r="I107" i="31"/>
  <c r="U106" i="31"/>
  <c r="U104" i="31"/>
  <c r="U103" i="31"/>
  <c r="T100" i="31"/>
  <c r="S100" i="31"/>
  <c r="R100" i="31"/>
  <c r="Q100" i="31"/>
  <c r="N27" i="4"/>
  <c r="O100" i="31"/>
  <c r="K100" i="31"/>
  <c r="J100" i="31"/>
  <c r="I100" i="31"/>
  <c r="U96" i="31"/>
  <c r="T93" i="31"/>
  <c r="S93" i="31"/>
  <c r="R93" i="31"/>
  <c r="O93" i="31"/>
  <c r="J93" i="31"/>
  <c r="U92" i="31"/>
  <c r="U88" i="31"/>
  <c r="T84" i="31"/>
  <c r="S84" i="31"/>
  <c r="R84" i="31"/>
  <c r="Q84" i="31"/>
  <c r="O84" i="31"/>
  <c r="L84" i="31"/>
  <c r="K84" i="31"/>
  <c r="J84" i="31"/>
  <c r="I84" i="31"/>
  <c r="T72" i="31"/>
  <c r="S72" i="31"/>
  <c r="Q72" i="31"/>
  <c r="O72" i="31"/>
  <c r="L72" i="31"/>
  <c r="K72" i="31"/>
  <c r="J72" i="31"/>
  <c r="I72" i="31"/>
  <c r="U71" i="31"/>
  <c r="U70" i="31"/>
  <c r="T51" i="31"/>
  <c r="S51" i="31"/>
  <c r="R51" i="31"/>
  <c r="Q51" i="31"/>
  <c r="P51" i="31"/>
  <c r="O51" i="31"/>
  <c r="L51" i="31"/>
  <c r="K51" i="31"/>
  <c r="J51" i="31"/>
  <c r="I51" i="31"/>
  <c r="G51" i="31"/>
  <c r="F51" i="31"/>
  <c r="E51" i="31"/>
  <c r="U50" i="31"/>
  <c r="V50" i="31" s="1"/>
  <c r="U49" i="31"/>
  <c r="V49" i="31" s="1"/>
  <c r="U48" i="31"/>
  <c r="V48" i="31" s="1"/>
  <c r="U47" i="31"/>
  <c r="V47" i="31" s="1"/>
  <c r="U46" i="31"/>
  <c r="V46" i="31" s="1"/>
  <c r="U45" i="31"/>
  <c r="V45" i="31" s="1"/>
  <c r="U44" i="31"/>
  <c r="V44" i="31" s="1"/>
  <c r="U43" i="31"/>
  <c r="V43" i="31" s="1"/>
  <c r="U42" i="31"/>
  <c r="V42" i="31" s="1"/>
  <c r="U41" i="31"/>
  <c r="V41" i="31" s="1"/>
  <c r="U40" i="31"/>
  <c r="T37" i="31"/>
  <c r="S37" i="31"/>
  <c r="R37" i="31"/>
  <c r="Q37" i="31"/>
  <c r="P37" i="31"/>
  <c r="O37" i="31"/>
  <c r="L37" i="31"/>
  <c r="J37" i="31"/>
  <c r="U36" i="31"/>
  <c r="U35" i="31"/>
  <c r="U34" i="31"/>
  <c r="U33" i="31"/>
  <c r="U32" i="31"/>
  <c r="T27" i="31"/>
  <c r="S27" i="31"/>
  <c r="R27" i="31"/>
  <c r="Q27" i="31"/>
  <c r="P27" i="31"/>
  <c r="O27" i="31"/>
  <c r="L27" i="31"/>
  <c r="K27" i="31"/>
  <c r="J27" i="31"/>
  <c r="I27" i="31"/>
  <c r="U25" i="31"/>
  <c r="U23" i="31"/>
  <c r="U22" i="31"/>
  <c r="U21" i="31"/>
  <c r="U20" i="31"/>
  <c r="T17" i="31"/>
  <c r="S17" i="31"/>
  <c r="R17" i="31"/>
  <c r="Q17" i="31"/>
  <c r="O16" i="4" s="1"/>
  <c r="R16" i="4" s="1"/>
  <c r="P17" i="31"/>
  <c r="O17" i="31"/>
  <c r="L17" i="31"/>
  <c r="J17" i="31"/>
  <c r="N43" i="4"/>
  <c r="M43" i="4"/>
  <c r="I43" i="4"/>
  <c r="H43" i="4"/>
  <c r="G43" i="4"/>
  <c r="R40" i="4"/>
  <c r="H37" i="1" s="1"/>
  <c r="R31" i="4"/>
  <c r="H28" i="1" s="1"/>
  <c r="K28" i="1" s="1"/>
  <c r="Q28" i="1" s="1"/>
  <c r="N19" i="4"/>
  <c r="M19" i="4"/>
  <c r="H19" i="4"/>
  <c r="O17" i="4"/>
  <c r="C33" i="2"/>
  <c r="N40" i="1"/>
  <c r="J42" i="4" l="1"/>
  <c r="H19" i="32"/>
  <c r="O19" i="4"/>
  <c r="P11" i="6"/>
  <c r="I11" i="6"/>
  <c r="H13" i="6"/>
  <c r="F15" i="6"/>
  <c r="N143" i="31"/>
  <c r="N149" i="31" s="1"/>
  <c r="I20" i="6"/>
  <c r="P20" i="6"/>
  <c r="I46" i="6"/>
  <c r="K46" i="6" s="1"/>
  <c r="L46" i="6" s="1"/>
  <c r="N46" i="6" s="1"/>
  <c r="P46" i="6"/>
  <c r="M63" i="31" s="1"/>
  <c r="I50" i="6"/>
  <c r="K50" i="6" s="1"/>
  <c r="L50" i="6" s="1"/>
  <c r="P50" i="6"/>
  <c r="M67" i="31" s="1"/>
  <c r="I53" i="6"/>
  <c r="K53" i="6" s="1"/>
  <c r="L53" i="6" s="1"/>
  <c r="P53" i="6"/>
  <c r="M77" i="31" s="1"/>
  <c r="I57" i="6"/>
  <c r="K57" i="6" s="1"/>
  <c r="L57" i="6" s="1"/>
  <c r="N57" i="6" s="1"/>
  <c r="Q57" i="6" s="1"/>
  <c r="P57" i="6"/>
  <c r="I61" i="6"/>
  <c r="K61" i="6" s="1"/>
  <c r="L61" i="6" s="1"/>
  <c r="P61" i="6"/>
  <c r="M90" i="31" s="1"/>
  <c r="I65" i="6"/>
  <c r="K65" i="6" s="1"/>
  <c r="L65" i="6" s="1"/>
  <c r="P65" i="6"/>
  <c r="M120" i="31" s="1"/>
  <c r="I41" i="6"/>
  <c r="I47" i="6"/>
  <c r="K47" i="6" s="1"/>
  <c r="L47" i="6" s="1"/>
  <c r="N47" i="6" s="1"/>
  <c r="Q47" i="6" s="1"/>
  <c r="P47" i="6"/>
  <c r="M64" i="31" s="1"/>
  <c r="I51" i="6"/>
  <c r="K51" i="6" s="1"/>
  <c r="L51" i="6" s="1"/>
  <c r="P51" i="6"/>
  <c r="M68" i="31" s="1"/>
  <c r="I54" i="6"/>
  <c r="K54" i="6" s="1"/>
  <c r="L54" i="6" s="1"/>
  <c r="N54" i="6" s="1"/>
  <c r="P54" i="6"/>
  <c r="M78" i="31" s="1"/>
  <c r="I58" i="6"/>
  <c r="K58" i="6" s="1"/>
  <c r="L58" i="6" s="1"/>
  <c r="P58" i="6"/>
  <c r="M82" i="31" s="1"/>
  <c r="I62" i="6"/>
  <c r="K62" i="6" s="1"/>
  <c r="L62" i="6" s="1"/>
  <c r="N62" i="6" s="1"/>
  <c r="Q62" i="6" s="1"/>
  <c r="M110" i="31"/>
  <c r="I48" i="6"/>
  <c r="K48" i="6" s="1"/>
  <c r="L48" i="6" s="1"/>
  <c r="N48" i="6" s="1"/>
  <c r="P48" i="6"/>
  <c r="M65" i="31" s="1"/>
  <c r="I52" i="6"/>
  <c r="K52" i="6" s="1"/>
  <c r="L52" i="6" s="1"/>
  <c r="P52" i="6"/>
  <c r="M69" i="31" s="1"/>
  <c r="I55" i="6"/>
  <c r="K55" i="6" s="1"/>
  <c r="P55" i="6"/>
  <c r="M79" i="31" s="1"/>
  <c r="I59" i="6"/>
  <c r="K59" i="6" s="1"/>
  <c r="L59" i="6" s="1"/>
  <c r="P59" i="6"/>
  <c r="M83" i="31" s="1"/>
  <c r="I45" i="6"/>
  <c r="K45" i="6" s="1"/>
  <c r="L45" i="6" s="1"/>
  <c r="P45" i="6"/>
  <c r="I49" i="6"/>
  <c r="K49" i="6" s="1"/>
  <c r="L49" i="6" s="1"/>
  <c r="P49" i="6"/>
  <c r="M66" i="31" s="1"/>
  <c r="I56" i="6"/>
  <c r="K56" i="6" s="1"/>
  <c r="L56" i="6" s="1"/>
  <c r="P56" i="6"/>
  <c r="M80" i="31" s="1"/>
  <c r="I60" i="6"/>
  <c r="K60" i="6" s="1"/>
  <c r="P60" i="6"/>
  <c r="M89" i="31" s="1"/>
  <c r="I64" i="6"/>
  <c r="K64" i="6" s="1"/>
  <c r="L64" i="6" s="1"/>
  <c r="P64" i="6"/>
  <c r="M115" i="31" s="1"/>
  <c r="G24" i="31"/>
  <c r="G159" i="31"/>
  <c r="F17" i="31"/>
  <c r="G116" i="31"/>
  <c r="V116" i="31" s="1"/>
  <c r="G34" i="31"/>
  <c r="V34" i="31" s="1"/>
  <c r="G90" i="31"/>
  <c r="G97" i="31"/>
  <c r="G99" i="31"/>
  <c r="V99" i="31" s="1"/>
  <c r="G144" i="31"/>
  <c r="V144" i="31" s="1"/>
  <c r="G154" i="31"/>
  <c r="O85" i="31"/>
  <c r="I85" i="31"/>
  <c r="G167" i="31"/>
  <c r="G16" i="31"/>
  <c r="V16" i="31" s="1"/>
  <c r="J28" i="31"/>
  <c r="P28" i="31"/>
  <c r="P53" i="31" s="1"/>
  <c r="G36" i="31"/>
  <c r="V36" i="31" s="1"/>
  <c r="G53" i="31"/>
  <c r="E20" i="1" s="1"/>
  <c r="G69" i="31"/>
  <c r="G70" i="31"/>
  <c r="V70" i="31" s="1"/>
  <c r="G176" i="31"/>
  <c r="G32" i="31"/>
  <c r="V32" i="31" s="1"/>
  <c r="Q85" i="31"/>
  <c r="F23" i="18"/>
  <c r="J105" i="31" s="1"/>
  <c r="G130" i="31"/>
  <c r="G165" i="31"/>
  <c r="R27" i="4"/>
  <c r="H24" i="1" s="1"/>
  <c r="J85" i="31"/>
  <c r="G157" i="31"/>
  <c r="G76" i="31"/>
  <c r="G81" i="31"/>
  <c r="G88" i="31"/>
  <c r="V88" i="31" s="1"/>
  <c r="G115" i="31"/>
  <c r="G117" i="31"/>
  <c r="G122" i="31"/>
  <c r="V122" i="31" s="1"/>
  <c r="G131" i="31"/>
  <c r="V131" i="31" s="1"/>
  <c r="G155" i="31"/>
  <c r="S85" i="31"/>
  <c r="G133" i="31"/>
  <c r="V133" i="31" s="1"/>
  <c r="G134" i="31"/>
  <c r="G21" i="31"/>
  <c r="E14" i="1" s="1"/>
  <c r="F37" i="31"/>
  <c r="G64" i="31"/>
  <c r="G104" i="31"/>
  <c r="V104" i="31" s="1"/>
  <c r="G113" i="31"/>
  <c r="V113" i="31" s="1"/>
  <c r="G132" i="31"/>
  <c r="V132" i="31" s="1"/>
  <c r="F173" i="31"/>
  <c r="G166" i="31"/>
  <c r="G168" i="31"/>
  <c r="G177" i="31"/>
  <c r="G178" i="31"/>
  <c r="G180" i="31"/>
  <c r="G184" i="31"/>
  <c r="G15" i="31"/>
  <c r="L28" i="31"/>
  <c r="T28" i="31"/>
  <c r="T54" i="31" s="1"/>
  <c r="G35" i="31"/>
  <c r="V35" i="31" s="1"/>
  <c r="G68" i="31"/>
  <c r="G105" i="31"/>
  <c r="G169" i="31"/>
  <c r="G181" i="31"/>
  <c r="G182" i="31"/>
  <c r="K37" i="1"/>
  <c r="Q37" i="1" s="1"/>
  <c r="Q28" i="31"/>
  <c r="S28" i="31"/>
  <c r="S54" i="31" s="1"/>
  <c r="G31" i="31"/>
  <c r="E149" i="31"/>
  <c r="I17" i="31"/>
  <c r="I28" i="31" s="1"/>
  <c r="E17" i="31"/>
  <c r="G33" i="31"/>
  <c r="V33" i="31" s="1"/>
  <c r="G67" i="31"/>
  <c r="L85" i="31"/>
  <c r="G89" i="31"/>
  <c r="G114" i="31"/>
  <c r="G185" i="31"/>
  <c r="G23" i="31"/>
  <c r="V23" i="31" s="1"/>
  <c r="G25" i="31"/>
  <c r="V25" i="31" s="1"/>
  <c r="G78" i="31"/>
  <c r="G79" i="31"/>
  <c r="G118" i="31"/>
  <c r="V118" i="31" s="1"/>
  <c r="J14" i="3"/>
  <c r="D12" i="26" s="1"/>
  <c r="H42" i="6"/>
  <c r="R17" i="4"/>
  <c r="H14" i="1" s="1"/>
  <c r="U51" i="31"/>
  <c r="G61" i="31"/>
  <c r="G71" i="31"/>
  <c r="G91" i="31"/>
  <c r="E107" i="31"/>
  <c r="C16" i="24"/>
  <c r="G112" i="31"/>
  <c r="G171" i="31"/>
  <c r="G179" i="31"/>
  <c r="G129" i="31"/>
  <c r="V129" i="31" s="1"/>
  <c r="D42" i="6"/>
  <c r="G57" i="31"/>
  <c r="E84" i="31"/>
  <c r="G77" i="31"/>
  <c r="E160" i="31"/>
  <c r="G158" i="31"/>
  <c r="G20" i="31"/>
  <c r="V20" i="31" s="1"/>
  <c r="F135" i="31"/>
  <c r="G128" i="31"/>
  <c r="G16" i="24"/>
  <c r="G80" i="31"/>
  <c r="F93" i="31"/>
  <c r="E37" i="31"/>
  <c r="V40" i="31"/>
  <c r="V51" i="31" s="1"/>
  <c r="F72" i="31"/>
  <c r="G63" i="31"/>
  <c r="G66" i="31"/>
  <c r="G98" i="31"/>
  <c r="F121" i="31"/>
  <c r="F123" i="31" s="1"/>
  <c r="E72" i="31"/>
  <c r="G92" i="31"/>
  <c r="G96" i="31"/>
  <c r="F100" i="31"/>
  <c r="G137" i="31"/>
  <c r="O28" i="31"/>
  <c r="R28" i="31"/>
  <c r="K85" i="31"/>
  <c r="E93" i="31"/>
  <c r="G119" i="31"/>
  <c r="G22" i="31"/>
  <c r="G62" i="31"/>
  <c r="G65" i="31"/>
  <c r="T85" i="31"/>
  <c r="F84" i="31"/>
  <c r="G75" i="31"/>
  <c r="G82" i="31"/>
  <c r="G83" i="31"/>
  <c r="F107" i="31"/>
  <c r="G103" i="31"/>
  <c r="G106" i="31"/>
  <c r="G111" i="31"/>
  <c r="E100" i="31"/>
  <c r="E121" i="31"/>
  <c r="E123" i="31" s="1"/>
  <c r="G120" i="31"/>
  <c r="E135" i="31"/>
  <c r="G140" i="31"/>
  <c r="G164" i="31"/>
  <c r="G172" i="31"/>
  <c r="G110" i="31"/>
  <c r="E186" i="31"/>
  <c r="F149" i="31"/>
  <c r="F160" i="31"/>
  <c r="E173" i="31"/>
  <c r="G163" i="31"/>
  <c r="F186" i="31"/>
  <c r="G183" i="31"/>
  <c r="N75" i="6"/>
  <c r="G156" i="31"/>
  <c r="G170" i="31"/>
  <c r="H66" i="6"/>
  <c r="F160" i="18"/>
  <c r="H15" i="6"/>
  <c r="K77" i="6"/>
  <c r="L77" i="6" s="1"/>
  <c r="N77" i="6" s="1"/>
  <c r="K79" i="6"/>
  <c r="L79" i="6" s="1"/>
  <c r="N79" i="6" s="1"/>
  <c r="K80" i="6"/>
  <c r="L80" i="6" s="1"/>
  <c r="N80" i="6" s="1"/>
  <c r="F111" i="6"/>
  <c r="K76" i="6"/>
  <c r="K78" i="6"/>
  <c r="L78" i="6" s="1"/>
  <c r="N78" i="6" s="1"/>
  <c r="O53" i="31" l="1"/>
  <c r="O54" i="31" s="1"/>
  <c r="J43" i="4"/>
  <c r="R42" i="4"/>
  <c r="H39" i="1" s="1"/>
  <c r="Q53" i="31"/>
  <c r="O23" i="4" s="1"/>
  <c r="L53" i="31"/>
  <c r="J23" i="4" s="1"/>
  <c r="P13" i="6"/>
  <c r="P15" i="6" s="1"/>
  <c r="P17" i="6" s="1"/>
  <c r="M140" i="31" s="1"/>
  <c r="K32" i="4" s="1"/>
  <c r="I13" i="6"/>
  <c r="K13" i="6" s="1"/>
  <c r="K41" i="6"/>
  <c r="L41" i="6" s="1"/>
  <c r="N41" i="6" s="1"/>
  <c r="K20" i="6"/>
  <c r="L20" i="6" s="1"/>
  <c r="N20" i="6" s="1"/>
  <c r="Q20" i="6" s="1"/>
  <c r="P57" i="31" s="1"/>
  <c r="I42" i="6"/>
  <c r="N150" i="31"/>
  <c r="N151" i="31" s="1"/>
  <c r="L33" i="4"/>
  <c r="R54" i="31"/>
  <c r="V21" i="31"/>
  <c r="P54" i="31"/>
  <c r="J53" i="31"/>
  <c r="J54" i="31" s="1"/>
  <c r="I53" i="31"/>
  <c r="G23" i="4" s="1"/>
  <c r="J107" i="31"/>
  <c r="H28" i="4"/>
  <c r="M121" i="31"/>
  <c r="M123" i="31" s="1"/>
  <c r="K29" i="4" s="1"/>
  <c r="L55" i="6"/>
  <c r="N55" i="6" s="1"/>
  <c r="Q55" i="6" s="1"/>
  <c r="M62" i="31"/>
  <c r="M93" i="31"/>
  <c r="K26" i="4" s="1"/>
  <c r="Q54" i="6"/>
  <c r="K24" i="4"/>
  <c r="P42" i="6"/>
  <c r="L60" i="6"/>
  <c r="N60" i="6" s="1"/>
  <c r="Q48" i="6"/>
  <c r="P65" i="31" s="1"/>
  <c r="M81" i="31"/>
  <c r="I66" i="6"/>
  <c r="Q46" i="6"/>
  <c r="P66" i="6"/>
  <c r="G27" i="31"/>
  <c r="E15" i="1" s="1"/>
  <c r="R72" i="31"/>
  <c r="R85" i="31" s="1"/>
  <c r="O75" i="6"/>
  <c r="Q75" i="6"/>
  <c r="T151" i="31"/>
  <c r="F28" i="31"/>
  <c r="F54" i="31" s="1"/>
  <c r="G17" i="31"/>
  <c r="E13" i="1" s="1"/>
  <c r="K14" i="1"/>
  <c r="Q14" i="1" s="1"/>
  <c r="V146" i="31"/>
  <c r="V114" i="31"/>
  <c r="G186" i="31"/>
  <c r="U105" i="31"/>
  <c r="U107" i="31" s="1"/>
  <c r="S151" i="31"/>
  <c r="V148" i="31"/>
  <c r="V134" i="31"/>
  <c r="L13" i="6"/>
  <c r="N13" i="6" s="1"/>
  <c r="Q13" i="6" s="1"/>
  <c r="V130" i="31"/>
  <c r="V71" i="31"/>
  <c r="E28" i="31"/>
  <c r="E54" i="31" s="1"/>
  <c r="U97" i="31"/>
  <c r="L100" i="31"/>
  <c r="G149" i="31"/>
  <c r="E30" i="1" s="1"/>
  <c r="N50" i="6"/>
  <c r="Q50" i="6" s="1"/>
  <c r="N61" i="6"/>
  <c r="Q61" i="6" s="1"/>
  <c r="V106" i="31"/>
  <c r="E85" i="31"/>
  <c r="E150" i="31" s="1"/>
  <c r="I37" i="31"/>
  <c r="G37" i="31"/>
  <c r="E19" i="1" s="1"/>
  <c r="N49" i="6"/>
  <c r="N58" i="6"/>
  <c r="Q58" i="6" s="1"/>
  <c r="P82" i="31" s="1"/>
  <c r="N64" i="6"/>
  <c r="Q64" i="6" s="1"/>
  <c r="N51" i="6"/>
  <c r="N56" i="6"/>
  <c r="N65" i="6"/>
  <c r="V92" i="31"/>
  <c r="G93" i="31"/>
  <c r="E23" i="1" s="1"/>
  <c r="G107" i="31"/>
  <c r="E25" i="1" s="1"/>
  <c r="O62" i="6"/>
  <c r="N52" i="6"/>
  <c r="Q52" i="6" s="1"/>
  <c r="E29" i="1"/>
  <c r="V147" i="31"/>
  <c r="F85" i="31"/>
  <c r="N45" i="6"/>
  <c r="Q45" i="6" s="1"/>
  <c r="G121" i="31"/>
  <c r="G123" i="31" s="1"/>
  <c r="E26" i="1" s="1"/>
  <c r="V119" i="31"/>
  <c r="G100" i="31"/>
  <c r="E24" i="1" s="1"/>
  <c r="K24" i="1" s="1"/>
  <c r="Q24" i="1" s="1"/>
  <c r="V96" i="31"/>
  <c r="E16" i="13"/>
  <c r="O38" i="4" s="1"/>
  <c r="E12" i="13"/>
  <c r="Q140" i="31" s="1"/>
  <c r="N59" i="6"/>
  <c r="N53" i="6"/>
  <c r="Q53" i="6" s="1"/>
  <c r="P77" i="31" s="1"/>
  <c r="K66" i="6"/>
  <c r="G173" i="31"/>
  <c r="O54" i="6"/>
  <c r="G160" i="31"/>
  <c r="E16" i="24" s="1"/>
  <c r="G72" i="31"/>
  <c r="V98" i="31"/>
  <c r="G135" i="31"/>
  <c r="E27" i="1" s="1"/>
  <c r="E57" i="67" s="1"/>
  <c r="E58" i="67" s="1"/>
  <c r="L128" i="31" s="1"/>
  <c r="J117" i="31"/>
  <c r="H29" i="4" s="1"/>
  <c r="O57" i="6"/>
  <c r="O46" i="6"/>
  <c r="O48" i="6"/>
  <c r="V103" i="31"/>
  <c r="O47" i="6"/>
  <c r="G84" i="31"/>
  <c r="V22" i="31"/>
  <c r="E21" i="1"/>
  <c r="L76" i="6"/>
  <c r="N76" i="6" s="1"/>
  <c r="Q54" i="31" l="1"/>
  <c r="I15" i="6"/>
  <c r="Q41" i="6"/>
  <c r="O41" i="6"/>
  <c r="R143" i="31"/>
  <c r="P33" i="4" s="1"/>
  <c r="P34" i="4" s="1"/>
  <c r="P35" i="4" s="1"/>
  <c r="L54" i="31"/>
  <c r="J143" i="31"/>
  <c r="H33" i="4" s="1"/>
  <c r="H34" i="4" s="1"/>
  <c r="H35" i="4" s="1"/>
  <c r="M84" i="31"/>
  <c r="L135" i="31"/>
  <c r="P79" i="31"/>
  <c r="U79" i="31" s="1"/>
  <c r="V79" i="31" s="1"/>
  <c r="P78" i="31"/>
  <c r="U78" i="31" s="1"/>
  <c r="V78" i="31" s="1"/>
  <c r="U82" i="31"/>
  <c r="V82" i="31" s="1"/>
  <c r="P67" i="31"/>
  <c r="U67" i="31" s="1"/>
  <c r="V67" i="31" s="1"/>
  <c r="P81" i="31"/>
  <c r="U81" i="31" s="1"/>
  <c r="V81" i="31" s="1"/>
  <c r="P115" i="31"/>
  <c r="U77" i="31"/>
  <c r="V77" i="31" s="1"/>
  <c r="P63" i="31"/>
  <c r="U63" i="31" s="1"/>
  <c r="V63" i="31" s="1"/>
  <c r="U65" i="31"/>
  <c r="V65" i="31" s="1"/>
  <c r="P69" i="31"/>
  <c r="U69" i="31" s="1"/>
  <c r="V69" i="31" s="1"/>
  <c r="P90" i="31"/>
  <c r="U90" i="31" s="1"/>
  <c r="V90" i="31" s="1"/>
  <c r="M72" i="31"/>
  <c r="O55" i="6"/>
  <c r="K42" i="6"/>
  <c r="J11" i="6" s="1"/>
  <c r="K11" i="6" s="1"/>
  <c r="K15" i="6" s="1"/>
  <c r="P62" i="31"/>
  <c r="L66" i="6"/>
  <c r="U76" i="31"/>
  <c r="V76" i="31" s="1"/>
  <c r="U111" i="31"/>
  <c r="V111" i="31" s="1"/>
  <c r="Q59" i="6"/>
  <c r="Q56" i="6"/>
  <c r="P80" i="31" s="1"/>
  <c r="Q60" i="6"/>
  <c r="Q65" i="6"/>
  <c r="Q51" i="6"/>
  <c r="Q49" i="6"/>
  <c r="O81" i="6"/>
  <c r="Q81" i="6"/>
  <c r="O87" i="6"/>
  <c r="Q87" i="6"/>
  <c r="O85" i="6"/>
  <c r="Q85" i="6"/>
  <c r="O79" i="6"/>
  <c r="Q79" i="6"/>
  <c r="O77" i="6"/>
  <c r="Q77" i="6"/>
  <c r="O86" i="6"/>
  <c r="Q86" i="6"/>
  <c r="O78" i="6"/>
  <c r="Q78" i="6"/>
  <c r="O83" i="6"/>
  <c r="Q83" i="6"/>
  <c r="O82" i="6"/>
  <c r="Q82" i="6"/>
  <c r="O84" i="6"/>
  <c r="Q84" i="6"/>
  <c r="O80" i="6"/>
  <c r="Q80" i="6"/>
  <c r="P61" i="31"/>
  <c r="R28" i="4"/>
  <c r="H25" i="1" s="1"/>
  <c r="K25" i="1" s="1"/>
  <c r="Q25" i="1" s="1"/>
  <c r="O50" i="6"/>
  <c r="E125" i="31"/>
  <c r="V105" i="31"/>
  <c r="V107" i="31" s="1"/>
  <c r="O64" i="6"/>
  <c r="U100" i="31"/>
  <c r="V97" i="31"/>
  <c r="V100" i="31" s="1"/>
  <c r="O61" i="6"/>
  <c r="O52" i="6"/>
  <c r="O49" i="6"/>
  <c r="L42" i="6"/>
  <c r="E151" i="31"/>
  <c r="E187" i="31" s="1"/>
  <c r="O13" i="6"/>
  <c r="O65" i="6"/>
  <c r="O56" i="6"/>
  <c r="D19" i="32"/>
  <c r="O32" i="4"/>
  <c r="N66" i="6"/>
  <c r="O20" i="6"/>
  <c r="N42" i="6"/>
  <c r="U117" i="31"/>
  <c r="V117" i="31" s="1"/>
  <c r="J121" i="31"/>
  <c r="J123" i="31" s="1"/>
  <c r="O59" i="6"/>
  <c r="O45" i="6"/>
  <c r="G28" i="31"/>
  <c r="G85" i="31"/>
  <c r="O53" i="6"/>
  <c r="O58" i="6"/>
  <c r="U112" i="31"/>
  <c r="V112" i="31" s="1"/>
  <c r="G19" i="4"/>
  <c r="E20" i="13"/>
  <c r="E21" i="13" s="1"/>
  <c r="F150" i="31"/>
  <c r="F151" i="31" s="1"/>
  <c r="F187" i="31" s="1"/>
  <c r="F125" i="31"/>
  <c r="O60" i="6"/>
  <c r="O51" i="6"/>
  <c r="Q66" i="6" l="1"/>
  <c r="R149" i="31"/>
  <c r="R150" i="31" s="1"/>
  <c r="R151" i="31" s="1"/>
  <c r="J30" i="4"/>
  <c r="M85" i="31"/>
  <c r="I54" i="31"/>
  <c r="P66" i="31"/>
  <c r="U66" i="31" s="1"/>
  <c r="V66" i="31" s="1"/>
  <c r="U80" i="31"/>
  <c r="V80" i="31" s="1"/>
  <c r="P64" i="31"/>
  <c r="U64" i="31" s="1"/>
  <c r="V64" i="31" s="1"/>
  <c r="P68" i="31"/>
  <c r="U68" i="31" s="1"/>
  <c r="V68" i="31" s="1"/>
  <c r="P83" i="31"/>
  <c r="U83" i="31" s="1"/>
  <c r="V83" i="31" s="1"/>
  <c r="Q42" i="6"/>
  <c r="P89" i="31"/>
  <c r="P75" i="31"/>
  <c r="U75" i="31" s="1"/>
  <c r="V75" i="31" s="1"/>
  <c r="P120" i="31"/>
  <c r="U120" i="31" s="1"/>
  <c r="V120" i="31" s="1"/>
  <c r="I19" i="4"/>
  <c r="K17" i="31"/>
  <c r="K28" i="31" s="1"/>
  <c r="N111" i="6"/>
  <c r="Q76" i="6"/>
  <c r="Q111" i="6" s="1"/>
  <c r="J149" i="31"/>
  <c r="J150" i="31" s="1"/>
  <c r="J151" i="31" s="1"/>
  <c r="M11" i="6"/>
  <c r="O42" i="6"/>
  <c r="L11" i="6"/>
  <c r="E22" i="13"/>
  <c r="O41" i="4" s="1"/>
  <c r="R41" i="4" s="1"/>
  <c r="H38" i="1" s="1"/>
  <c r="K38" i="1" s="1"/>
  <c r="Q38" i="1" s="1"/>
  <c r="U61" i="31"/>
  <c r="V61" i="31" s="1"/>
  <c r="O66" i="6"/>
  <c r="E16" i="1"/>
  <c r="U24" i="31"/>
  <c r="G125" i="31"/>
  <c r="E22" i="1"/>
  <c r="E31" i="1" s="1"/>
  <c r="G150" i="31"/>
  <c r="G54" i="31"/>
  <c r="C8" i="2"/>
  <c r="F18" i="13"/>
  <c r="F23" i="13" s="1"/>
  <c r="E19" i="13"/>
  <c r="O39" i="4" s="1"/>
  <c r="R39" i="4" s="1"/>
  <c r="H36" i="1" s="1"/>
  <c r="K36" i="1" s="1"/>
  <c r="Q36" i="1" s="1"/>
  <c r="Q128" i="31"/>
  <c r="O30" i="4" s="1"/>
  <c r="R18" i="4"/>
  <c r="R19" i="4" s="1"/>
  <c r="R38" i="4"/>
  <c r="H13" i="1"/>
  <c r="K13" i="1" s="1"/>
  <c r="K39" i="1"/>
  <c r="Q39" i="1" s="1"/>
  <c r="E40" i="1"/>
  <c r="O76" i="6"/>
  <c r="Q91" i="31" l="1"/>
  <c r="O26" i="4" s="1"/>
  <c r="L91" i="31"/>
  <c r="L15" i="6"/>
  <c r="P93" i="31"/>
  <c r="N26" i="4" s="1"/>
  <c r="P84" i="31"/>
  <c r="J26" i="4"/>
  <c r="L93" i="31"/>
  <c r="L143" i="31" s="1"/>
  <c r="L149" i="31" s="1"/>
  <c r="K25" i="4"/>
  <c r="M143" i="31"/>
  <c r="M149" i="31" s="1"/>
  <c r="M150" i="31" s="1"/>
  <c r="M151" i="31" s="1"/>
  <c r="I91" i="31"/>
  <c r="I93" i="31" s="1"/>
  <c r="K91" i="31"/>
  <c r="I26" i="4" s="1"/>
  <c r="K53" i="31"/>
  <c r="I23" i="4" s="1"/>
  <c r="U15" i="31"/>
  <c r="V15" i="31" s="1"/>
  <c r="V17" i="31" s="1"/>
  <c r="V84" i="31"/>
  <c r="U84" i="31"/>
  <c r="U89" i="31"/>
  <c r="V89" i="31" s="1"/>
  <c r="O43" i="4"/>
  <c r="N11" i="6"/>
  <c r="N15" i="6" s="1"/>
  <c r="E32" i="1"/>
  <c r="E41" i="1" s="1"/>
  <c r="G151" i="31"/>
  <c r="G187" i="31" s="1"/>
  <c r="U115" i="31"/>
  <c r="V115" i="31" s="1"/>
  <c r="H15" i="1"/>
  <c r="N24" i="4"/>
  <c r="U57" i="31"/>
  <c r="V57" i="31" s="1"/>
  <c r="U128" i="31"/>
  <c r="Q135" i="31"/>
  <c r="U62" i="31"/>
  <c r="P72" i="31"/>
  <c r="R30" i="4"/>
  <c r="H27" i="1" s="1"/>
  <c r="K27" i="1" s="1"/>
  <c r="Q27" i="1" s="1"/>
  <c r="C12" i="2"/>
  <c r="C16" i="2" s="1"/>
  <c r="D10" i="2"/>
  <c r="V24" i="31"/>
  <c r="V27" i="31" s="1"/>
  <c r="U27" i="31"/>
  <c r="H35" i="1"/>
  <c r="R43" i="4"/>
  <c r="E25" i="13"/>
  <c r="O111" i="6"/>
  <c r="P110" i="31"/>
  <c r="Q143" i="31" l="1"/>
  <c r="Q149" i="31" s="1"/>
  <c r="L150" i="31"/>
  <c r="L151" i="31" s="1"/>
  <c r="J33" i="4"/>
  <c r="J34" i="4" s="1"/>
  <c r="J35" i="4" s="1"/>
  <c r="O11" i="6"/>
  <c r="P85" i="31"/>
  <c r="N25" i="4" s="1"/>
  <c r="R25" i="4" s="1"/>
  <c r="H22" i="1" s="1"/>
  <c r="K22" i="1" s="1"/>
  <c r="Q22" i="1" s="1"/>
  <c r="K33" i="4"/>
  <c r="K34" i="4" s="1"/>
  <c r="K35" i="4" s="1"/>
  <c r="G26" i="4"/>
  <c r="R26" i="4" s="1"/>
  <c r="H23" i="1" s="1"/>
  <c r="I143" i="31"/>
  <c r="I149" i="31" s="1"/>
  <c r="G33" i="4" s="1"/>
  <c r="U17" i="31"/>
  <c r="U28" i="31" s="1"/>
  <c r="Q11" i="6"/>
  <c r="Q15" i="6" s="1"/>
  <c r="Q17" i="6" s="1"/>
  <c r="P140" i="31" s="1"/>
  <c r="N32" i="4" s="1"/>
  <c r="C18" i="2"/>
  <c r="C20" i="2" s="1"/>
  <c r="C22" i="2" s="1"/>
  <c r="C25" i="2" s="1"/>
  <c r="V28" i="31"/>
  <c r="R24" i="4"/>
  <c r="H21" i="1" s="1"/>
  <c r="K21" i="1" s="1"/>
  <c r="Q21" i="1" s="1"/>
  <c r="U135" i="31"/>
  <c r="V128" i="31"/>
  <c r="V135" i="31" s="1"/>
  <c r="Q93" i="31"/>
  <c r="H40" i="1"/>
  <c r="K35" i="1"/>
  <c r="R23" i="4"/>
  <c r="H20" i="1" s="1"/>
  <c r="K20" i="1" s="1"/>
  <c r="V62" i="31"/>
  <c r="V72" i="31" s="1"/>
  <c r="V85" i="31" s="1"/>
  <c r="U72" i="31"/>
  <c r="U85" i="31" s="1"/>
  <c r="K15" i="1"/>
  <c r="H16" i="1"/>
  <c r="P121" i="31"/>
  <c r="P123" i="31" s="1"/>
  <c r="U110" i="31"/>
  <c r="O33" i="4" l="1"/>
  <c r="O34" i="4" s="1"/>
  <c r="O35" i="4" s="1"/>
  <c r="P143" i="31"/>
  <c r="N33" i="4" s="1"/>
  <c r="I150" i="31"/>
  <c r="I151" i="31" s="1"/>
  <c r="G34" i="4"/>
  <c r="G35" i="4" s="1"/>
  <c r="G45" i="4" s="1"/>
  <c r="K45" i="4"/>
  <c r="J45" i="4"/>
  <c r="P45" i="4"/>
  <c r="H45" i="4"/>
  <c r="D19" i="26"/>
  <c r="R32" i="4"/>
  <c r="H29" i="1" s="1"/>
  <c r="K29" i="1" s="1"/>
  <c r="Q29" i="1" s="1"/>
  <c r="U140" i="31"/>
  <c r="V140" i="31" s="1"/>
  <c r="Q150" i="31"/>
  <c r="Q151" i="31" s="1"/>
  <c r="K23" i="1"/>
  <c r="K93" i="31"/>
  <c r="U91" i="31"/>
  <c r="K40" i="1"/>
  <c r="D11" i="26" s="1"/>
  <c r="D14" i="26" s="1"/>
  <c r="Q35" i="1"/>
  <c r="Q40" i="1" s="1"/>
  <c r="B16" i="24" s="1"/>
  <c r="D16" i="24" s="1"/>
  <c r="F16" i="24" s="1"/>
  <c r="Q15" i="1"/>
  <c r="K16" i="1"/>
  <c r="U53" i="31"/>
  <c r="V53" i="31" s="1"/>
  <c r="V110" i="31"/>
  <c r="V121" i="31" s="1"/>
  <c r="V123" i="31" s="1"/>
  <c r="U121" i="31"/>
  <c r="U123" i="31" s="1"/>
  <c r="N29" i="4"/>
  <c r="K143" i="31" l="1"/>
  <c r="H16" i="24"/>
  <c r="L34" i="4"/>
  <c r="L35" i="4" s="1"/>
  <c r="L45" i="4" s="1"/>
  <c r="O45" i="4"/>
  <c r="V91" i="31"/>
  <c r="V93" i="31" s="1"/>
  <c r="U93" i="31"/>
  <c r="D23" i="26"/>
  <c r="R29" i="4"/>
  <c r="O143" i="31" l="1"/>
  <c r="O149" i="31" s="1"/>
  <c r="O150" i="31" s="1"/>
  <c r="O151" i="31" s="1"/>
  <c r="N34" i="4"/>
  <c r="H26" i="1"/>
  <c r="N35" i="4" l="1"/>
  <c r="N45" i="4" s="1"/>
  <c r="M33" i="4"/>
  <c r="M34" i="4" s="1"/>
  <c r="M35" i="4" s="1"/>
  <c r="M45" i="4" s="1"/>
  <c r="K26" i="1"/>
  <c r="P149" i="31"/>
  <c r="P150" i="31" s="1"/>
  <c r="P151" i="31" s="1"/>
  <c r="Q26" i="1" l="1"/>
  <c r="R22" i="4" l="1"/>
  <c r="H19" i="1" s="1"/>
  <c r="K19" i="1" l="1"/>
  <c r="Q19" i="1" s="1"/>
  <c r="K37" i="31"/>
  <c r="K54" i="31" s="1"/>
  <c r="U31" i="31"/>
  <c r="K149" i="31" l="1"/>
  <c r="K150" i="31" s="1"/>
  <c r="K151" i="31" s="1"/>
  <c r="U143" i="31"/>
  <c r="V143" i="31" s="1"/>
  <c r="V149" i="31" s="1"/>
  <c r="V150" i="31" s="1"/>
  <c r="U37" i="31"/>
  <c r="V31" i="31"/>
  <c r="V37" i="31" s="1"/>
  <c r="V54" i="31" s="1"/>
  <c r="V151" i="31" l="1"/>
  <c r="I33" i="4"/>
  <c r="U54" i="31"/>
  <c r="U149" i="31"/>
  <c r="U150" i="31" s="1"/>
  <c r="U151" i="31" s="1"/>
  <c r="I34" i="4" l="1"/>
  <c r="R33" i="4"/>
  <c r="H30" i="1" s="1"/>
  <c r="K30" i="1" l="1"/>
  <c r="K31" i="1" s="1"/>
  <c r="K32" i="1" s="1"/>
  <c r="H31" i="1"/>
  <c r="H32" i="1" s="1"/>
  <c r="I35" i="4"/>
  <c r="I45" i="4" s="1"/>
  <c r="R34" i="4"/>
  <c r="R35" i="4" s="1"/>
  <c r="R45" i="4" s="1"/>
  <c r="K41" i="1" l="1"/>
  <c r="D15" i="26"/>
  <c r="D17" i="26" s="1"/>
  <c r="D21" i="26" s="1"/>
  <c r="N13" i="1" l="1"/>
  <c r="D25" i="26"/>
  <c r="N16" i="1" l="1"/>
  <c r="Q13" i="1"/>
  <c r="Q16" i="1" s="1"/>
  <c r="N23" i="1" l="1"/>
  <c r="Q23" i="1" s="1"/>
  <c r="N20" i="1"/>
  <c r="K111" i="6"/>
  <c r="L111" i="6"/>
  <c r="N30" i="1" l="1"/>
  <c r="Q20" i="1"/>
  <c r="Q30" i="1" l="1"/>
  <c r="Q31" i="1" s="1"/>
  <c r="Q32" i="1" s="1"/>
  <c r="Q41" i="1" s="1"/>
  <c r="N31" i="1"/>
  <c r="N32" i="1" s="1"/>
  <c r="J75"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Cascade Natural Gas</author>
    <author>Peters, Maryalice</author>
  </authors>
  <commentList>
    <comment ref="J11" authorId="0" shapeId="0" xr:uid="{00000000-0006-0000-1900-000001000000}">
      <text>
        <r>
          <rPr>
            <b/>
            <sz val="9"/>
            <color indexed="81"/>
            <rFont val="Tahoma"/>
            <family val="2"/>
          </rPr>
          <t>Cascade Natural Gas:</t>
        </r>
        <r>
          <rPr>
            <sz val="9"/>
            <color indexed="81"/>
            <rFont val="Tahoma"/>
            <family val="2"/>
          </rPr>
          <t xml:space="preserve">
Average of 2017 increases</t>
        </r>
      </text>
    </comment>
    <comment ref="M11" authorId="0" shapeId="0" xr:uid="{00000000-0006-0000-1900-000002000000}">
      <text>
        <r>
          <rPr>
            <b/>
            <sz val="9"/>
            <color indexed="81"/>
            <rFont val="Tahoma"/>
            <family val="2"/>
          </rPr>
          <t>Cascade Natural Gas:</t>
        </r>
        <r>
          <rPr>
            <sz val="9"/>
            <color indexed="81"/>
            <rFont val="Tahoma"/>
            <family val="2"/>
          </rPr>
          <t xml:space="preserve">
Average of 2017 increases</t>
        </r>
      </text>
    </comment>
    <comment ref="C65" authorId="1" shapeId="0" xr:uid="{00000000-0006-0000-1900-000003000000}">
      <text>
        <r>
          <rPr>
            <b/>
            <sz val="9"/>
            <color indexed="81"/>
            <rFont val="Tahoma"/>
            <family val="2"/>
          </rPr>
          <t>Peters, Maryalice:</t>
        </r>
        <r>
          <rPr>
            <sz val="9"/>
            <color indexed="81"/>
            <rFont val="Tahoma"/>
            <family val="2"/>
          </rPr>
          <t xml:space="preserve">
Codes to 29320
</t>
        </r>
      </text>
    </comment>
  </commentList>
</comments>
</file>

<file path=xl/sharedStrings.xml><?xml version="1.0" encoding="utf-8"?>
<sst xmlns="http://schemas.openxmlformats.org/spreadsheetml/2006/main" count="5337" uniqueCount="2500">
  <si>
    <t>Results Per</t>
  </si>
  <si>
    <t>Adjustments</t>
  </si>
  <si>
    <t>Adjusted</t>
  </si>
  <si>
    <t>Company</t>
  </si>
  <si>
    <t>Filing</t>
  </si>
  <si>
    <t>(1)</t>
  </si>
  <si>
    <t>SUMMARY SHEET</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</si>
  <si>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</si>
  <si>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</si>
  <si>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</si>
  <si>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</si>
  <si>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</si>
  <si>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</si>
  <si>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</si>
  <si>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</si>
  <si>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</si>
  <si>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</si>
  <si>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</si>
  <si>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</si>
  <si>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</si>
  <si>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</si>
  <si>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</si>
  <si>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</si>
  <si>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</si>
  <si>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</si>
  <si>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</si>
  <si>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</si>
  <si>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</si>
  <si>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</si>
  <si>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</si>
  <si>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</si>
  <si>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</si>
  <si>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</si>
  <si>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</si>
  <si>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</si>
  <si>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</si>
  <si>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</si>
  <si>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</si>
  <si>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</si>
  <si>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</si>
  <si>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</si>
  <si>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</si>
  <si>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</si>
  <si>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</si>
  <si>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</si>
  <si>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</si>
  <si>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</si>
  <si>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</si>
  <si>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</si>
  <si>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</si>
  <si>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</si>
  <si>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</si>
  <si>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</si>
  <si>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</si>
  <si>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</si>
  <si>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</si>
  <si>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</si>
  <si>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</si>
  <si>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</si>
  <si>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</si>
  <si>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</si>
  <si>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</si>
  <si>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</si>
  <si>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</si>
  <si>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</si>
  <si>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</si>
  <si>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Total Income Taxes</t>
  </si>
  <si>
    <t>Test Year</t>
  </si>
  <si>
    <t xml:space="preserve">Adjusted </t>
  </si>
  <si>
    <t>Requested</t>
  </si>
  <si>
    <t>Increase</t>
  </si>
  <si>
    <t>Adjusted Rate Base</t>
  </si>
  <si>
    <t>Required Return (ln 1 x ln 2)</t>
  </si>
  <si>
    <t>Adjusted Net Income</t>
  </si>
  <si>
    <t>Conversion Factor</t>
  </si>
  <si>
    <t>Revenue Increase Required (ln 5 / ln 6)</t>
  </si>
  <si>
    <t>Required Net Income Increase (ln 3 - ln 4)</t>
  </si>
  <si>
    <t>Summary</t>
  </si>
  <si>
    <t>of</t>
  </si>
  <si>
    <t>After Proposed</t>
  </si>
  <si>
    <t>Revenues</t>
  </si>
  <si>
    <t>PROMOTIONAL ADVERTISING EXPENSE ADJUSTMENT</t>
  </si>
  <si>
    <t>Account</t>
  </si>
  <si>
    <t>OR</t>
  </si>
  <si>
    <t>Interest Coordination Adjustment</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</si>
  <si>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</si>
  <si>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</si>
  <si>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</si>
  <si>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</si>
  <si>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</si>
  <si>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</si>
  <si>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</si>
  <si>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</si>
  <si>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</si>
  <si>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</si>
  <si>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</si>
  <si>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</si>
  <si>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</si>
  <si>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</si>
  <si>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</si>
  <si>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</si>
  <si>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</si>
  <si>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</si>
  <si>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</si>
  <si>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 xml:space="preserve">   </t>
  </si>
  <si>
    <t>Total Wages</t>
  </si>
  <si>
    <t>WA</t>
  </si>
  <si>
    <t>Services</t>
  </si>
  <si>
    <t>Wages</t>
  </si>
  <si>
    <t>Test Year Adjusted Revenue</t>
  </si>
  <si>
    <t>(a)</t>
  </si>
  <si>
    <t>(b)</t>
  </si>
  <si>
    <t>Revenue Requirement Calculation</t>
  </si>
  <si>
    <t>Cascade Natural Gas</t>
  </si>
  <si>
    <t xml:space="preserve">Cascade Natural Gas </t>
  </si>
  <si>
    <t>3-Factor Formula</t>
  </si>
  <si>
    <t>Customer Formula</t>
  </si>
  <si>
    <t>Rate Base Ratio</t>
  </si>
  <si>
    <t>WA:</t>
  </si>
  <si>
    <t>OR:</t>
  </si>
  <si>
    <t>CASCADE NATURAL GAS CORPORATION</t>
  </si>
  <si>
    <t>ROLLING 12 MONTHS:</t>
  </si>
  <si>
    <t>WASHINGTON:</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</si>
  <si>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</si>
  <si>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</si>
  <si>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</si>
  <si>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</si>
  <si>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</si>
  <si>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</si>
  <si>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</si>
  <si>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</si>
  <si>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</si>
  <si>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</si>
  <si>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</si>
  <si>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</si>
  <si>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</si>
  <si>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</si>
  <si>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</si>
  <si>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</si>
  <si>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</si>
  <si>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</si>
  <si>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</si>
  <si>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</si>
  <si>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</si>
  <si>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</si>
  <si>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</si>
  <si>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</si>
  <si>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</si>
  <si>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</si>
  <si>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</si>
  <si>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</si>
  <si>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</si>
  <si>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</si>
  <si>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</si>
  <si>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</si>
  <si>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</si>
  <si>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</si>
  <si>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</si>
  <si>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</si>
  <si>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</si>
  <si>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</si>
  <si>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</si>
  <si>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</si>
  <si>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</si>
  <si>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</si>
  <si>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</si>
  <si>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</si>
  <si>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</si>
  <si>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</si>
  <si>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</si>
  <si>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</si>
  <si>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</si>
  <si>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</si>
  <si>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</si>
  <si>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</si>
  <si>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</si>
  <si>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</si>
  <si>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</si>
  <si>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</si>
  <si>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</si>
  <si>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</si>
  <si>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</si>
  <si>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</si>
  <si>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</si>
  <si>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</si>
  <si>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</si>
  <si>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</si>
  <si>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</si>
  <si>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</si>
  <si>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</si>
  <si>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</si>
  <si>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</si>
  <si>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</si>
  <si>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</si>
  <si>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</si>
  <si>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</si>
  <si>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</si>
  <si>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</si>
  <si>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</si>
  <si>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</si>
  <si>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</si>
  <si>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</si>
  <si>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</si>
  <si>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</si>
  <si>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</si>
  <si>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</si>
  <si>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</si>
  <si>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</si>
  <si>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</si>
  <si>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</si>
  <si>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</si>
  <si>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</si>
  <si>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</si>
  <si>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</si>
  <si>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</si>
  <si>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</si>
  <si>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</si>
  <si>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</si>
  <si>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</si>
  <si>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</si>
  <si>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</si>
  <si>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</si>
  <si>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</si>
  <si>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</si>
  <si>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</si>
  <si>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</si>
  <si>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</si>
  <si>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</si>
  <si>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</si>
  <si>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</si>
  <si>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</si>
  <si>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</si>
  <si>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</si>
  <si>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</si>
  <si>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</si>
  <si>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</si>
  <si>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</si>
  <si>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</si>
  <si>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</si>
  <si>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</si>
  <si>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</si>
  <si>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</si>
  <si>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</si>
  <si>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</si>
  <si>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</si>
  <si>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</si>
  <si>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</si>
  <si>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</si>
  <si>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</si>
  <si>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</si>
  <si>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</si>
  <si>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</si>
  <si>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</si>
  <si>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</si>
  <si>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</si>
  <si>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</si>
  <si>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</si>
  <si>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</si>
  <si>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</si>
  <si>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</si>
  <si>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</si>
  <si>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</si>
  <si>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</si>
  <si>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</si>
  <si>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</si>
  <si>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</si>
  <si>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</si>
  <si>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</si>
  <si>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</si>
  <si>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</si>
  <si>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</si>
  <si>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</si>
  <si>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</si>
  <si>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</si>
  <si>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</si>
  <si>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</si>
  <si>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</si>
  <si>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</si>
  <si>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</si>
  <si>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</si>
  <si>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</si>
  <si>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</si>
  <si>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</si>
  <si>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</si>
  <si>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</si>
  <si>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</si>
  <si>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</si>
  <si>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</si>
  <si>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</si>
  <si>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</si>
  <si>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</si>
  <si>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</si>
  <si>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</si>
  <si>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</si>
  <si>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</si>
  <si>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</si>
  <si>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</si>
  <si>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</si>
  <si>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</si>
  <si>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</si>
  <si>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</si>
  <si>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</si>
  <si>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</si>
  <si>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</si>
  <si>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</si>
  <si>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</si>
  <si>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</si>
  <si>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</si>
  <si>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</si>
  <si>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</si>
  <si>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</si>
  <si>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</si>
  <si>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</si>
  <si>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</si>
  <si>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</si>
  <si>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</si>
  <si>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</si>
  <si>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</si>
  <si>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</si>
  <si>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</si>
  <si>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</si>
  <si>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</si>
  <si>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</si>
  <si>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</si>
  <si>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</si>
  <si>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</si>
  <si>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</si>
  <si>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</si>
  <si>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</si>
  <si>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</si>
  <si>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</si>
  <si>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</si>
  <si>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</si>
  <si>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</si>
  <si>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</si>
  <si>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</si>
  <si>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</si>
  <si>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</si>
  <si>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</si>
  <si>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</si>
  <si>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</si>
  <si>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</si>
  <si>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</si>
  <si>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</si>
  <si>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</si>
  <si>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</si>
  <si>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</si>
  <si>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</si>
  <si>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</si>
  <si>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</si>
  <si>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</si>
  <si>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</si>
  <si>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</si>
  <si>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</si>
  <si>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</si>
  <si>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</si>
  <si>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</si>
  <si>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</si>
  <si>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</si>
  <si>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</si>
  <si>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</si>
  <si>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</si>
  <si>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</si>
  <si>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</si>
  <si>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</si>
  <si>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</si>
  <si>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</si>
  <si>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</si>
  <si>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Net Plant in Service</t>
  </si>
  <si>
    <t>AMA</t>
  </si>
  <si>
    <t>Twelve Months</t>
  </si>
  <si>
    <t>Invested Capital</t>
  </si>
  <si>
    <t>Washington</t>
  </si>
  <si>
    <t>Ledger Type</t>
  </si>
  <si>
    <t>Year</t>
  </si>
  <si>
    <t>Format</t>
  </si>
  <si>
    <t>Period</t>
  </si>
  <si>
    <t>Currency</t>
  </si>
  <si>
    <t>Invested</t>
  </si>
  <si>
    <t>Capital</t>
  </si>
  <si>
    <t>Investment</t>
  </si>
  <si>
    <t>1012</t>
  </si>
  <si>
    <t>*</t>
  </si>
  <si>
    <t>Gas Plant In Service</t>
  </si>
  <si>
    <t>1062</t>
  </si>
  <si>
    <t>Gas Plant Completed Not Classified</t>
  </si>
  <si>
    <t>CWIP - Gas</t>
  </si>
  <si>
    <t xml:space="preserve">   TOTAL UTILITY PLANT</t>
  </si>
  <si>
    <t>1082</t>
  </si>
  <si>
    <t>8</t>
  </si>
  <si>
    <t>RWIP - Gas</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</si>
  <si>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</si>
  <si>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</si>
  <si>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</si>
  <si>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</si>
  <si>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</si>
  <si>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</si>
  <si>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</si>
  <si>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</si>
  <si>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</si>
  <si>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</si>
  <si>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</si>
  <si>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</si>
  <si>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</si>
  <si>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</si>
  <si>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1210</t>
  </si>
  <si>
    <t>Nonutility Property</t>
  </si>
  <si>
    <t>1220</t>
  </si>
  <si>
    <t>Nonutility Acc Prov Depr &amp; Amort</t>
  </si>
  <si>
    <t xml:space="preserve">   TOTAL OTHER INVESTMENTS</t>
  </si>
  <si>
    <t>1310</t>
  </si>
  <si>
    <t>1*</t>
  </si>
  <si>
    <t>1350</t>
  </si>
  <si>
    <t xml:space="preserve">   TOTAL CASH</t>
  </si>
  <si>
    <t>1360</t>
  </si>
  <si>
    <t xml:space="preserve">   TOTAL CASH EQUIVALENTS</t>
  </si>
  <si>
    <t>1420</t>
  </si>
  <si>
    <t>1432</t>
  </si>
  <si>
    <t xml:space="preserve">   Subtotal - Other A/R</t>
  </si>
  <si>
    <t>1410</t>
  </si>
  <si>
    <t xml:space="preserve">Notes Receivable - Imperium Renewable  </t>
  </si>
  <si>
    <t>2*</t>
  </si>
  <si>
    <t>Notes Receivable - Touchstone</t>
  </si>
  <si>
    <t>1460</t>
  </si>
  <si>
    <t>Accts Receivable - MDU</t>
  </si>
  <si>
    <t>001*</t>
  </si>
  <si>
    <t>041*</t>
  </si>
  <si>
    <t>067*</t>
  </si>
  <si>
    <t>Accts Receivable - CSG</t>
  </si>
  <si>
    <t>044*</t>
  </si>
  <si>
    <t>046*</t>
  </si>
  <si>
    <t>Accts Receivable - PCEH</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</si>
  <si>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</si>
  <si>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</si>
  <si>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</si>
  <si>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</si>
  <si>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</si>
  <si>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</si>
  <si>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</si>
  <si>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</si>
  <si>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</si>
  <si>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</si>
  <si>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</si>
  <si>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1443</t>
  </si>
  <si>
    <t>1449</t>
  </si>
  <si>
    <t xml:space="preserve">   TOTAL ACCUM PROV UNCOLLECT</t>
  </si>
  <si>
    <t xml:space="preserve">   NET RECEIVABLES</t>
  </si>
  <si>
    <t>1540</t>
  </si>
  <si>
    <t>1630</t>
  </si>
  <si>
    <t>1641</t>
  </si>
  <si>
    <t>02</t>
  </si>
  <si>
    <t>Pipeline Imbalances</t>
  </si>
  <si>
    <t>1642</t>
  </si>
  <si>
    <t>Liquified Natural Gas Stored</t>
  </si>
  <si>
    <t xml:space="preserve">    NET INVENTORIES</t>
  </si>
  <si>
    <t>1655</t>
  </si>
  <si>
    <t>1659</t>
  </si>
  <si>
    <t>22</t>
  </si>
  <si>
    <t>Prepayments - Gas Storage</t>
  </si>
  <si>
    <t>1860</t>
  </si>
  <si>
    <t>1747</t>
  </si>
  <si>
    <t>Misc Current and Accrued Assets</t>
  </si>
  <si>
    <t>1750</t>
  </si>
  <si>
    <t>01</t>
  </si>
  <si>
    <t>Derivative Instruments - Current</t>
  </si>
  <si>
    <t xml:space="preserve">   TOTAL CURRENT &amp; ACCR ASSETS</t>
  </si>
  <si>
    <t>1732</t>
  </si>
  <si>
    <t>1734</t>
  </si>
  <si>
    <t xml:space="preserve">   TOTAL ACCRUED REVENUES</t>
  </si>
  <si>
    <t>1900</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</si>
  <si>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</si>
  <si>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</si>
  <si>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</si>
  <si>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</si>
  <si>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</si>
  <si>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</si>
  <si>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</si>
  <si>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</si>
  <si>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</si>
  <si>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</si>
  <si>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</si>
  <si>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</si>
  <si>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</si>
  <si>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</si>
  <si>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</si>
  <si>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</si>
  <si>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</si>
  <si>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</si>
  <si>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</si>
  <si>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24</t>
  </si>
  <si>
    <t>25</t>
  </si>
  <si>
    <t>26</t>
  </si>
  <si>
    <t xml:space="preserve">   TOTAL UNAMORT DEBT EXPENSE</t>
  </si>
  <si>
    <t>1890</t>
  </si>
  <si>
    <t>03</t>
  </si>
  <si>
    <t>04</t>
  </si>
  <si>
    <t>Unam Loss Reaq Debt - 7.50% - 2031</t>
  </si>
  <si>
    <t>Derivative Instruments - Noncurrent</t>
  </si>
  <si>
    <t>1823</t>
  </si>
  <si>
    <t>1840</t>
  </si>
  <si>
    <t>@2:184</t>
  </si>
  <si>
    <t>Other clearing</t>
  </si>
  <si>
    <t>1862</t>
  </si>
  <si>
    <t>1866</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</si>
  <si>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</si>
  <si>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</si>
  <si>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</si>
  <si>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</si>
  <si>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</si>
  <si>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</si>
  <si>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</si>
  <si>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</si>
  <si>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</si>
  <si>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</si>
  <si>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</si>
  <si>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</si>
  <si>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</si>
  <si>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</si>
  <si>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^TOIPR</t>
  </si>
  <si>
    <t xml:space="preserve">     Subtotal Taxes Other Than Income</t>
  </si>
  <si>
    <t>4032</t>
  </si>
  <si>
    <t>4042</t>
  </si>
  <si>
    <t>4062</t>
  </si>
  <si>
    <t xml:space="preserve">   TOTAL DEPRECIATION</t>
  </si>
  <si>
    <t>4271</t>
  </si>
  <si>
    <t>Interest on LTD - 1st Mortgage Bonds</t>
  </si>
  <si>
    <t>4279</t>
  </si>
  <si>
    <t>Interest on LTD - Other</t>
  </si>
  <si>
    <t>1</t>
  </si>
  <si>
    <t>LOC Interest</t>
  </si>
  <si>
    <t>4310</t>
  </si>
  <si>
    <t>4280</t>
  </si>
  <si>
    <t>Amort of Debt Disc &amp; Expense</t>
  </si>
  <si>
    <t>4281</t>
  </si>
  <si>
    <t xml:space="preserve">     Subtotal Interest Expense</t>
  </si>
  <si>
    <t>4091</t>
  </si>
  <si>
    <t>4092</t>
  </si>
  <si>
    <t>4101</t>
  </si>
  <si>
    <t>4102</t>
  </si>
  <si>
    <t>4111</t>
  </si>
  <si>
    <t>4112</t>
  </si>
  <si>
    <t>Investment Tax Credit</t>
  </si>
  <si>
    <t xml:space="preserve">     Subtotal Income Taxes</t>
  </si>
  <si>
    <t>4211</t>
  </si>
  <si>
    <t>Gain on Disposition of Property</t>
  </si>
  <si>
    <t>4212</t>
  </si>
  <si>
    <t>4261</t>
  </si>
  <si>
    <t>4263</t>
  </si>
  <si>
    <t>4264</t>
  </si>
  <si>
    <t>4265</t>
  </si>
  <si>
    <t>4171</t>
  </si>
  <si>
    <t>6011</t>
  </si>
  <si>
    <t>4082</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</si>
  <si>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</si>
  <si>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</si>
  <si>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</si>
  <si>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</si>
  <si>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</si>
  <si>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</si>
  <si>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</si>
  <si>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</si>
  <si>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</si>
  <si>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</si>
  <si>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3</t>
  </si>
  <si>
    <t>R/E Performance Share Dividend Equivalents</t>
  </si>
  <si>
    <t>2071</t>
  </si>
  <si>
    <t>Premium on Capital Stock</t>
  </si>
  <si>
    <t>2100</t>
  </si>
  <si>
    <t>Misc Paid in Capital</t>
  </si>
  <si>
    <t>2190</t>
  </si>
  <si>
    <t>2141</t>
  </si>
  <si>
    <t xml:space="preserve">     TOTAL EQUITY</t>
  </si>
  <si>
    <t>2240</t>
  </si>
  <si>
    <t>7.48% MTN Due 9/15/2027</t>
  </si>
  <si>
    <t>7.10% MTN Due 3/16/2029</t>
  </si>
  <si>
    <t>Insured Qtrly 5.25% Notes Due 2/1/2035</t>
  </si>
  <si>
    <t>5.21% MTN Due 9/1/2020</t>
  </si>
  <si>
    <t>5.79% MTN Due 3/8/2037</t>
  </si>
  <si>
    <t>4.11% Snr Nt Due 8/23/2025</t>
  </si>
  <si>
    <t>4.36% Snr Nt Due 8/23/2028</t>
  </si>
  <si>
    <t>06</t>
  </si>
  <si>
    <t>07</t>
  </si>
  <si>
    <t>2242</t>
  </si>
  <si>
    <t>Committed Line of Credit</t>
  </si>
  <si>
    <t xml:space="preserve">     TOTAL LONG-TERM DEBT</t>
  </si>
  <si>
    <t>2310</t>
  </si>
  <si>
    <t>Short-term debt</t>
  </si>
  <si>
    <t>2330</t>
  </si>
  <si>
    <t>045</t>
  </si>
  <si>
    <t>Notes payable to Associated Companies</t>
  </si>
  <si>
    <t>2321</t>
  </si>
  <si>
    <t>2322</t>
  </si>
  <si>
    <t>Accts Pay - Gas costs</t>
  </si>
  <si>
    <t>Accts Pay - Miscellaneous Accruals</t>
  </si>
  <si>
    <t>2323</t>
  </si>
  <si>
    <t>Received Not Vouchered</t>
  </si>
  <si>
    <t>2340</t>
  </si>
  <si>
    <t>Accts Pay - Future Source</t>
  </si>
  <si>
    <t>0620</t>
  </si>
  <si>
    <t>Accts Pay - Knife River</t>
  </si>
  <si>
    <t>Accts Pay - CSG</t>
  </si>
  <si>
    <t>Accts Pay - PCEH</t>
  </si>
  <si>
    <t xml:space="preserve">     Subtotal Accounts Payable Intercompany</t>
  </si>
  <si>
    <t>2412</t>
  </si>
  <si>
    <t>2411</t>
  </si>
  <si>
    <t xml:space="preserve">     Subtotal Tax Collections Payable</t>
  </si>
  <si>
    <t xml:space="preserve">     TOTAL ACCOUNTS PAYABLE</t>
  </si>
  <si>
    <t>2361</t>
  </si>
  <si>
    <t>2362</t>
  </si>
  <si>
    <t>2363</t>
  </si>
  <si>
    <t>2364</t>
  </si>
  <si>
    <t>2380</t>
  </si>
  <si>
    <t>Dividends Declared</t>
  </si>
  <si>
    <t>2351</t>
  </si>
  <si>
    <t>Customer Deposits</t>
  </si>
  <si>
    <t>2372</t>
  </si>
  <si>
    <t>2422</t>
  </si>
  <si>
    <t>2420</t>
  </si>
  <si>
    <t>2423</t>
  </si>
  <si>
    <t>Misc Current Liab - Vacation Wages</t>
  </si>
  <si>
    <t>2429</t>
  </si>
  <si>
    <t>2282</t>
  </si>
  <si>
    <t>2284</t>
  </si>
  <si>
    <t>Curr Yr Due SGL Automotive</t>
  </si>
  <si>
    <t>2292</t>
  </si>
  <si>
    <t>2530</t>
  </si>
  <si>
    <t>Other Deferred Credits - Gas costs</t>
  </si>
  <si>
    <t>Core Gas Supply Hedging - Reg Liability</t>
  </si>
  <si>
    <t>2440</t>
  </si>
  <si>
    <t xml:space="preserve">     TOTAL MISC CURRENT LIABILITIES</t>
  </si>
  <si>
    <t>2283</t>
  </si>
  <si>
    <t>2300</t>
  </si>
  <si>
    <t>2520</t>
  </si>
  <si>
    <t>2539</t>
  </si>
  <si>
    <t>2540</t>
  </si>
  <si>
    <t>20222</t>
  </si>
  <si>
    <t>Reg Liab Post Retirement FAS 158</t>
  </si>
  <si>
    <t>Other Regulatory Liabilities - SFAS 109 Regulatory</t>
  </si>
  <si>
    <t xml:space="preserve">     TOTAL DEFERRED CREDITS</t>
  </si>
  <si>
    <t>2550</t>
  </si>
  <si>
    <t>Deferred Investment Tax Credits</t>
  </si>
  <si>
    <t>2820</t>
  </si>
  <si>
    <t>2830</t>
  </si>
  <si>
    <t xml:space="preserve">    TOTAL INCOME TAXES</t>
  </si>
  <si>
    <t>4002</t>
  </si>
  <si>
    <t>4009</t>
  </si>
  <si>
    <t>4880</t>
  </si>
  <si>
    <t>4891</t>
  </si>
  <si>
    <t>Rent from Gas Properties</t>
  </si>
  <si>
    <t>5000</t>
  </si>
  <si>
    <t>conversion earnings</t>
  </si>
  <si>
    <t xml:space="preserve">     TOTAL GAS REVENUE</t>
  </si>
  <si>
    <t>4190</t>
  </si>
  <si>
    <t>4210</t>
  </si>
  <si>
    <t>Misc Non-Oper Income</t>
  </si>
  <si>
    <t>4191</t>
  </si>
  <si>
    <t>4170</t>
  </si>
  <si>
    <t>Nonutility Revenues</t>
  </si>
  <si>
    <t xml:space="preserve">     TOTAL OTHER REVENUE</t>
  </si>
  <si>
    <t xml:space="preserve">     TOTAL CREDITS</t>
  </si>
  <si>
    <t>Totals</t>
  </si>
  <si>
    <t>Total Investment</t>
  </si>
  <si>
    <t>Line No.</t>
  </si>
  <si>
    <t xml:space="preserve">   Accumulated Depr. (Avg)</t>
  </si>
  <si>
    <t>Accum Tax depreciation</t>
  </si>
  <si>
    <t xml:space="preserve">   Accum Def Tax (Avg)</t>
  </si>
  <si>
    <t>FIT</t>
  </si>
  <si>
    <t>Rate Bate</t>
  </si>
  <si>
    <t>UTC Fees</t>
  </si>
  <si>
    <t>State B&amp;O Tax</t>
  </si>
  <si>
    <t xml:space="preserve">HOQUIAM LOGGERS PLAYDAY INC   </t>
  </si>
  <si>
    <t xml:space="preserve">GRAYS HARBOR MOUNTED POSSE    </t>
  </si>
  <si>
    <t>MASON COUNTY FOREST FESTIVAL A</t>
  </si>
  <si>
    <t>Total account 913</t>
  </si>
  <si>
    <t>Total Account 930.1</t>
  </si>
  <si>
    <t>Proposed Adjustments to Test Year Results</t>
  </si>
  <si>
    <t>R-1</t>
  </si>
  <si>
    <t>R-2</t>
  </si>
  <si>
    <t>P-1</t>
  </si>
  <si>
    <t>P-2</t>
  </si>
  <si>
    <t>P-4</t>
  </si>
  <si>
    <t>Pro Forma</t>
  </si>
  <si>
    <t>Results of</t>
  </si>
  <si>
    <t>Operation</t>
  </si>
  <si>
    <t>Annual Wages</t>
  </si>
  <si>
    <t>Wage</t>
  </si>
  <si>
    <t>Annual Wage</t>
  </si>
  <si>
    <t>Annualize</t>
  </si>
  <si>
    <t>Number</t>
  </si>
  <si>
    <t>Non-Capital</t>
  </si>
  <si>
    <t>Date</t>
  </si>
  <si>
    <t>Prior to increase</t>
  </si>
  <si>
    <t>increase</t>
  </si>
  <si>
    <t>Non-Union</t>
  </si>
  <si>
    <t>Union</t>
  </si>
  <si>
    <t>28130</t>
  </si>
  <si>
    <t>28700</t>
  </si>
  <si>
    <t>28710</t>
  </si>
  <si>
    <t>28740</t>
  </si>
  <si>
    <t>28780</t>
  </si>
  <si>
    <t>28790</t>
  </si>
  <si>
    <t>28800</t>
  </si>
  <si>
    <t>28870</t>
  </si>
  <si>
    <t>28890</t>
  </si>
  <si>
    <t>28900</t>
  </si>
  <si>
    <t>28920</t>
  </si>
  <si>
    <t>28930</t>
  </si>
  <si>
    <t>29020</t>
  </si>
  <si>
    <t>29030</t>
  </si>
  <si>
    <t>29200</t>
  </si>
  <si>
    <t>28720</t>
  </si>
  <si>
    <t>28750</t>
  </si>
  <si>
    <t>28760</t>
  </si>
  <si>
    <t>28880</t>
  </si>
  <si>
    <t>28940</t>
  </si>
  <si>
    <t>29350</t>
  </si>
  <si>
    <t>Employer FICA</t>
  </si>
  <si>
    <t>Revenue</t>
  </si>
  <si>
    <t>Property Tax</t>
  </si>
  <si>
    <t>R-3</t>
  </si>
  <si>
    <t>Restate</t>
  </si>
  <si>
    <t>Plant</t>
  </si>
  <si>
    <t>Capital Structure Calculation</t>
  </si>
  <si>
    <t>Pro Forma Plant Additions</t>
  </si>
  <si>
    <t xml:space="preserve">                       -  </t>
  </si>
  <si>
    <t>***</t>
  </si>
  <si>
    <t>1088</t>
  </si>
  <si>
    <t>Gas Accum Prov ARO</t>
  </si>
  <si>
    <t>Storage Boil-Off</t>
  </si>
  <si>
    <t>99</t>
  </si>
  <si>
    <t>Debt Issuance Cost Reclass</t>
  </si>
  <si>
    <t>000</t>
  </si>
  <si>
    <t>20209</t>
  </si>
  <si>
    <t>Regulatory Asset - ARO</t>
  </si>
  <si>
    <t>Oregon</t>
  </si>
  <si>
    <t>Annual Amortization</t>
  </si>
  <si>
    <t>MAOP</t>
  </si>
  <si>
    <t>Deferral</t>
  </si>
  <si>
    <t>Amortization</t>
  </si>
  <si>
    <t>MAOP Deferral Amortization</t>
  </si>
  <si>
    <t xml:space="preserve">CENTURYLINK                   </t>
  </si>
  <si>
    <t xml:space="preserve">YAKIMA VALLEY PIPPINS         </t>
  </si>
  <si>
    <t>Amount</t>
  </si>
  <si>
    <t>WA Allocated</t>
  </si>
  <si>
    <t xml:space="preserve">TOWN &amp; COUNTRY ADVERTISING    </t>
  </si>
  <si>
    <t>R-4</t>
  </si>
  <si>
    <t>CRM</t>
  </si>
  <si>
    <t>P-3</t>
  </si>
  <si>
    <t>4760500 MDUR Cross Charges to CNGC</t>
  </si>
  <si>
    <t>4767000 Credit and Collections</t>
  </si>
  <si>
    <t>4767400 Scheduling</t>
  </si>
  <si>
    <t>4767700 Communications</t>
  </si>
  <si>
    <t>4767800 Information Systems</t>
  </si>
  <si>
    <t>AA</t>
  </si>
  <si>
    <t>00047</t>
  </si>
  <si>
    <t>District</t>
  </si>
  <si>
    <t>Operating Report</t>
  </si>
  <si>
    <t xml:space="preserve">    REVENUES</t>
  </si>
  <si>
    <t xml:space="preserve">  Nat. Gas/Production Costs</t>
  </si>
  <si>
    <t xml:space="preserve">  Revenue Taxes</t>
  </si>
  <si>
    <t xml:space="preserve">    REVENUE</t>
  </si>
  <si>
    <t>WA Alloc</t>
  </si>
  <si>
    <t>Proposed Adjustment</t>
  </si>
  <si>
    <t>Notes</t>
  </si>
  <si>
    <t>Gas Intangible</t>
  </si>
  <si>
    <t>Total Intangible Plant</t>
  </si>
  <si>
    <t>Gas Distribution</t>
  </si>
  <si>
    <t>FP-101192 - MAIN-RELO-REPL-WASHINGTON</t>
  </si>
  <si>
    <t>FP-101196 - R STA-RELO-REPL-WASHINGTON</t>
  </si>
  <si>
    <t>FP-101197 - SERV-GROWTH-WASHINGTON</t>
  </si>
  <si>
    <t>FP-101200 - IND M&amp;R-GROWTH-WASHINGTON</t>
  </si>
  <si>
    <t>FP-101201 - IND M&amp;R-REMOVE&amp;REPL-WASHINGTON</t>
  </si>
  <si>
    <t>FP-101275 - SERV-RELO-REPL-WASHINGTON</t>
  </si>
  <si>
    <t>FP-302369 - GB - GROUNDBED WASHINGTON</t>
  </si>
  <si>
    <t>Total Distribution Plant</t>
  </si>
  <si>
    <t>Gas General</t>
  </si>
  <si>
    <t>FP-101204 - GP TRAN. VEHICLE - WASHINGTO</t>
  </si>
  <si>
    <t>Notes:</t>
  </si>
  <si>
    <t>Depreciation</t>
  </si>
  <si>
    <t>Expense</t>
  </si>
  <si>
    <t>FERC</t>
  </si>
  <si>
    <t>Acct</t>
  </si>
  <si>
    <t>Note:</t>
  </si>
  <si>
    <t xml:space="preserve">           Cascade Natural Gas</t>
  </si>
  <si>
    <t>Results</t>
  </si>
  <si>
    <t>Overall Revenue Increase</t>
  </si>
  <si>
    <t>RESULTS OF OPERATIONS SUMMARY SHEET</t>
  </si>
  <si>
    <t>Results of Operations Summary Sheet</t>
  </si>
  <si>
    <t>CONVERSION FACTOR CALCULATION</t>
  </si>
  <si>
    <t>Conversion Factor Calculation</t>
  </si>
  <si>
    <t>Summary of Proposed Plant Additions</t>
  </si>
  <si>
    <t>Index</t>
  </si>
  <si>
    <t>Page(s)</t>
  </si>
  <si>
    <t>WP #</t>
  </si>
  <si>
    <t>ADJUSTMENT WORKPAPERS</t>
  </si>
  <si>
    <t>WORKPAPER - SUPPORT DOCUMENTS</t>
  </si>
  <si>
    <t>Adjustment Workpapers</t>
  </si>
  <si>
    <t>Promotional Advertising Expense Adjustment</t>
  </si>
  <si>
    <t>Electronic Tab Name: Index</t>
  </si>
  <si>
    <t>Line No:</t>
  </si>
  <si>
    <t xml:space="preserve">A </t>
  </si>
  <si>
    <t>B</t>
  </si>
  <si>
    <t>C</t>
  </si>
  <si>
    <t>A</t>
  </si>
  <si>
    <t xml:space="preserve">C </t>
  </si>
  <si>
    <t>D</t>
  </si>
  <si>
    <t>E</t>
  </si>
  <si>
    <t>F</t>
  </si>
  <si>
    <t>G</t>
  </si>
  <si>
    <t>H</t>
  </si>
  <si>
    <t>I</t>
  </si>
  <si>
    <t>J</t>
  </si>
  <si>
    <t>K</t>
  </si>
  <si>
    <t>L</t>
  </si>
  <si>
    <t>M</t>
  </si>
  <si>
    <t>N</t>
  </si>
  <si>
    <t>O</t>
  </si>
  <si>
    <t>Ln 1</t>
  </si>
  <si>
    <t>Ln.</t>
  </si>
  <si>
    <t>Ln 6 / 2</t>
  </si>
  <si>
    <t>Ln 5 *3.75%</t>
  </si>
  <si>
    <t>Ln 9 / 2</t>
  </si>
  <si>
    <t>AMA Total</t>
  </si>
  <si>
    <t>State</t>
  </si>
  <si>
    <t>Depr Group</t>
  </si>
  <si>
    <t>Average of Monthly Avg Plant</t>
  </si>
  <si>
    <t>Average of MonthlyAvg Reserve</t>
  </si>
  <si>
    <t>CNG-302-G-Franchises-00038</t>
  </si>
  <si>
    <t>CNG-303-G-Intang-00038-40 YR-2014</t>
  </si>
  <si>
    <t>00038</t>
  </si>
  <si>
    <t>CNG-365-G-Land and Land Right-00038</t>
  </si>
  <si>
    <t>CNG-365-G-Rights-of-Way-00038</t>
  </si>
  <si>
    <t>CNG-367-G-Mains-00038</t>
  </si>
  <si>
    <t>CNG-369-G-Measuring/Regulatin-00038</t>
  </si>
  <si>
    <t>CNG-374-G-Land Right-00038</t>
  </si>
  <si>
    <t>CNG-374-G-Land-00038</t>
  </si>
  <si>
    <t>CNG-375-G-Lease Hold Improvem-00038</t>
  </si>
  <si>
    <t>CNG-375-G-Structures &amp; Improv-00038</t>
  </si>
  <si>
    <t>CNG-376-G-Mains-High Pressure-00038</t>
  </si>
  <si>
    <t>CNG-376-G-Mains-Plastic-00038</t>
  </si>
  <si>
    <t>CNG-376-G-Mains-Steel-00038</t>
  </si>
  <si>
    <t>CNG-378-G-Measure/Regulation -00038</t>
  </si>
  <si>
    <t>CNG-380-G-Services-Plastc-00038</t>
  </si>
  <si>
    <t>CNG-380-G-Services-Steel-00038</t>
  </si>
  <si>
    <t>CNG-382-G-Meter Set Installat-00038</t>
  </si>
  <si>
    <t>CNG-385-G-Industrial Meas. &amp; -00038</t>
  </si>
  <si>
    <t>CNG-386-G-Other Property Cust-00038</t>
  </si>
  <si>
    <t>CNG-389-G-Land &amp; Land Rights-00038</t>
  </si>
  <si>
    <t>CNG-390-G-Leasehold Improveme-00038</t>
  </si>
  <si>
    <t>CNG-390-G-Structures &amp; Improv-00038</t>
  </si>
  <si>
    <t>CNG-391-G-Office Equip-00038</t>
  </si>
  <si>
    <t>CNG-391-G-Office Furniture &amp; -00038</t>
  </si>
  <si>
    <t>CNG-392-G-Trailers-00038</t>
  </si>
  <si>
    <t>CNG-392-G-Transportation Equi-00038</t>
  </si>
  <si>
    <t>CNG-393-G-Stores Equip-00038</t>
  </si>
  <si>
    <t>CNG-394-G-Tools,Shop,Garage E-00038</t>
  </si>
  <si>
    <t>CNG-396-G-Power Operated Equi-00038</t>
  </si>
  <si>
    <t>CNG-396-G-Trailers-Work Equip-00038</t>
  </si>
  <si>
    <t>CNG-397-G-Radio Comm Equip-Fi-00038</t>
  </si>
  <si>
    <t>CNG-397-G-Radio Comm Equip-Mo-00038</t>
  </si>
  <si>
    <t>CNG-397-G-Supervisory &amp; Telem-00038</t>
  </si>
  <si>
    <t>CNG-397-G-Telephone &amp; Telex E-00038</t>
  </si>
  <si>
    <t>CNG-398-G-Miscellaneous Equip-00038</t>
  </si>
  <si>
    <t>00038 Total</t>
  </si>
  <si>
    <t>CNG-302-G-Franchises-00048</t>
  </si>
  <si>
    <t>CNG-303-G-Intang-00048-20 YR-2016</t>
  </si>
  <si>
    <t>00048</t>
  </si>
  <si>
    <t>CNG-303-G-Intang-00048-40 YR-2014</t>
  </si>
  <si>
    <t>CNG-303-G-Intang-00048-40 YR-2015</t>
  </si>
  <si>
    <t>CNG-365-G-Land and Land Right-00048</t>
  </si>
  <si>
    <t>CNG-365-G-Rights-of-Way-00048</t>
  </si>
  <si>
    <t>CNG-367-G-Mains-00048</t>
  </si>
  <si>
    <t>CNG-369-G-Measuring/Regulatin-00048</t>
  </si>
  <si>
    <t>CNG-374-G-Land Right-00048</t>
  </si>
  <si>
    <t>CNG-374-G-Land-00048</t>
  </si>
  <si>
    <t>CNG-375-G-Structures &amp; Improv-00048</t>
  </si>
  <si>
    <t>CNG-376-G-Mains-High Pressure-00048</t>
  </si>
  <si>
    <t>CNG-376-G-Mains-Plastic-00048</t>
  </si>
  <si>
    <t>CNG-376-G-Mains-Steel-00048</t>
  </si>
  <si>
    <t>CNG-377-G-Compressor Station-00048</t>
  </si>
  <si>
    <t>CNG-378-G-Measure/Regulation -00048</t>
  </si>
  <si>
    <t>CNG-380-G-Services-Plastc-00048</t>
  </si>
  <si>
    <t>CNG-380-G-Services-Steel-00048</t>
  </si>
  <si>
    <t>CNG-381-G-Meters-00048</t>
  </si>
  <si>
    <t>CNG-382-G-Meter Set Installat-00048</t>
  </si>
  <si>
    <t>CNG-385-G-Industrial Meas. &amp; -00048</t>
  </si>
  <si>
    <t>CNG-386-G-Other Property Cust-00048</t>
  </si>
  <si>
    <t>CNG-389-G-Land &amp; Land Rights-00048</t>
  </si>
  <si>
    <t>CNG-390-G-Leasehold Improveme-00048</t>
  </si>
  <si>
    <t>CNG-390-G-Structures &amp; Improv-00048</t>
  </si>
  <si>
    <t>CNG-391-G-Office Equip-00048</t>
  </si>
  <si>
    <t>CNG-391-G-Office Furniture &amp; -00048</t>
  </si>
  <si>
    <t>CNG-392-G-Trailers-00048</t>
  </si>
  <si>
    <t>CNG-392-G-Transportation Equi-00048</t>
  </si>
  <si>
    <t>CNG-393-G-Stores Equip-00048</t>
  </si>
  <si>
    <t>CNG-394-G-Tools,Shop,Garage E-00048</t>
  </si>
  <si>
    <t>CNG-394-G-Vehicle CNG Equip-00048</t>
  </si>
  <si>
    <t>CNG-395-G-Laboratory Equip-00048</t>
  </si>
  <si>
    <t>CNG-396-G-Power Operated Equi-00048</t>
  </si>
  <si>
    <t>CNG-396-G-Trailers-Work Equip-00048</t>
  </si>
  <si>
    <t>CNG-397-G-Radio Comm Equip-Fi-00048</t>
  </si>
  <si>
    <t>CNG-397-G-Radio Comm Equip-Mo-00048</t>
  </si>
  <si>
    <t>CNG-397-G-Supervisory &amp; Telem-00048</t>
  </si>
  <si>
    <t>CNG-397-G-Telephone &amp; Telex E-00048</t>
  </si>
  <si>
    <t>CNG-398-G-Miscellaneous Equip-00048</t>
  </si>
  <si>
    <t>00048 Total</t>
  </si>
  <si>
    <t>AS</t>
  </si>
  <si>
    <t>Allocated States</t>
  </si>
  <si>
    <t>CNG-301-G-Organization-00100</t>
  </si>
  <si>
    <t>CNG-303-G-Intang-00100-10 YR-2013</t>
  </si>
  <si>
    <t>00100</t>
  </si>
  <si>
    <t>CNG-303-G-Intang-00100-10 YR-2015</t>
  </si>
  <si>
    <t>CNG-303-G-Intang-00100-11 YR-2015</t>
  </si>
  <si>
    <t>CNG-303-G-Intang-00100-13 YR-2012</t>
  </si>
  <si>
    <t>CNG-303-G-Intang-00100-14 YR-2010</t>
  </si>
  <si>
    <t>CNG-303-G-Intang-00100-14 YR-2011</t>
  </si>
  <si>
    <t>CNG-303-G-Intang-00100-15 YR-2010</t>
  </si>
  <si>
    <t>CNG-303-G-Intang-00100-15 YR-2012</t>
  </si>
  <si>
    <t>CNG-303-G-Intang-00100-3 YR-2010</t>
  </si>
  <si>
    <t>CNG-303-G-Intang-00100-5 YR-2011</t>
  </si>
  <si>
    <t>CNG-303-G-Intang-00100-7 YR-2012</t>
  </si>
  <si>
    <t>CNG-303-G-Intang-00100-7 YR-2013</t>
  </si>
  <si>
    <t>CNG-303-G-Intang-00100-7 YR-2014</t>
  </si>
  <si>
    <t>CNG-303-G-Intang-00100-7 YR-2015</t>
  </si>
  <si>
    <t>CNG-374-G-Land-00100</t>
  </si>
  <si>
    <t>CNG-375-G-Structures &amp; Improv-00100</t>
  </si>
  <si>
    <t>CNG-389-G-Land &amp; Land Rights-00100</t>
  </si>
  <si>
    <t>CNG-390-G-Structures &amp; Improv-00100</t>
  </si>
  <si>
    <t>CNG-391-G-Comp Equip-Server &amp;-00100</t>
  </si>
  <si>
    <t>CNG-391-G-Office Equip-00100</t>
  </si>
  <si>
    <t>CNG-391-G-Office Furniture &amp; -00100</t>
  </si>
  <si>
    <t>CNG-391-G-Software-00100</t>
  </si>
  <si>
    <t>CNG-392-G-Trailers-00100</t>
  </si>
  <si>
    <t>CNG-392-G-Transportation Equi-00100</t>
  </si>
  <si>
    <t>CNG-393-G-Stores Equip-00100</t>
  </si>
  <si>
    <t>CNG-394-G-Tools,Shop,Garage E-00100</t>
  </si>
  <si>
    <t>CNG-395-G-Laboratory Equip-00100</t>
  </si>
  <si>
    <t>CNG-396-G-Power Operated Equi-00100</t>
  </si>
  <si>
    <t>CNG-396-G-Trailers-Work Equip-00100</t>
  </si>
  <si>
    <t>CNG-397-G-Radio Comm Equip-Mo-00100</t>
  </si>
  <si>
    <t>CNG-397-G-Supervisory &amp; Telem-00100</t>
  </si>
  <si>
    <t>CNG-397-G-Telephone &amp; Telex E-00100</t>
  </si>
  <si>
    <t>CNG-398-G-Miscellaneous Equip-00100</t>
  </si>
  <si>
    <t>CNG-381-G-ERTS-00101</t>
  </si>
  <si>
    <t>CNG-381-G-Meters-00101</t>
  </si>
  <si>
    <t>CNG-383-G-Service Regulators-00101</t>
  </si>
  <si>
    <t>00100 - 00101 Total</t>
  </si>
  <si>
    <t>No Jurisdiction Allocation</t>
  </si>
  <si>
    <t>CNG-372-G-Aro Trans Plant</t>
  </si>
  <si>
    <t>CNG-388-G-Aro Distrib Plant-OR</t>
  </si>
  <si>
    <t>CNG-388-G-Aro Distrib Plant-WA</t>
  </si>
  <si>
    <t>Grand Total</t>
  </si>
  <si>
    <t>WA 00048 Total (from above)</t>
  </si>
  <si>
    <t>100 AS accounts (allocation on 3 Factor Allocator)</t>
  </si>
  <si>
    <t>101 AS accounts (allocation on Customer Allocator)</t>
  </si>
  <si>
    <t>Total WA Plant)</t>
  </si>
  <si>
    <t>Total WA Reserve</t>
  </si>
  <si>
    <t>Total WA Plant in Service</t>
  </si>
  <si>
    <t>Total WA Accumulated Depreciation</t>
  </si>
  <si>
    <t>WA Customer Advances for Construction</t>
  </si>
  <si>
    <t>WA Deferred Taxes</t>
  </si>
  <si>
    <t>WA Working Capital</t>
  </si>
  <si>
    <t>Total WA Rate Base</t>
  </si>
  <si>
    <t>Total WA Plant in Service (AMA)</t>
  </si>
  <si>
    <t>Total WA Accum. Deprec. (AMA)</t>
  </si>
  <si>
    <t>UW</t>
  </si>
  <si>
    <t>UO</t>
  </si>
  <si>
    <t>LTD</t>
  </si>
  <si>
    <t>4</t>
  </si>
  <si>
    <t>5</t>
  </si>
  <si>
    <t>6</t>
  </si>
  <si>
    <t>7</t>
  </si>
  <si>
    <t>9</t>
  </si>
  <si>
    <t>10</t>
  </si>
  <si>
    <t>11</t>
  </si>
  <si>
    <t>CO</t>
  </si>
  <si>
    <t>BUS UNIT</t>
  </si>
  <si>
    <t>OBJ</t>
  </si>
  <si>
    <t>SUB ACCT</t>
  </si>
  <si>
    <t>S/L TYPE</t>
  </si>
  <si>
    <t>S/L NAME</t>
  </si>
  <si>
    <t>47</t>
  </si>
  <si>
    <t>CUSTOMER ADVANCES FOR CONSTRUCTION:</t>
  </si>
  <si>
    <t>WA OLD ACCOUNTS</t>
  </si>
  <si>
    <t>47WA</t>
  </si>
  <si>
    <t>[2000.2900]</t>
  </si>
  <si>
    <t>NEW ACCOUNTS</t>
  </si>
  <si>
    <t>[000.2000]</t>
  </si>
  <si>
    <t>FORFEITURES</t>
  </si>
  <si>
    <t>300</t>
  </si>
  <si>
    <t>MRC</t>
  </si>
  <si>
    <t>2991</t>
  </si>
  <si>
    <t>REFUND. CUST COM.</t>
  </si>
  <si>
    <t>2992</t>
  </si>
  <si>
    <t>REFUND. COMM CONTR.</t>
  </si>
  <si>
    <t>2993</t>
  </si>
  <si>
    <t>DEFERRED TAXES:</t>
  </si>
  <si>
    <t>FED UTIL ACRS DEP.</t>
  </si>
  <si>
    <t>96301</t>
  </si>
  <si>
    <t>FED DEBT REFINANCING COSTS</t>
  </si>
  <si>
    <t>96302</t>
  </si>
  <si>
    <t>STATE UTIL ACRS DEP.</t>
  </si>
  <si>
    <t>86301</t>
  </si>
  <si>
    <t>STATE DEBT REFINANCING COSTS</t>
  </si>
  <si>
    <t>86302</t>
  </si>
  <si>
    <t>SYSTEM</t>
  </si>
  <si>
    <t>See "Plant in Serv &amp; Accum Depr" tab</t>
  </si>
  <si>
    <t>See " Adv for Const. &amp; Def Tax" tab</t>
  </si>
  <si>
    <t>See "Working Capital" tab</t>
  </si>
  <si>
    <t>47OR</t>
  </si>
  <si>
    <t>861</t>
  </si>
  <si>
    <t>862</t>
  </si>
  <si>
    <t>865</t>
  </si>
  <si>
    <t>961</t>
  </si>
  <si>
    <t>962</t>
  </si>
  <si>
    <t>965</t>
  </si>
  <si>
    <t>T/B Total-2820</t>
  </si>
  <si>
    <t>T/B Total-2830</t>
  </si>
  <si>
    <t>OTHER DEFERRED TAXES:</t>
  </si>
  <si>
    <t xml:space="preserve">Line No. </t>
  </si>
  <si>
    <t>P</t>
  </si>
  <si>
    <t>Q</t>
  </si>
  <si>
    <t>R</t>
  </si>
  <si>
    <t>S</t>
  </si>
  <si>
    <t>T</t>
  </si>
  <si>
    <t>U</t>
  </si>
  <si>
    <t>V</t>
  </si>
  <si>
    <t>W</t>
  </si>
  <si>
    <t>X</t>
  </si>
  <si>
    <t>Y</t>
  </si>
  <si>
    <t>Z</t>
  </si>
  <si>
    <t>AB</t>
  </si>
  <si>
    <t>AC</t>
  </si>
  <si>
    <t>AD</t>
  </si>
  <si>
    <t>AE</t>
  </si>
  <si>
    <t>Plant in Service &amp; Accumulated Depreciation</t>
  </si>
  <si>
    <t>AF</t>
  </si>
  <si>
    <t>AG</t>
  </si>
  <si>
    <t>AH</t>
  </si>
  <si>
    <t>AI</t>
  </si>
  <si>
    <t>AJ</t>
  </si>
  <si>
    <t>AK</t>
  </si>
  <si>
    <t>AL</t>
  </si>
  <si>
    <t>AM</t>
  </si>
  <si>
    <t>AN</t>
  </si>
  <si>
    <t>AO</t>
  </si>
  <si>
    <t>AP</t>
  </si>
  <si>
    <t>AQ</t>
  </si>
  <si>
    <t>AR</t>
  </si>
  <si>
    <t>AT</t>
  </si>
  <si>
    <t>AU</t>
  </si>
  <si>
    <t>AV</t>
  </si>
  <si>
    <t>AW</t>
  </si>
  <si>
    <t>Advance for Construction &amp; Deferred Taxes</t>
  </si>
  <si>
    <t>Description of Workpaper</t>
  </si>
  <si>
    <r>
      <t>Amortization Period (years)</t>
    </r>
    <r>
      <rPr>
        <vertAlign val="superscript"/>
        <sz val="12"/>
        <color theme="1"/>
        <rFont val="Calibri"/>
        <family val="2"/>
        <scheme val="minor"/>
      </rPr>
      <t>1</t>
    </r>
  </si>
  <si>
    <r>
      <rPr>
        <vertAlign val="superscript"/>
        <sz val="12"/>
        <color theme="1"/>
        <rFont val="Calibri"/>
        <family val="2"/>
        <scheme val="minor"/>
      </rPr>
      <t>1</t>
    </r>
    <r>
      <rPr>
        <sz val="12"/>
        <color theme="1"/>
        <rFont val="Calibri"/>
        <family val="2"/>
        <scheme val="minor"/>
      </rPr>
      <t>Remaining period of the program after rate case effective date</t>
    </r>
  </si>
  <si>
    <t>Average</t>
  </si>
  <si>
    <t>dec</t>
  </si>
  <si>
    <t>nov</t>
  </si>
  <si>
    <t>oct</t>
  </si>
  <si>
    <t>sep</t>
  </si>
  <si>
    <t>aug</t>
  </si>
  <si>
    <t>jul</t>
  </si>
  <si>
    <t>jun</t>
  </si>
  <si>
    <t>may</t>
  </si>
  <si>
    <t>apr</t>
  </si>
  <si>
    <t>mar</t>
  </si>
  <si>
    <t>feb</t>
  </si>
  <si>
    <t>jan</t>
  </si>
  <si>
    <r>
      <rPr>
        <vertAlign val="superscript"/>
        <sz val="10"/>
        <rFont val="Arial"/>
        <family val="2"/>
      </rPr>
      <t>3</t>
    </r>
    <r>
      <rPr>
        <sz val="10"/>
        <rFont val="Arial"/>
        <family val="2"/>
      </rPr>
      <t xml:space="preserve"> CC&amp;B Revs, Bills, and Therms File</t>
    </r>
  </si>
  <si>
    <r>
      <t>OR</t>
    </r>
    <r>
      <rPr>
        <vertAlign val="superscript"/>
        <sz val="10"/>
        <rFont val="Arial"/>
        <family val="2"/>
      </rPr>
      <t>3</t>
    </r>
  </si>
  <si>
    <r>
      <t>WA</t>
    </r>
    <r>
      <rPr>
        <vertAlign val="superscript"/>
        <sz val="10"/>
        <rFont val="Arial"/>
        <family val="2"/>
      </rPr>
      <t>3</t>
    </r>
  </si>
  <si>
    <r>
      <rPr>
        <vertAlign val="superscript"/>
        <sz val="10"/>
        <rFont val="Arial"/>
        <family val="2"/>
      </rPr>
      <t>2</t>
    </r>
    <r>
      <rPr>
        <sz val="10"/>
        <rFont val="Arial"/>
        <family val="2"/>
      </rPr>
      <t xml:space="preserve"> JD Edwards Rate Base File </t>
    </r>
  </si>
  <si>
    <r>
      <rPr>
        <vertAlign val="superscript"/>
        <sz val="10"/>
        <rFont val="Arial"/>
        <family val="2"/>
      </rPr>
      <t>1</t>
    </r>
    <r>
      <rPr>
        <sz val="10"/>
        <rFont val="Arial"/>
        <family val="2"/>
      </rPr>
      <t>Human Resources Department Monthly Employee Count Spreadsheet</t>
    </r>
  </si>
  <si>
    <t>(1)  Excludes Interstate employees</t>
  </si>
  <si>
    <t xml:space="preserve">  Percentage</t>
  </si>
  <si>
    <t>Average of Monthly Averages</t>
  </si>
  <si>
    <t>Percentage</t>
  </si>
  <si>
    <t>Formula</t>
  </si>
  <si>
    <t>Avg. of Mo. Avgs.</t>
  </si>
  <si>
    <t>Gross Plant</t>
  </si>
  <si>
    <t>Employees</t>
  </si>
  <si>
    <t>Incl. CCNC</t>
  </si>
  <si>
    <t>Customers</t>
  </si>
  <si>
    <t>of Customers</t>
  </si>
  <si>
    <t xml:space="preserve">  Employees (1)</t>
  </si>
  <si>
    <t>Mo-Yr</t>
  </si>
  <si>
    <t>The following percentages are used for allocating interest on debt:</t>
  </si>
  <si>
    <t>Average No.</t>
  </si>
  <si>
    <t>Source: Customers Per Employee report</t>
  </si>
  <si>
    <t>Average Number of Customers</t>
  </si>
  <si>
    <r>
      <t>Gross Plant Percentage</t>
    </r>
    <r>
      <rPr>
        <vertAlign val="superscript"/>
        <sz val="10"/>
        <rFont val="Arial"/>
        <family val="2"/>
      </rPr>
      <t>2</t>
    </r>
  </si>
  <si>
    <r>
      <t>Average No. of Employees</t>
    </r>
    <r>
      <rPr>
        <vertAlign val="superscript"/>
        <sz val="10"/>
        <rFont val="Arial"/>
        <family val="2"/>
      </rPr>
      <t>1</t>
    </r>
  </si>
  <si>
    <t>State Allocation Formulas</t>
  </si>
  <si>
    <t>Depr. Rate</t>
  </si>
  <si>
    <t>UG-150762</t>
  </si>
  <si>
    <t>Operating Report (Report is exported from Company's JDE accounting software)</t>
  </si>
  <si>
    <t>Figures are exported from JDE the company's accounting software.</t>
  </si>
  <si>
    <t>Figures are exported from JDE, the company's accounting software.</t>
  </si>
  <si>
    <t>Figures come from Tammy J Nygard Testimony Exhibit No. ____ (TJN-1T), page 3</t>
  </si>
  <si>
    <t>[1] Provided by Cascade Human Resources Accounting System</t>
  </si>
  <si>
    <t>Year-to-date [1]</t>
  </si>
  <si>
    <t>[2]</t>
  </si>
  <si>
    <t>Increase [2]</t>
  </si>
  <si>
    <t>[1]</t>
  </si>
  <si>
    <t>Effective Tax Rate</t>
  </si>
  <si>
    <t>Workpaper - Support Documents</t>
  </si>
  <si>
    <t>State Allocation Formula</t>
  </si>
  <si>
    <t>Federal Income Tax @ 21%</t>
  </si>
  <si>
    <t>Executive</t>
  </si>
  <si>
    <t>Incentives</t>
  </si>
  <si>
    <t>Allocator (3-Factor Formula)</t>
  </si>
  <si>
    <t>YTD</t>
  </si>
  <si>
    <t>Bus'n</t>
  </si>
  <si>
    <t>Sub</t>
  </si>
  <si>
    <t xml:space="preserve">           Operating Investment</t>
  </si>
  <si>
    <t>Ln</t>
  </si>
  <si>
    <t>Current</t>
  </si>
  <si>
    <t>#</t>
  </si>
  <si>
    <t>Unit</t>
  </si>
  <si>
    <t>Assets</t>
  </si>
  <si>
    <t>Liabilities</t>
  </si>
  <si>
    <t>Allocated</t>
  </si>
  <si>
    <t>Non-Utility</t>
  </si>
  <si>
    <t>Working Capital</t>
  </si>
  <si>
    <t>( c)</t>
  </si>
  <si>
    <t>(d)</t>
  </si>
  <si>
    <t>( e)</t>
  </si>
  <si>
    <t>(f)</t>
  </si>
  <si>
    <t>(g)</t>
  </si>
  <si>
    <t>(h)</t>
  </si>
  <si>
    <t>1244</t>
  </si>
  <si>
    <t>2104</t>
  </si>
  <si>
    <t>2105</t>
  </si>
  <si>
    <t>2106</t>
  </si>
  <si>
    <t>2107</t>
  </si>
  <si>
    <t>47031</t>
  </si>
  <si>
    <t>47088</t>
  </si>
  <si>
    <t>47107</t>
  </si>
  <si>
    <t>47531</t>
  </si>
  <si>
    <t>00</t>
  </si>
  <si>
    <t>100</t>
  </si>
  <si>
    <t>400</t>
  </si>
  <si>
    <t>47031000</t>
  </si>
  <si>
    <t>47088000</t>
  </si>
  <si>
    <t>47090000</t>
  </si>
  <si>
    <t>47107000</t>
  </si>
  <si>
    <t>47358000</t>
  </si>
  <si>
    <t>47491000</t>
  </si>
  <si>
    <t>47531000</t>
  </si>
  <si>
    <t>47585000</t>
  </si>
  <si>
    <t>47586000</t>
  </si>
  <si>
    <t>47657000</t>
  </si>
  <si>
    <t>47698000</t>
  </si>
  <si>
    <t>47920000</t>
  </si>
  <si>
    <t>47931000</t>
  </si>
  <si>
    <t>47968000</t>
  </si>
  <si>
    <t>2308</t>
  </si>
  <si>
    <t>2400</t>
  </si>
  <si>
    <t>2301</t>
  </si>
  <si>
    <t>2401</t>
  </si>
  <si>
    <t>2501</t>
  </si>
  <si>
    <t>14</t>
  </si>
  <si>
    <t>20425</t>
  </si>
  <si>
    <t>20424</t>
  </si>
  <si>
    <t>975</t>
  </si>
  <si>
    <t>2037</t>
  </si>
  <si>
    <t>2042</t>
  </si>
  <si>
    <t>Other Regulatory Asset - FAS 158</t>
  </si>
  <si>
    <t>2044</t>
  </si>
  <si>
    <t>1000</t>
  </si>
  <si>
    <t>1010</t>
  </si>
  <si>
    <t>1020</t>
  </si>
  <si>
    <t>1100</t>
  </si>
  <si>
    <t>1110</t>
  </si>
  <si>
    <t>1120</t>
  </si>
  <si>
    <t>1200</t>
  </si>
  <si>
    <t>2020</t>
  </si>
  <si>
    <t>2200</t>
  </si>
  <si>
    <t>2220</t>
  </si>
  <si>
    <t>4020</t>
  </si>
  <si>
    <t>4100</t>
  </si>
  <si>
    <t>4120</t>
  </si>
  <si>
    <t>4220</t>
  </si>
  <si>
    <t>OR1</t>
  </si>
  <si>
    <t>201</t>
  </si>
  <si>
    <t>20208</t>
  </si>
  <si>
    <t>20443</t>
  </si>
  <si>
    <t>20444</t>
  </si>
  <si>
    <t>20448</t>
  </si>
  <si>
    <t>20449</t>
  </si>
  <si>
    <t>20460</t>
  </si>
  <si>
    <t>20472</t>
  </si>
  <si>
    <t>20478</t>
  </si>
  <si>
    <t>20479</t>
  </si>
  <si>
    <t>20430</t>
  </si>
  <si>
    <t>20431</t>
  </si>
  <si>
    <t>20462</t>
  </si>
  <si>
    <t>20463</t>
  </si>
  <si>
    <t>20466</t>
  </si>
  <si>
    <t>20476</t>
  </si>
  <si>
    <t>20477</t>
  </si>
  <si>
    <t>1441</t>
  </si>
  <si>
    <t>1445</t>
  </si>
  <si>
    <t>2442</t>
  </si>
  <si>
    <t>2443</t>
  </si>
  <si>
    <t>3441</t>
  </si>
  <si>
    <t>3442</t>
  </si>
  <si>
    <t>2111</t>
  </si>
  <si>
    <t>3111</t>
  </si>
  <si>
    <t>3112</t>
  </si>
  <si>
    <t>1221</t>
  </si>
  <si>
    <t>1222</t>
  </si>
  <si>
    <t>4114</t>
  </si>
  <si>
    <t>0</t>
  </si>
  <si>
    <t>101</t>
  </si>
  <si>
    <t>010</t>
  </si>
  <si>
    <t>009</t>
  </si>
  <si>
    <t>401</t>
  </si>
  <si>
    <t>320</t>
  </si>
  <si>
    <t>321</t>
  </si>
  <si>
    <t>322</t>
  </si>
  <si>
    <t>335</t>
  </si>
  <si>
    <t>339</t>
  </si>
  <si>
    <t>005*</t>
  </si>
  <si>
    <t>008*</t>
  </si>
  <si>
    <t>30</t>
  </si>
  <si>
    <t>31</t>
  </si>
  <si>
    <t>202</t>
  </si>
  <si>
    <t>224</t>
  </si>
  <si>
    <t>408</t>
  </si>
  <si>
    <t>304</t>
  </si>
  <si>
    <t>329</t>
  </si>
  <si>
    <t>01272</t>
  </si>
  <si>
    <t>01273</t>
  </si>
  <si>
    <t>01285</t>
  </si>
  <si>
    <t>01287</t>
  </si>
  <si>
    <t>01999</t>
  </si>
  <si>
    <t>01253</t>
  </si>
  <si>
    <t>01254</t>
  </si>
  <si>
    <t>01286</t>
  </si>
  <si>
    <t>02009</t>
  </si>
  <si>
    <t>02008</t>
  </si>
  <si>
    <t>0200</t>
  </si>
  <si>
    <t>200</t>
  </si>
  <si>
    <t>0101</t>
  </si>
  <si>
    <t>0106</t>
  </si>
  <si>
    <t>0104</t>
  </si>
  <si>
    <t>0108</t>
  </si>
  <si>
    <t>20201</t>
  </si>
  <si>
    <t>20217</t>
  </si>
  <si>
    <t>4800</t>
  </si>
  <si>
    <t>4800CP</t>
  </si>
  <si>
    <t>4809</t>
  </si>
  <si>
    <t>4809DE</t>
  </si>
  <si>
    <t>4810</t>
  </si>
  <si>
    <t>4810CP</t>
  </si>
  <si>
    <t>4810DE</t>
  </si>
  <si>
    <t>4813</t>
  </si>
  <si>
    <t>4809CP</t>
  </si>
  <si>
    <t>4811</t>
  </si>
  <si>
    <t>4811CP</t>
  </si>
  <si>
    <t>4811DE</t>
  </si>
  <si>
    <t>4813CP</t>
  </si>
  <si>
    <t>MSRV</t>
  </si>
  <si>
    <t>SLMD</t>
  </si>
  <si>
    <t>MMAT</t>
  </si>
  <si>
    <t>4861</t>
  </si>
  <si>
    <t>4863</t>
  </si>
  <si>
    <t>MISC</t>
  </si>
  <si>
    <t>DAMG</t>
  </si>
  <si>
    <t>1331</t>
  </si>
  <si>
    <t>1333</t>
  </si>
  <si>
    <t>1511</t>
  </si>
  <si>
    <t>TOTALS</t>
  </si>
  <si>
    <t>Cash Working Capital</t>
  </si>
  <si>
    <t>CWC</t>
  </si>
  <si>
    <t>ISWC</t>
  </si>
  <si>
    <t>Allocation Percentages based to Total Investment</t>
  </si>
  <si>
    <t>Allocated Investor Supplied Working Capital</t>
  </si>
  <si>
    <t>Pro Forma Wage</t>
  </si>
  <si>
    <t>Restate Wage</t>
  </si>
  <si>
    <t>2020 Wage</t>
  </si>
  <si>
    <t>EXHIBIT OF MARYALICE C. PETERS</t>
  </si>
  <si>
    <t>MCP WP-1.8</t>
  </si>
  <si>
    <t>MCP WP-1.9</t>
  </si>
  <si>
    <t>MCP WP-1.10</t>
  </si>
  <si>
    <t>MCP WP-1.0</t>
  </si>
  <si>
    <t>UG 19_____</t>
  </si>
  <si>
    <t>MCP WP-1.1</t>
  </si>
  <si>
    <t>MCP WP-1.7</t>
  </si>
  <si>
    <t>Provision for Rate Refund</t>
  </si>
  <si>
    <t>FP-300233 - ARLINGTON 6" HP REINFORCEMENT</t>
  </si>
  <si>
    <t>FP-316429 - RF; 6" HP; ABER; 12,500' BASICH BLV</t>
  </si>
  <si>
    <t>FP-316670 - RF; 12" HP; KENN; WALLULA HP LINE</t>
  </si>
  <si>
    <t>FP-317291 - Roof replacement/Parking lot - Bell</t>
  </si>
  <si>
    <t>Budgeted 2019</t>
  </si>
  <si>
    <t>MCP WP-1.2</t>
  </si>
  <si>
    <t xml:space="preserve">LOWER COLUMBIA CONTRACTORS    </t>
  </si>
  <si>
    <t>NORTHWEST EVENT ORGANIZERS INC</t>
  </si>
  <si>
    <t xml:space="preserve">OTHELLO RODEO ASSOCIATION     </t>
  </si>
  <si>
    <t>CENTRAL OREGON BUILDERS ASSOCI</t>
  </si>
  <si>
    <t xml:space="preserve">acct. 20856                   </t>
  </si>
  <si>
    <t>MCP WP-1.12</t>
  </si>
  <si>
    <t>MCP WP-1.13</t>
  </si>
  <si>
    <t>MCP WP-1.14</t>
  </si>
  <si>
    <t>Investment from MCP-6</t>
  </si>
  <si>
    <t>Ln 6 * .21</t>
  </si>
  <si>
    <t>(Ln 8 - Ln 6) * .21</t>
  </si>
  <si>
    <t>MCP WP-1.15</t>
  </si>
  <si>
    <t>MCP WP-1.17</t>
  </si>
  <si>
    <t>[2] Union increase from the 2018 Agreement between CNGC and Local No. 121-C of the International Chemical Workers' Union Council/UFCW</t>
  </si>
  <si>
    <t>Routine Main/Service Operation</t>
  </si>
  <si>
    <t>Other</t>
  </si>
  <si>
    <t>Mains-Maintenance</t>
  </si>
  <si>
    <t>Station &amp; Odorizer Station</t>
  </si>
  <si>
    <t>Routine Meter Reading</t>
  </si>
  <si>
    <t>Customer Collection</t>
  </si>
  <si>
    <t>Administration &amp; General</t>
  </si>
  <si>
    <t>Operation Supervision &amp; Engineering</t>
  </si>
  <si>
    <t>Other Gas Supply</t>
  </si>
  <si>
    <t>Maintenance Supervision &amp; Engineering</t>
  </si>
  <si>
    <t>Customer Accounting</t>
  </si>
  <si>
    <t>Meter/Regulator Maintenance</t>
  </si>
  <si>
    <t>Maintenance of Other</t>
  </si>
  <si>
    <t>Measuring and Regulating-General</t>
  </si>
  <si>
    <t>Measuring and Regulating-Industrial</t>
  </si>
  <si>
    <t>Routine Meter and House Regulator</t>
  </si>
  <si>
    <t>Customer Installation</t>
  </si>
  <si>
    <t>Service</t>
  </si>
  <si>
    <t>Misc. Customer Service &amp; Information</t>
  </si>
  <si>
    <t>Maintenance of Measuring &amp; Regulating</t>
  </si>
  <si>
    <t>Customer Assistance</t>
  </si>
  <si>
    <t>Employee Pensions and Benefits</t>
  </si>
  <si>
    <t>Compressor Station Maintenance</t>
  </si>
  <si>
    <t xml:space="preserve">Compressor Station Operating </t>
  </si>
  <si>
    <t>MCP WP-1.4</t>
  </si>
  <si>
    <t>2018</t>
  </si>
  <si>
    <t>FED CUSTOMER ADVANCES</t>
  </si>
  <si>
    <t>FED TAX REFORM-PLANT</t>
  </si>
  <si>
    <t>FED TAX REFORM-RATE BASE</t>
  </si>
  <si>
    <t>STATE CUSTOMER ADVANCES</t>
  </si>
  <si>
    <t>STATE TAX REFROM-RATE BASE</t>
  </si>
  <si>
    <t>96303</t>
  </si>
  <si>
    <t>96304</t>
  </si>
  <si>
    <t>96305</t>
  </si>
  <si>
    <t>86303</t>
  </si>
  <si>
    <t>86305</t>
  </si>
  <si>
    <t>MCP WP-1.3</t>
  </si>
  <si>
    <t>CNG-303-G-Intang-00038-40 YR-2016</t>
  </si>
  <si>
    <t>CNG-303-G-Intang-00038-40 YR-2017</t>
  </si>
  <si>
    <t>CNG-303-G-Intang-00048-20 YR-2017</t>
  </si>
  <si>
    <t>CNG-303-G-Intang-00048-40 YR-2017</t>
  </si>
  <si>
    <t>CNG-303-G-Intang-00048-40 YR-2018</t>
  </si>
  <si>
    <t>CNG-303-G-Intang-00100-10 YR-2016</t>
  </si>
  <si>
    <t>CNG-303-G-Intang-00100-10 YR-2017</t>
  </si>
  <si>
    <t>CNG-303-G-Intang-00100-15 YR-2017</t>
  </si>
  <si>
    <t>CNG-303-G-Intang-00100-15 YR-2018</t>
  </si>
  <si>
    <t>CNG-303-G-Intang-00100-3 YR-2017</t>
  </si>
  <si>
    <t>CNG-303-G-Intang-00100-5 YR-2016</t>
  </si>
  <si>
    <t>CNG-303-G-Intang-00100-5 YR-2017</t>
  </si>
  <si>
    <t>CNG-303-G-Intang-00100-5 YR-2018</t>
  </si>
  <si>
    <t>CNG-303-G-Intang-00100-7 YR-2016</t>
  </si>
  <si>
    <t>CNG-303-G-Intang-00100-7 YR-2017</t>
  </si>
  <si>
    <t>CNG-303-G-Intang-00100-7 YR-2018</t>
  </si>
  <si>
    <t>4760600 Human Resources</t>
  </si>
  <si>
    <t>4760800 Customer Service</t>
  </si>
  <si>
    <t>4763400 Enterprised GIS</t>
  </si>
  <si>
    <t>4766100 Fleet</t>
  </si>
  <si>
    <t>4767500 Compliance Systems &amp; Telecom</t>
  </si>
  <si>
    <t>4769400 Utility Group Controller</t>
  </si>
  <si>
    <t>Dec-2018 Plant</t>
  </si>
  <si>
    <t>Dec-2018 Reserve</t>
  </si>
  <si>
    <t>WA-Direct</t>
  </si>
  <si>
    <t>WA-Allocated</t>
  </si>
  <si>
    <t>IGC-WA</t>
  </si>
  <si>
    <t>MDU-WA</t>
  </si>
  <si>
    <t>MDUR- WA</t>
  </si>
  <si>
    <t>MDUR Exec Incentive Plan</t>
  </si>
  <si>
    <t>MDUR Employee Incentive Plan</t>
  </si>
  <si>
    <t>MDU Exec Incentive Plan</t>
  </si>
  <si>
    <t>MDU Employee Incentive Plan</t>
  </si>
  <si>
    <t>IGC Exec Incentive Plan</t>
  </si>
  <si>
    <t>CNG Direct Employee Incentive Plan</t>
  </si>
  <si>
    <t>CNG Allocated Employee Incentive Plan</t>
  </si>
  <si>
    <t>Total WA Executive Incentives</t>
  </si>
  <si>
    <t>Executive Incentives</t>
  </si>
  <si>
    <t>Remove Executive Incentives</t>
  </si>
  <si>
    <t>MCP WP-1.5</t>
  </si>
  <si>
    <t>MCP WP-1.6</t>
  </si>
  <si>
    <t>MCP WP-1.11</t>
  </si>
  <si>
    <t>MCP WP-1.16</t>
  </si>
  <si>
    <t>Total  Deferral to be amort</t>
  </si>
  <si>
    <t>End of Year</t>
  </si>
  <si>
    <t>R-5</t>
  </si>
  <si>
    <t>R-6</t>
  </si>
  <si>
    <t xml:space="preserve">Restate </t>
  </si>
  <si>
    <t>Maryalice C. Peters</t>
  </si>
  <si>
    <t>State Grossup</t>
  </si>
  <si>
    <t>State FAS 109 adj</t>
  </si>
  <si>
    <t>State Non-current deferred Tax</t>
  </si>
  <si>
    <t>State Current Deferred Tax</t>
  </si>
  <si>
    <t>Federal Grossup</t>
  </si>
  <si>
    <t>Federal FAS 109 adj</t>
  </si>
  <si>
    <t>Federal Non-current deferred Tax</t>
  </si>
  <si>
    <t>Federal Current Deferred Tax</t>
  </si>
  <si>
    <t>864</t>
  </si>
  <si>
    <t>964</t>
  </si>
  <si>
    <t>T/B Total-1900</t>
  </si>
  <si>
    <t>December 2018</t>
  </si>
  <si>
    <t>2199</t>
  </si>
  <si>
    <t>Money Sweep (REPO) Account</t>
  </si>
  <si>
    <t>Accts Receivable - MDUR Resources</t>
  </si>
  <si>
    <t>Accts Receivable - Centenial Holdings</t>
  </si>
  <si>
    <t>47586001</t>
  </si>
  <si>
    <t>47968001</t>
  </si>
  <si>
    <t>15</t>
  </si>
  <si>
    <t>Prepayments - Other</t>
  </si>
  <si>
    <t>Prepayments - Software Maintenance Fee</t>
  </si>
  <si>
    <t>2047</t>
  </si>
  <si>
    <t>47020430</t>
  </si>
  <si>
    <t>47020431</t>
  </si>
  <si>
    <t>47020444</t>
  </si>
  <si>
    <t>47020449</t>
  </si>
  <si>
    <t>47020478</t>
  </si>
  <si>
    <t>1832</t>
  </si>
  <si>
    <t>20461</t>
  </si>
  <si>
    <t>20481</t>
  </si>
  <si>
    <t>20480</t>
  </si>
  <si>
    <t>Other Regulatory Asset - FAS 158 - MDUR Pension</t>
  </si>
  <si>
    <t>Preliminary Survey &amp; Investigations</t>
  </si>
  <si>
    <t>4262*</t>
  </si>
  <si>
    <t>4390</t>
  </si>
  <si>
    <t>Accts Pay - MDU</t>
  </si>
  <si>
    <t>004*</t>
  </si>
  <si>
    <t>TRA</t>
  </si>
  <si>
    <t>OR2</t>
  </si>
  <si>
    <t>WA1</t>
  </si>
  <si>
    <t>Interest Accrued - Line of Credit Loan Fee</t>
  </si>
  <si>
    <t>Interest Accrued - Line of Credit Accrued Interest</t>
  </si>
  <si>
    <t>2428</t>
  </si>
  <si>
    <t>336</t>
  </si>
  <si>
    <t>20482</t>
  </si>
  <si>
    <t>20483</t>
  </si>
  <si>
    <t>20484</t>
  </si>
  <si>
    <t>20485</t>
  </si>
  <si>
    <t>20486</t>
  </si>
  <si>
    <t>20487</t>
  </si>
  <si>
    <t>4800CV</t>
  </si>
  <si>
    <t>4809CV</t>
  </si>
  <si>
    <t>4810CV</t>
  </si>
  <si>
    <t>4811CV</t>
  </si>
  <si>
    <t>4813CV</t>
  </si>
  <si>
    <t>See tab "Plant in Serv &amp; Accum Depr", cell AF165, for WA amount in CNG Exh MCP 2-6 and WP-1 3-29-19</t>
  </si>
  <si>
    <t>See tab "Plant in Serv &amp; Accum Depr", cell AF159, for WA amount in CNG Exh MCP 2-6 and WP-1 3-29-19</t>
  </si>
  <si>
    <t>See tab "Adv for Const. &amp; Def Tax", line 10 , columns AV &amp; AW in CNG Exh MCP 2-6 and WP-1 3-29-19.xlsx</t>
  </si>
  <si>
    <t>See tab "Adv for Const. &amp; Def Tax", line 11, columns AV &amp; AW in CNG Exh MCP 2-6 and WP-1 3-29-19.xlsx</t>
  </si>
  <si>
    <t>See tab "Adv for Const. &amp; Def Tax", line 13, columns AV &amp; AW in CNG Exh MCP 2-6 and WP-1 3-29-19.xlsx</t>
  </si>
  <si>
    <t>See tab "Adv for Const. &amp; Def Tax", line 18, columns AV &amp; AW in CNG Exh MCP 2-6 and WP-1 3-29-19.xlsx</t>
  </si>
  <si>
    <t>See tab "Adv for Const. &amp; Def Tax", line 21, column AV in CNG Exh MCP 2-6 and WP-1 3-29-19.xlsx</t>
  </si>
  <si>
    <t>See tab "Adv for Const. &amp; Def Tax", line 25, column AW in CNG Exh MCP 2-6 and WP-1 3-29-19.xlsx</t>
  </si>
  <si>
    <t>See tab "Adv for Const. &amp; Def Tax", line 24, column AW in CNG Exh MCP 2-6 and WP-1 3-29-19.xlsx</t>
  </si>
  <si>
    <t>See tab "Adv for Const. &amp; Def Tax", line 19, columns AV &amp; AW in CNG Exh MCP 2-6 and WP-1 3-29-19.xlsx</t>
  </si>
  <si>
    <t>Estimated In-Service Date</t>
  </si>
  <si>
    <t>302-G-Franchises</t>
  </si>
  <si>
    <t>303-G-Misc. Intangible Plant</t>
  </si>
  <si>
    <t>365-G-Land and Land Rights</t>
  </si>
  <si>
    <t>365-G-Rights-of-Way</t>
  </si>
  <si>
    <t>367-G-Mains</t>
  </si>
  <si>
    <t>369-G-Measuring/Regulating Equipmen</t>
  </si>
  <si>
    <t>374-G-Land and Land Rights</t>
  </si>
  <si>
    <t>374-G-Land</t>
  </si>
  <si>
    <t>375-G-Structures &amp; Improvements</t>
  </si>
  <si>
    <t>376-G-Mains-High Pressure Steel</t>
  </si>
  <si>
    <t>376-G-Mains-Plastic</t>
  </si>
  <si>
    <t>376-G-Mains-Steel</t>
  </si>
  <si>
    <t>380-G-Services-Plastc</t>
  </si>
  <si>
    <t>380-G-Services-Steel</t>
  </si>
  <si>
    <t>381-G-ERT Units</t>
  </si>
  <si>
    <t>381-G-Meters</t>
  </si>
  <si>
    <t>382-G-Meter Set Installation</t>
  </si>
  <si>
    <t>383-G-Service Regulators</t>
  </si>
  <si>
    <t>385-G-Industrial Meas. &amp; Reg Stn Eq</t>
  </si>
  <si>
    <t>389-G-Land &amp; Land Rights</t>
  </si>
  <si>
    <t>390-G-Leasehold Improvement</t>
  </si>
  <si>
    <t>390-G-Structures &amp; Improvements</t>
  </si>
  <si>
    <t>391-G-Office Equipment</t>
  </si>
  <si>
    <t>391-G-Office Furniture &amp; Fixtures</t>
  </si>
  <si>
    <t>391-G-Comp Equip-Server &amp; Workstati</t>
  </si>
  <si>
    <t>393-G-Stores Equipment</t>
  </si>
  <si>
    <t>394-G-Tools,Shop,Garage Equip</t>
  </si>
  <si>
    <t>395-G-Laboratory Equipment</t>
  </si>
  <si>
    <t>397-G-Radio Comm Equip-Fixed</t>
  </si>
  <si>
    <t>397-G-Radio Comm Equip-Mobile</t>
  </si>
  <si>
    <t>397-G-Supervisory &amp; Telemeter Equip</t>
  </si>
  <si>
    <t>397-G-Telephone &amp; Telex Equip</t>
  </si>
  <si>
    <t>398-G-Miscellaneous Equipment</t>
  </si>
  <si>
    <t>From Exhibit No. MCP-6</t>
  </si>
  <si>
    <t>377-G-Compressor Station</t>
  </si>
  <si>
    <t>394-G-Vehicle CNG Equipment</t>
  </si>
  <si>
    <t>Other Investments - Funds held in trust</t>
  </si>
  <si>
    <t>Other Investments - Misc Insurance Assets</t>
  </si>
  <si>
    <t>Other Investments - SISP Defined Cont Plan</t>
  </si>
  <si>
    <t>Cash - Negative Cash Reclass</t>
  </si>
  <si>
    <t>Cash - General Account US Bank</t>
  </si>
  <si>
    <t>Cash - Acct Payable Disbursement</t>
  </si>
  <si>
    <t>Cash - Payroll Disbursement</t>
  </si>
  <si>
    <t>Cash - Concentration AP and Payroll</t>
  </si>
  <si>
    <t>Working Funds - Aberdeen</t>
  </si>
  <si>
    <t>Working Funds - Bellingham</t>
  </si>
  <si>
    <t>Working Funds - Bremerton</t>
  </si>
  <si>
    <t>Working Funds - Longview</t>
  </si>
  <si>
    <t>Customer Accounts Receivable - Suspense</t>
  </si>
  <si>
    <t>Other Accounts Receivable - Misc.</t>
  </si>
  <si>
    <t>Other Accounts Receivable - Billing Clearing Control</t>
  </si>
  <si>
    <t>Other Accounts Receivable - Empolyee Receivable</t>
  </si>
  <si>
    <t>Other Accounts Receivable - Old Cascade SISP Payments &amp; Unbilled Oregon PPF accrual</t>
  </si>
  <si>
    <t>Customer Accounts Receivable - Gas</t>
  </si>
  <si>
    <t>Customer Accounts Receivable - Large Volume</t>
  </si>
  <si>
    <t>Customer Accounts Receivable - BPP Reclass</t>
  </si>
  <si>
    <t>Other Receivables - Balance Forward</t>
  </si>
  <si>
    <t>Other Receivables - Current Year Write-Offs</t>
  </si>
  <si>
    <t>Other Receivables - Current Year Recoveries</t>
  </si>
  <si>
    <t>Other Receivables - Current Year Provision</t>
  </si>
  <si>
    <t>Accum Prov for Uncollect - Gas Balance Forward</t>
  </si>
  <si>
    <t>Accum Prov for Uncollect - Gas Current Year Write-Offs</t>
  </si>
  <si>
    <t>Accum Prov for Uncollect - Gas Current Year Recoveries</t>
  </si>
  <si>
    <t>Accum Prov for Uncollect - Gas Current Year Provision</t>
  </si>
  <si>
    <t>Accum Prov for Uncollect - Large Volume Balance Forward</t>
  </si>
  <si>
    <t>Accum Prov for Uncollect - Large Volume Current Year Provision</t>
  </si>
  <si>
    <t>Accum Prov for Uncollect - Large Volume Current Year Write-Offs</t>
  </si>
  <si>
    <t>Accum Prov for Uncollect - Large Volume Current Year Recoveries</t>
  </si>
  <si>
    <t>Plant Materials &amp; Op Supplies - Central Stores</t>
  </si>
  <si>
    <t>Plant Materials &amp; Op Supplies - Aberdeen</t>
  </si>
  <si>
    <t>Plant Materials &amp; Op Supplies - Bellingham</t>
  </si>
  <si>
    <t>Plant Materials &amp; Op Supplies - Bend</t>
  </si>
  <si>
    <t>Plant Materials &amp; Op Supplies - Bremerton</t>
  </si>
  <si>
    <t>Plant Materials &amp; Op Supplies - Hermiston</t>
  </si>
  <si>
    <t>Plant Materials &amp; Op Supplies - Kennewick</t>
  </si>
  <si>
    <t>Plant Materials &amp; Op Supplies - Longview</t>
  </si>
  <si>
    <t>Plant Materials &amp; Op Supplies - Moses Lake</t>
  </si>
  <si>
    <t>Plant Materials &amp; Op Supplies - Mount Vernon</t>
  </si>
  <si>
    <t>Plant Materials &amp; Op Supplies - Mount Vernon Fab Shop</t>
  </si>
  <si>
    <t>Plant Materials &amp; Op Supplies - Ontario</t>
  </si>
  <si>
    <t>Plant Materials &amp; Op Supplies - Pendleton</t>
  </si>
  <si>
    <t>Plant Materials &amp; Op Supplies - Walla Walla</t>
  </si>
  <si>
    <t>Plant Materials &amp; Op Supplies - Wenatchee</t>
  </si>
  <si>
    <t>Plant Materials &amp; Op Supplies - Yakima</t>
  </si>
  <si>
    <t>Plant Materials &amp; Op Supplies - Yakima Fab Shop</t>
  </si>
  <si>
    <t>Plant Materials &amp; Op Supplies - Odorant Inventory</t>
  </si>
  <si>
    <t>Undistributed Stores Exp - Inventory Freight Clearing</t>
  </si>
  <si>
    <t>Undistributed Stores Exp - Inventory Adjustment/Variance Clearing</t>
  </si>
  <si>
    <t xml:space="preserve"> Prepayments - Vehicle Licensing </t>
  </si>
  <si>
    <t>Prepayments - Gas Cost</t>
  </si>
  <si>
    <t>Prepayments - Federal Income Tax</t>
  </si>
  <si>
    <t>Prepayments - FIN48 Current</t>
  </si>
  <si>
    <t>Prepayments - Gross Revenue Fee</t>
  </si>
  <si>
    <t>Prepayments - Dept. of Energy Fee</t>
  </si>
  <si>
    <t>Prepayments - Property Tax</t>
  </si>
  <si>
    <t>Prepayments - State Income Tax</t>
  </si>
  <si>
    <t>Misc Def Dr - Regulatory assets current Core Gas Supply Hedging</t>
  </si>
  <si>
    <t>Accrued Gas Revenues - Unbilled Residential</t>
  </si>
  <si>
    <t>Accrued Gas Revenues - Unbilled Commercial</t>
  </si>
  <si>
    <t>Accrued Gas Revenues - Unbilled Industrial</t>
  </si>
  <si>
    <t>Accrued Transportation Revenues - Unbilled Transportation</t>
  </si>
  <si>
    <t>Accrued Transportation Revenues - Unbilled Transportation - Egen</t>
  </si>
  <si>
    <t>Accumulated Deferred Income Tax - Federal FAS109 Grossup</t>
  </si>
  <si>
    <t>Accumulated Deferred Income Tax - Federal FAS109 Adjustment</t>
  </si>
  <si>
    <t>Accumulated Deferred Income Tax - Federal Customer Advances</t>
  </si>
  <si>
    <t>Accumulated Deferred Income Tax - Federal NonReg</t>
  </si>
  <si>
    <t>Accumulated Deferred Income Tax - Federal noncurrent Reg</t>
  </si>
  <si>
    <t>Accumulated Deferred Income Tax - Federal current Reg</t>
  </si>
  <si>
    <t>Accumulated Deferred Income Tax - State FAS109 Grossup</t>
  </si>
  <si>
    <t>Accumulated Deferred Income Tax - State FAS109 Adjustment</t>
  </si>
  <si>
    <t>Accumulated Deferred Income Tax - State Customer Advances</t>
  </si>
  <si>
    <t>Accumulated Deferred Income Tax - State Tax Reform Plant RB</t>
  </si>
  <si>
    <t>Accumulated Deferred Income Tax - State NonReg</t>
  </si>
  <si>
    <t>Accumulated Deferred Income Tax - State noncurrent Reg</t>
  </si>
  <si>
    <t>Accumulated Deferred Income Tax - State current Reg</t>
  </si>
  <si>
    <t>Accumulated Deferred Income Tax - Federal Tax Reform Plant RB</t>
  </si>
  <si>
    <t>Other Regulatory Asset - SFAS 109</t>
  </si>
  <si>
    <t>Other Regulatory Asset - MAOP</t>
  </si>
  <si>
    <t>Other Regulatory Asset - Commercial Conservation Program</t>
  </si>
  <si>
    <t>Other Regulatory Asset - Low Income Weatherization</t>
  </si>
  <si>
    <t>Other Regulatory Asset - Conservation Administration &amp; Program Delivery Fees</t>
  </si>
  <si>
    <t>Other Regulatory Asset - Residential Conservation Program</t>
  </si>
  <si>
    <t>Other Regulatory Asset - Conservation Consolidated Adjustment</t>
  </si>
  <si>
    <t>Payroll clearing - Medical post tax</t>
  </si>
  <si>
    <t>Payroll clearing - Medical pre tax</t>
  </si>
  <si>
    <t>Payroll clearing - Medical Employer</t>
  </si>
  <si>
    <t>Payroll clearing - Dental post tax</t>
  </si>
  <si>
    <t>Payroll clearing - Dental pre tax</t>
  </si>
  <si>
    <t>Payroll clearing - Dental Employer</t>
  </si>
  <si>
    <t>Payroll clearing - Vision post tax</t>
  </si>
  <si>
    <t>Payroll clearing - Vision pre tax</t>
  </si>
  <si>
    <t>Payroll clearing - NCLI employer</t>
  </si>
  <si>
    <t>Payroll clearing - Voluntary Life</t>
  </si>
  <si>
    <t>Payroll clearing - AD&amp;D</t>
  </si>
  <si>
    <t>Payroll clearing - AD&amp;D Employer</t>
  </si>
  <si>
    <t>Payroll clearing - Spouse Life</t>
  </si>
  <si>
    <t>Payroll clearing - Dependent Life</t>
  </si>
  <si>
    <t>Payroll clearing - EAP Employer</t>
  </si>
  <si>
    <t>Payroll clearing - LTD</t>
  </si>
  <si>
    <t>Payroll clearing - LTD Employer</t>
  </si>
  <si>
    <t>Payroll clearing - STD Employer</t>
  </si>
  <si>
    <t>Payroll clearing - Oregon Workers Comp.</t>
  </si>
  <si>
    <t>Payroll clearing - Oregon Workers Comp. - Benefit Assess</t>
  </si>
  <si>
    <t>Payroll clearing - Washington Workers Comp.</t>
  </si>
  <si>
    <t>Misc Def Dr - Post Retirement FAS158</t>
  </si>
  <si>
    <t>Misc Def Dr - Intervener Funding Residual</t>
  </si>
  <si>
    <t>Misc Def Dr - Intervener Funding Deferral</t>
  </si>
  <si>
    <t>Misc Def Dr - Intervener Funding Preauth. Mat</t>
  </si>
  <si>
    <t>Misc Def Dr - Eugene MGP</t>
  </si>
  <si>
    <t>Misc Def Dr - Enviromental Remediation Cost Adjustment</t>
  </si>
  <si>
    <t>Misc Def Dr - Bremerton MGP</t>
  </si>
  <si>
    <t>Misc Def Dr - Bellingham MGP</t>
  </si>
  <si>
    <t>Misc Def Dr - MAOP Deferred Costs</t>
  </si>
  <si>
    <t>Misc Def Dr - Weather Variance Deferral</t>
  </si>
  <si>
    <t>Misc Def Dr - Conservation Variance Deferral</t>
  </si>
  <si>
    <t>Misc Def Dr - Adjustment Clearing</t>
  </si>
  <si>
    <t xml:space="preserve"> Misc Def Dr - Conservation Technical Adjustment </t>
  </si>
  <si>
    <t xml:space="preserve"> Other Regulatory Asset - Commercial Conservation Program </t>
  </si>
  <si>
    <t xml:space="preserve"> Other Regulatory Asset - Low Income Weatherization </t>
  </si>
  <si>
    <t xml:space="preserve"> Other Regulatory Asset - Conservation Administration &amp; Program Delivery Fees </t>
  </si>
  <si>
    <t xml:space="preserve"> Other Regulatory Asset - Residential Conservation Program </t>
  </si>
  <si>
    <t xml:space="preserve"> Other Regulatory Asset - Conservation Consolidated Adjustment </t>
  </si>
  <si>
    <t xml:space="preserve"> Misc Def Dr - Adjustment Clearing </t>
  </si>
  <si>
    <t xml:space="preserve"> Misc Def Dr - Decoupling Mechanism Adjustment </t>
  </si>
  <si>
    <t xml:space="preserve"> I/C Asset-Net Benefit Funding </t>
  </si>
  <si>
    <t xml:space="preserve"> Misc Def Dr - MAOP Pre-Code Costs </t>
  </si>
  <si>
    <t xml:space="preserve"> Taxes Other Than Income - Gross Revenue Regulatory Fee </t>
  </si>
  <si>
    <t>Taxes Other Than Income - Gross Revenue Regulatory Fee</t>
  </si>
  <si>
    <t xml:space="preserve"> Taxes Other Than Income - Property Tax </t>
  </si>
  <si>
    <t xml:space="preserve"> Taxes Other Than Income - Other Tax </t>
  </si>
  <si>
    <t xml:space="preserve"> Taxes Other Than Income - Department of Energy Fee </t>
  </si>
  <si>
    <t xml:space="preserve"> Taxes Other Than Income - Franchise Taxes </t>
  </si>
  <si>
    <t xml:space="preserve"> Taxes Other Than Income - Franchise Taxes Add on </t>
  </si>
  <si>
    <t xml:space="preserve"> Taxes Other Than Income - Business &amp; Occupation Tax </t>
  </si>
  <si>
    <t xml:space="preserve"> Taxes Other Than Income - Public Utility Tax </t>
  </si>
  <si>
    <t xml:space="preserve"> Taxes Other Than Income - Payroll Taxes </t>
  </si>
  <si>
    <t xml:space="preserve"> Depreciation Expense - Gas </t>
  </si>
  <si>
    <t xml:space="preserve"> Amortization Lim-Term Plant - Software </t>
  </si>
  <si>
    <t xml:space="preserve"> Amort Acquis Adj - Gas </t>
  </si>
  <si>
    <t xml:space="preserve"> Amort of Loss on Reacquired Debt </t>
  </si>
  <si>
    <t xml:space="preserve"> Other Interest Expense - Commitment Fee </t>
  </si>
  <si>
    <t xml:space="preserve"> Other Interest Expense - Customer Deposits </t>
  </si>
  <si>
    <t xml:space="preserve"> Other Interest Expense - Deferred Gas Costs </t>
  </si>
  <si>
    <t xml:space="preserve"> Other Interest Expense - Other Deferral Balances </t>
  </si>
  <si>
    <t xml:space="preserve"> Income Taxes, Other Inc &amp; Deductions - Federal </t>
  </si>
  <si>
    <t xml:space="preserve"> Prov for DIT- Other Inc &amp; Deductions - Federal Non-Utility </t>
  </si>
  <si>
    <t xml:space="preserve"> Income Taxes, Utility Operations - Federal </t>
  </si>
  <si>
    <t xml:space="preserve"> Income Taxes, Utility Operations - State </t>
  </si>
  <si>
    <t xml:space="preserve"> Income Taxes, Other Inc &amp; Deductions - State </t>
  </si>
  <si>
    <t xml:space="preserve"> Prov for DIT- Utility Operations - Federal </t>
  </si>
  <si>
    <t xml:space="preserve"> Prov for DIT- Utility Operations - State </t>
  </si>
  <si>
    <t xml:space="preserve"> Prov for DIT- Other Inc &amp; Deductions - State Non-Utility </t>
  </si>
  <si>
    <t xml:space="preserve"> Prov for DIT (CR) - Utility Op Income - Federal </t>
  </si>
  <si>
    <t xml:space="preserve"> Prov for DIT (CR) - Utility Op Income - State </t>
  </si>
  <si>
    <t xml:space="preserve"> Prov for DIT (CR) - Other Inc &amp; Deductions - Federal Non-Utility </t>
  </si>
  <si>
    <t xml:space="preserve"> Prov for DIT (CR) - Other Inc &amp; Deductions - State Non-Utility </t>
  </si>
  <si>
    <t xml:space="preserve"> Gain on Disposition of Property </t>
  </si>
  <si>
    <t xml:space="preserve"> Loss on Disposition of Property </t>
  </si>
  <si>
    <t xml:space="preserve"> Donations </t>
  </si>
  <si>
    <t xml:space="preserve"> SISP </t>
  </si>
  <si>
    <t xml:space="preserve"> Penalties </t>
  </si>
  <si>
    <t xml:space="preserve"> Lobbying </t>
  </si>
  <si>
    <t xml:space="preserve"> Other Deductions - Corporate Development </t>
  </si>
  <si>
    <t xml:space="preserve"> Expense of Nonutility </t>
  </si>
  <si>
    <t xml:space="preserve"> Purchased Gas Expense of Nonutility </t>
  </si>
  <si>
    <t xml:space="preserve"> Taxes Other Than Income - BTL Property Tax </t>
  </si>
  <si>
    <t>Other Comprehensive Income - CNG SERP</t>
  </si>
  <si>
    <t>Other Comprehensive Income - MDUR Resources SISP</t>
  </si>
  <si>
    <t>4.09% Snr Nt Due 11/24/2044</t>
  </si>
  <si>
    <t>4.24% Snr Nt Due 11/24/2054</t>
  </si>
  <si>
    <t>4.09% Snr Nt Due 01/15/2045</t>
  </si>
  <si>
    <t>4.24% Snr Nt Due 01/15/2055</t>
  </si>
  <si>
    <t xml:space="preserve">Trade Accounts Payable </t>
  </si>
  <si>
    <t>Accts Pay - VISA Credit Card - PNC Bank</t>
  </si>
  <si>
    <t>Accts Pay - Cap-Ex</t>
  </si>
  <si>
    <t>Accts Pay - Bank Charges</t>
  </si>
  <si>
    <t>Accts Pay - Misc. Payroll Deductions</t>
  </si>
  <si>
    <t>Accts Pay - 401K Employee Contribution</t>
  </si>
  <si>
    <t>Accts Pay - FSA - Medical</t>
  </si>
  <si>
    <t>Accts Pay - HSA Employee Contribution</t>
  </si>
  <si>
    <t>Accts Pay - 401K Loan Provision</t>
  </si>
  <si>
    <t>Accts Pay - CC&amp;B Customer Refund Requests</t>
  </si>
  <si>
    <t>Accts Pay - MDUR Resources</t>
  </si>
  <si>
    <t>Accts Pay - Centenial Holdings</t>
  </si>
  <si>
    <t>Accts Pay - IGC</t>
  </si>
  <si>
    <t>Tax Collection Pay - Employee Federeal Income Tax W/H</t>
  </si>
  <si>
    <t>Tax Collection Pay - Employee FICA W/H</t>
  </si>
  <si>
    <t>Tax Collection Pay - Employee State Income Tax W/H</t>
  </si>
  <si>
    <t>Tax Collection Pay - Employee State Transit W/H</t>
  </si>
  <si>
    <t>Income Taxes Accrued - Federal</t>
  </si>
  <si>
    <t>Other Taxes Accrued - FICA</t>
  </si>
  <si>
    <t>Other Taxes Accrued - FICA - Incentive Comp</t>
  </si>
  <si>
    <t>Other Taxes Accrued - Federal Unemployment</t>
  </si>
  <si>
    <t>Other Taxes Accrued - Oregon Unemployment</t>
  </si>
  <si>
    <t>Other Taxes Accrued - Oregon Workers Comp</t>
  </si>
  <si>
    <t>Other Taxes Accrued - Oregon Workers Comp Benefit Assist</t>
  </si>
  <si>
    <t>Other Taxes Accrued - Washington Unemployment</t>
  </si>
  <si>
    <t>Other Taxes Accrued - Washington Workers Comp</t>
  </si>
  <si>
    <t>Other Taxes Accrued - Washington Use Tax</t>
  </si>
  <si>
    <t>Interest Accrued - 7.48% MTN due 9/15/2027</t>
  </si>
  <si>
    <t>Interest Accrued - 7.10% MTN due 3/16/2029</t>
  </si>
  <si>
    <t>Interest Accrued - Insured Qtrly 5.25% Notes</t>
  </si>
  <si>
    <t>Interest Accrued - 5.21% MTN due 9/1/2020</t>
  </si>
  <si>
    <t>Interest Accrued - 5.79% MTN due 3/8/2037</t>
  </si>
  <si>
    <t>Interest Accrued - 4.11% Sr Nt due 8/23/2025</t>
  </si>
  <si>
    <t>Interest Accrued - 4.36% Sr Nt due 8/23/2028</t>
  </si>
  <si>
    <t>Interest Accrued - 4.09% Sr Nt due 11/24/2044</t>
  </si>
  <si>
    <t>Interest Accrued - 4.24% Sr Nt due 11/24/2054</t>
  </si>
  <si>
    <t>Interest Accrued - 4.09% Sr Nt due 1/15/2045</t>
  </si>
  <si>
    <t>Interest Accrued - 4.24% Sr Nt due 1/15/2055</t>
  </si>
  <si>
    <t>Other Current Liabilities - Misc. Accruals</t>
  </si>
  <si>
    <t>Other Current Liabilities - Accrued Accounting, Audit &amp; Tax</t>
  </si>
  <si>
    <t>Other Current Liabilities - SERP Current Liability</t>
  </si>
  <si>
    <t>Misc Current Liab - Wages Payable</t>
  </si>
  <si>
    <t>Misc Current Liab - Variable Pay Incentive Comp.</t>
  </si>
  <si>
    <t>Misc Current Liab - 401K - Employer Match</t>
  </si>
  <si>
    <t>Misc Current Liab - Accrued 401K Defined Con</t>
  </si>
  <si>
    <t>Misc Current Liab - Accrued 401K Profit Plan</t>
  </si>
  <si>
    <t>Misc Current Liab - Winter Help Program</t>
  </si>
  <si>
    <t>Accrued Provision - Tax Reform</t>
  </si>
  <si>
    <t>Other Taxes Accrued - City Franchise Tax</t>
  </si>
  <si>
    <t>Misc Current Liab - Energy Trust of Oregon</t>
  </si>
  <si>
    <t>Misc Current Liab - Weatherization</t>
  </si>
  <si>
    <t>Misc Current Liab - Low Income Bill Assist</t>
  </si>
  <si>
    <t>Misc Current Liab - Conservation Achievement Tariff</t>
  </si>
  <si>
    <t>Other Deferred Credits - Commodity Deferral</t>
  </si>
  <si>
    <t>Other Deferred Credits - Demand Deferral</t>
  </si>
  <si>
    <t>Other Deferred Credits - Consolidated Gas Cost Tech Adjustment</t>
  </si>
  <si>
    <t>Other Deferred Credits - Gas Cost Unbilled Ammortization</t>
  </si>
  <si>
    <t>Other Taxes Accrued - Washington Sales Tax</t>
  </si>
  <si>
    <t>Other Taxes Accrued - Property Tax</t>
  </si>
  <si>
    <t>Other Taxes Accrued - City Tax</t>
  </si>
  <si>
    <t>Other Taxes Accrued - Yakama Indian Nation Tax</t>
  </si>
  <si>
    <t>Other Taxes Accrued - Swinomish Tribal Tax</t>
  </si>
  <si>
    <t>Other Taxes Accrued - Gross Revenue Fee</t>
  </si>
  <si>
    <t>Other Taxes Accrued - Excise Tax</t>
  </si>
  <si>
    <t>Other Deferred Credits - Gas Costs</t>
  </si>
  <si>
    <t>Pension and Benefits - Deferred Compensation</t>
  </si>
  <si>
    <t>Pension and Benefits - SISP Defined Contribution Plan</t>
  </si>
  <si>
    <t>Pension and Benefits - MDUR SISP FAS158</t>
  </si>
  <si>
    <t>ARO Liability - Noncurrent</t>
  </si>
  <si>
    <t>Customer Advances for Construction - Balance</t>
  </si>
  <si>
    <t>Customer Advances for Construction - Addition</t>
  </si>
  <si>
    <t>Customer Advances for Construction - Refund</t>
  </si>
  <si>
    <t xml:space="preserve">Customer Advances for Construction - DCC/CCC Refundable </t>
  </si>
  <si>
    <t>Customer Advances for Construction - Forfeitures</t>
  </si>
  <si>
    <t>Other Deferred Credits - Customer Unclaimed Credit</t>
  </si>
  <si>
    <t>Pension Contribution</t>
  </si>
  <si>
    <t>Other Deferred Credits - SGL Automotive</t>
  </si>
  <si>
    <t>Other Regulatory Liabilities - Federal impOR rate change</t>
  </si>
  <si>
    <t>Accrued Provision - Injuries &amp; Damages NC (Eugene MGP)</t>
  </si>
  <si>
    <t>Other Regulatory Liabilities - Adjustment Clearing</t>
  </si>
  <si>
    <t>Accrued Provision - Injuries &amp; Damages NC (Bremerton MGP)</t>
  </si>
  <si>
    <t>Accrued Provision - Injuries &amp; Damages NC (Bellingham MGP)</t>
  </si>
  <si>
    <t>Other Regulatory Liabilities - Unbilled Ammortization</t>
  </si>
  <si>
    <t>Other Regulatory Liabilities - Protected-Plus EDIT</t>
  </si>
  <si>
    <t>Other Regulatory Liabilities - Protected-Plus EDIT grossup</t>
  </si>
  <si>
    <t>Other Regulatory Liabilities - Unprotected EDIT</t>
  </si>
  <si>
    <t>Other Regulatory Liabilities - Unprotected EDIT grossup</t>
  </si>
  <si>
    <t>Other Regulatory Liabilities - Temp Federal Income Tax Credit</t>
  </si>
  <si>
    <t>Other Regulatory Liabilities - Temp Federal Income Tax Credit grossup</t>
  </si>
  <si>
    <t>Other Regulatory Liabilities - Difference Temp Federal Income Tax Credit</t>
  </si>
  <si>
    <t>Accum DIT - Federal FAS109 grossup</t>
  </si>
  <si>
    <t>Accum DIT - Federal FAS109 adjustment</t>
  </si>
  <si>
    <t>Accum DIT - Federal Utility Plant Deferred, APB11. RB</t>
  </si>
  <si>
    <t>Accum DIT - Federal Oregon Rate Change Def</t>
  </si>
  <si>
    <t>Accum DIT - Federal Unamortized Loss on Reaquired Debt, RB</t>
  </si>
  <si>
    <t>Accum DIT - Federal Def Tax Liability, NonReg</t>
  </si>
  <si>
    <t>Accum DIT - Federal Def Tax Liability, NC, Reg</t>
  </si>
  <si>
    <t>Accum DIT - State FAS109 grossup</t>
  </si>
  <si>
    <t>Accum DIT - State FAS109 adjustment</t>
  </si>
  <si>
    <t>Accum DIT - State Utility Plant Deferred, APB11. RB</t>
  </si>
  <si>
    <t>Accum DIT - State Oregon Rate Change Def</t>
  </si>
  <si>
    <t>Accum DIT - Federal DIT-Tax Reform Plant</t>
  </si>
  <si>
    <t>Accum DIT - State Unamortized Loss on Reaquired Debt, RB</t>
  </si>
  <si>
    <t>Accum DIT - State Def Tax Liability, NonReg</t>
  </si>
  <si>
    <t>Accum DIT - State Def Tax Liability, NC, Reg</t>
  </si>
  <si>
    <t>Other Gas Revenues - Miscelllaneous</t>
  </si>
  <si>
    <t>Gas Billed Revenue - Residential</t>
  </si>
  <si>
    <t>Gas Billed Revenue - Residential CAP</t>
  </si>
  <si>
    <t>Gas Billed Revenue - Industrial</t>
  </si>
  <si>
    <t>Gas Billed Revenue - Industrial Deficiency Billing</t>
  </si>
  <si>
    <t>Gas Billed Revenue - Commercial</t>
  </si>
  <si>
    <t>Gas Billed Revenue - Commercial CAP</t>
  </si>
  <si>
    <t>Gas Billed Revenue - Commercial Deficiency Billing</t>
  </si>
  <si>
    <t>Gas Billed Revenue - Interruptible Industrial</t>
  </si>
  <si>
    <t>Unbilled Gas Revenue - Residential</t>
  </si>
  <si>
    <t>Unbilled Gas Revenue - Commercial</t>
  </si>
  <si>
    <t>Unbilled Gas Revenue - Interruptible Industrial</t>
  </si>
  <si>
    <t>Misc Gas Service Revenue - Miscellaneous</t>
  </si>
  <si>
    <t>Misc Gas Service Revenue - Service Line Modifications</t>
  </si>
  <si>
    <t>Gas Transportation Revenues - Large Volume Industrial</t>
  </si>
  <si>
    <t>Gas Transportation Revenues - Electric Generation Industrial</t>
  </si>
  <si>
    <t>Unbilled Gas Transport Revenues - Large Volume Industrial</t>
  </si>
  <si>
    <t>Unbilled Gas Transport Revenues - Electric Generation Industrial</t>
  </si>
  <si>
    <t>Other Gas Revenues - 3rd Party Damage</t>
  </si>
  <si>
    <t>Other Gas Revenues - Miscelllaneous Material Sales</t>
  </si>
  <si>
    <t>Other Gas Revenues - Service Line Modifications</t>
  </si>
  <si>
    <t>Tax Reform</t>
  </si>
  <si>
    <t>Gas Billed Revenue - Residential Decoupling</t>
  </si>
  <si>
    <t>Gas Billed Revenue - Residential Conservation</t>
  </si>
  <si>
    <t>Gas Billed Revenue - Industrial Decoupling</t>
  </si>
  <si>
    <t>Gas Billed Revenue - Industrial Conservation</t>
  </si>
  <si>
    <t>Gas Billed Revenue - Commercial Decoupling</t>
  </si>
  <si>
    <t>Gas Billed Revenue - Commercial Conservation</t>
  </si>
  <si>
    <t>Gas Billed Revenue - Interruptible Commercial</t>
  </si>
  <si>
    <t>Gas Billed Revenue - Interruptible Commercial Decoupling</t>
  </si>
  <si>
    <t>Gas Billed Revenue - Interruptible Commercial Conservation</t>
  </si>
  <si>
    <t>Gas Billed Revenue - Interruptible Commercial Deficiency Billing</t>
  </si>
  <si>
    <t>Gas Billed Revenue - Interruptible Industrial Decoupling</t>
  </si>
  <si>
    <t>Gas Billed Revenue - Interruptible Industrial Conservation</t>
  </si>
  <si>
    <t>Unbilled Gas Revenue - Interruptible Commercial</t>
  </si>
  <si>
    <t>Misc Gas Service Revenue - 3rd Party Damages</t>
  </si>
  <si>
    <t>Misc Gas Service Revenue - Miscellaneous Material Sales</t>
  </si>
  <si>
    <t>Misc Gas Service Revenue - Service Line Modification</t>
  </si>
  <si>
    <t>Tax Reform - Noncore</t>
  </si>
  <si>
    <t>Interest and Dividend Income - Short Term Investments</t>
  </si>
  <si>
    <t>Allow Other Funds Used During Construction</t>
  </si>
  <si>
    <t>Cash Discounts</t>
  </si>
  <si>
    <t>Interest and Dividend Income - CIAC Tax grossup</t>
  </si>
  <si>
    <t>Interest and Dividend Income - PGA related</t>
  </si>
  <si>
    <t>Funding Project #</t>
  </si>
  <si>
    <t>EOP</t>
  </si>
  <si>
    <t xml:space="preserve"> Proposed Plant Additions</t>
  </si>
  <si>
    <t xml:space="preserve">Function            </t>
  </si>
  <si>
    <t xml:space="preserve">Funding Project - Description      </t>
  </si>
  <si>
    <t xml:space="preserve">Account No. </t>
  </si>
  <si>
    <t xml:space="preserve">WA                     </t>
  </si>
  <si>
    <t>(A)</t>
  </si>
  <si>
    <t>(B)</t>
  </si>
  <si>
    <t>(C)</t>
  </si>
  <si>
    <t>(D)</t>
  </si>
  <si>
    <t>( E )</t>
  </si>
  <si>
    <t>(F)=(D)*( E )</t>
  </si>
  <si>
    <t>(G)</t>
  </si>
  <si>
    <t>(H)</t>
  </si>
  <si>
    <t>(I)</t>
  </si>
  <si>
    <t>Exhibit No. __ (MCP-6)</t>
  </si>
  <si>
    <t>Witness: Maryalice C. Peters</t>
  </si>
  <si>
    <t>Exhibit No. __ (MCP-4)</t>
  </si>
  <si>
    <t>Difference</t>
  </si>
  <si>
    <t>Annulize</t>
  </si>
  <si>
    <t>Total CRM Proposed Rev</t>
  </si>
  <si>
    <t>Less booked CRM</t>
  </si>
  <si>
    <t>Total CRM Adjustment</t>
  </si>
  <si>
    <t>Annualize CRM Adjustment</t>
  </si>
  <si>
    <t>End of Period Revenue Adjustment</t>
  </si>
  <si>
    <t xml:space="preserve">Restate     </t>
  </si>
  <si>
    <t xml:space="preserve">P </t>
  </si>
  <si>
    <t>(EOP) Adj.</t>
  </si>
  <si>
    <t>End of Period</t>
  </si>
  <si>
    <t>Restate Revenues Adjustment</t>
  </si>
  <si>
    <t>Restate &amp; Pro Forma Wage Adjustment</t>
  </si>
  <si>
    <t>Working Capital (AMA)</t>
  </si>
  <si>
    <t>End of Period Depreciation Expense Adjustment</t>
  </si>
  <si>
    <t xml:space="preserve">Restate Revenues Adjustment </t>
  </si>
  <si>
    <t>Less Total Booked Margin</t>
  </si>
  <si>
    <t>Adjusted current margin revenues using weather normalized volumes at current margin rates</t>
  </si>
  <si>
    <t>Line #:</t>
  </si>
  <si>
    <t>Twelve Months Ended December 31, 2019</t>
  </si>
  <si>
    <t>UG 20_____</t>
  </si>
  <si>
    <t>12 Months Ended December 31, 2019</t>
  </si>
  <si>
    <t>Ended 12/31/2019</t>
  </si>
  <si>
    <t>2019</t>
  </si>
  <si>
    <t>For the Twelve Months Ended December 31, 2019</t>
  </si>
  <si>
    <t>Gas Plant In Service-Excluding ARO</t>
  </si>
  <si>
    <t>Gas Plant In Service-ARO Only</t>
  </si>
  <si>
    <t>@ACCTCatCode02:107</t>
  </si>
  <si>
    <t>Accum Prov Deprec - Gas Util Excluding ARO</t>
  </si>
  <si>
    <t>Accum Prov Deprec - Gas Util ARO Only</t>
  </si>
  <si>
    <t>1084</t>
  </si>
  <si>
    <t>2101</t>
  </si>
  <si>
    <t>2110</t>
  </si>
  <si>
    <t>Money Center Acctount - US Bank</t>
  </si>
  <si>
    <t>Temporary Cash Investments - Money Center Account - US Bank</t>
  </si>
  <si>
    <t>2103</t>
  </si>
  <si>
    <t>Temporary Cash Investments - Money Sweep (REPO) Account</t>
  </si>
  <si>
    <t>Other Accounts Receivable - Federal Income Tax</t>
  </si>
  <si>
    <t>Other Accounts Receivable - State Income Tax</t>
  </si>
  <si>
    <t>Other Accounts Receivable - Prepaid FIN48 - Current</t>
  </si>
  <si>
    <t>47G</t>
  </si>
  <si>
    <t>Receivable Federal Income Tax</t>
  </si>
  <si>
    <t>Accts Receivable - FutureSource</t>
  </si>
  <si>
    <t>Plant Materials &amp; Op Supplies - Truck Stock WA</t>
  </si>
  <si>
    <t>Undistributed Stores Exp - Non-Inventory Purchases Clearing</t>
  </si>
  <si>
    <t xml:space="preserve">Prepayments - Insurance  </t>
  </si>
  <si>
    <t>Prepaid Federal Income Tax</t>
  </si>
  <si>
    <t>100OR</t>
  </si>
  <si>
    <t>(Over) Under Recovery of Purchased Gas Costs</t>
  </si>
  <si>
    <t>100WA</t>
  </si>
  <si>
    <t>101WA</t>
  </si>
  <si>
    <t>Unamort Debt Exp - 4.09% - 2044</t>
  </si>
  <si>
    <t>Unamort Debt Exp - 4.24% - 2054</t>
  </si>
  <si>
    <t>Unamort Debt Exp - 4.09% - 2045</t>
  </si>
  <si>
    <t>Unamort Debt Exp - 4.24% - 2055</t>
  </si>
  <si>
    <t>27</t>
  </si>
  <si>
    <t>Unamort Debt Exp - 3.62% - 2029</t>
  </si>
  <si>
    <t>28</t>
  </si>
  <si>
    <t>Unamort Debt Exp - 3.82% - 2034</t>
  </si>
  <si>
    <t>29</t>
  </si>
  <si>
    <t>Unamort Debt Exp - 4.26% - 2049</t>
  </si>
  <si>
    <t>Other Regulatory Asset - Reclass</t>
  </si>
  <si>
    <t>2048</t>
  </si>
  <si>
    <t>Other Regulatory Asset - FAS 158 - MDUR Post-Retirement</t>
  </si>
  <si>
    <t>2049</t>
  </si>
  <si>
    <t>Other Regulatory Asset - FAS 158 Post-Retirment</t>
  </si>
  <si>
    <t>Misc Def Dr - Adjustment Clearing 1840</t>
  </si>
  <si>
    <t>Misc Def Dr - Over-Refunded Temp FIT</t>
  </si>
  <si>
    <t>[01999,20401999]</t>
  </si>
  <si>
    <t>Misc Def Dr - Unbilled Decoupling Amort</t>
  </si>
  <si>
    <t>Misc Def Dr - Decoupling Deferral</t>
  </si>
  <si>
    <t>1868</t>
  </si>
  <si>
    <t>Gas-Operating Right of Use Assets</t>
  </si>
  <si>
    <t>299</t>
  </si>
  <si>
    <t>Taxes Other Than Income - Delaware - MDUR</t>
  </si>
  <si>
    <t>LOC - Commitment Fee</t>
  </si>
  <si>
    <t>011</t>
  </si>
  <si>
    <t>Accrued Tax Interest</t>
  </si>
  <si>
    <t>1111</t>
  </si>
  <si>
    <t>Other Interest Expense - Short-term debt</t>
  </si>
  <si>
    <t>Other Interest Expense - Deferred Compensation</t>
  </si>
  <si>
    <t>3.62% Snr Nt Due 06/13/2029</t>
  </si>
  <si>
    <t>3.82% Snr Nt Due 06/13/2034</t>
  </si>
  <si>
    <t>4.26% Snr Nt Due 06/13/2049</t>
  </si>
  <si>
    <t>2241</t>
  </si>
  <si>
    <t>5.21% MTN Due 9/1/2020 - Due within 1 Year</t>
  </si>
  <si>
    <t>2270</t>
  </si>
  <si>
    <t>40</t>
  </si>
  <si>
    <t>Operating Lease Liability - Noncurrent</t>
  </si>
  <si>
    <t>41</t>
  </si>
  <si>
    <t>Financing Lease Liability - Noncurrent</t>
  </si>
  <si>
    <t>323</t>
  </si>
  <si>
    <t>Accts Pay - Child Support</t>
  </si>
  <si>
    <t>Accts Pay - WBI</t>
  </si>
  <si>
    <t>Accrued Provision - Injuries &amp; Damages Current</t>
  </si>
  <si>
    <t>WA2</t>
  </si>
  <si>
    <t>Interest Accrued - 3.62% Sr Nt due 6/13/2029</t>
  </si>
  <si>
    <t>Interest Accrued - 3.82% Sr Nt due 6/13/2034</t>
  </si>
  <si>
    <t>Interest Accrued - 4.26% Sr Nt due 6/13/2049</t>
  </si>
  <si>
    <t>2370</t>
  </si>
  <si>
    <t>Interest Accrued - Short-term debt</t>
  </si>
  <si>
    <t>Other Taxes Accrued - Dept. of Energy Fee</t>
  </si>
  <si>
    <t>01288</t>
  </si>
  <si>
    <t>Other Deferred Credits - Temporary Gas Cst 3-year Ammortization</t>
  </si>
  <si>
    <t>01289</t>
  </si>
  <si>
    <t>Adjustment Clearing</t>
  </si>
  <si>
    <t>2430</t>
  </si>
  <si>
    <t>Operating Lease Liability - Current</t>
  </si>
  <si>
    <t>Accrued Provision - Injuries &amp; Damages Non Current</t>
  </si>
  <si>
    <t>FAS 158 - MDUR Pension</t>
  </si>
  <si>
    <t>0109</t>
  </si>
  <si>
    <t>FAS 158 - MDUR Post-Retirement</t>
  </si>
  <si>
    <t>02011</t>
  </si>
  <si>
    <t>Core Gas Supply Hedging</t>
  </si>
  <si>
    <t>20488</t>
  </si>
  <si>
    <t>20489</t>
  </si>
  <si>
    <t>Other Regulatory Liabilities - OR Temp Federal Income Tax Credit</t>
  </si>
  <si>
    <t>02010</t>
  </si>
  <si>
    <t>001</t>
  </si>
  <si>
    <t>Interdepartmental Rents - MDU</t>
  </si>
  <si>
    <t>048</t>
  </si>
  <si>
    <t>Interdepartmental Rents - IGC</t>
  </si>
  <si>
    <t>Unbilled Gas Revenue - Residential Conservation</t>
  </si>
  <si>
    <t>Unbilled Gas Revenue - Commercial Conservation</t>
  </si>
  <si>
    <t>4962</t>
  </si>
  <si>
    <t>January 2019</t>
  </si>
  <si>
    <t>February 2019</t>
  </si>
  <si>
    <t>March 2019</t>
  </si>
  <si>
    <t>April 2019</t>
  </si>
  <si>
    <t>May 2019</t>
  </si>
  <si>
    <t>June 2019</t>
  </si>
  <si>
    <t>July 2019</t>
  </si>
  <si>
    <t>August 2019</t>
  </si>
  <si>
    <t>September 2019</t>
  </si>
  <si>
    <t>October 2019</t>
  </si>
  <si>
    <t>November 2019</t>
  </si>
  <si>
    <t>December 2019</t>
  </si>
  <si>
    <t>CY 2018 Allocation Factors to be used in CY 2019</t>
  </si>
  <si>
    <t xml:space="preserve">2020 Adjustment </t>
  </si>
  <si>
    <t>2019 Actual Deferral</t>
  </si>
  <si>
    <t xml:space="preserve">2019 Actual Amortization </t>
  </si>
  <si>
    <t xml:space="preserve">2018 Balance </t>
  </si>
  <si>
    <t>12 Months ended December 31, 2019</t>
  </si>
  <si>
    <t>2020 Plant Additions</t>
  </si>
  <si>
    <t>2020 PLANT ADDITIONS</t>
  </si>
  <si>
    <t>UG 20 _____</t>
  </si>
  <si>
    <t>FP-101480 UG Implement Maximo Ph 1 CNG Direct</t>
  </si>
  <si>
    <t>FP-302596 WALLULA GATE; GTN</t>
  </si>
  <si>
    <t>FP-302621 LV CUSTOMER WEB SITE - DIRECT</t>
  </si>
  <si>
    <t>FP-306998 SOUTH WALLA GATE-WILLIAMS COSTS</t>
  </si>
  <si>
    <t>FP-316019 UG GIS ESRI UPGRADE - CNG DIRECT</t>
  </si>
  <si>
    <t>FP-316047 UG GIS LANDBASE - CNG DIRECT COST</t>
  </si>
  <si>
    <t>FP-316182 UG 2018 CC&amp;B UPGRADE - CNG DIRECT</t>
  </si>
  <si>
    <t>FP-316269 UG WEBLOGIC FOR JDE - CNG DIRE</t>
  </si>
  <si>
    <t>FP-316289 PowerPlan Lease CNG</t>
  </si>
  <si>
    <t>FP-316361 UG 2018 SCADA ENHANCE-CNG DIRECT</t>
  </si>
  <si>
    <t>FP-316451 UG Purch RabMQ Software CNG Direct</t>
  </si>
  <si>
    <t>FP-317322 ARLINGTON GATE UPGR; WILLIAMS COSTS</t>
  </si>
  <si>
    <t>FP-317617 UG-Migrate Aligne CNG Direct</t>
  </si>
  <si>
    <t>FP-318808 GR-OTHELLO-GT-OTHELLO GATE NWP</t>
  </si>
  <si>
    <t>FP-318822 Impl myWorld Leak Survey at CNGC</t>
  </si>
  <si>
    <t>FP-318987 GR-OTHELLO-NWP LAT FA COSTS</t>
  </si>
  <si>
    <t>FP-312009 - RP;R-130 (R-25) BURBANK</t>
  </si>
  <si>
    <t>FP-316034 - MAOP; 8" HP; OTHE; 11,500' W LEE RD</t>
  </si>
  <si>
    <t>FP-316046 - MAOP; 8" HP; YAKI; 4,500' YAKIMA RI</t>
  </si>
  <si>
    <t>FP-317060 - FRL; 10" HP; BELL; 2900' STATEBRIDG</t>
  </si>
  <si>
    <t>FP-316823 - RP; O-12(O-5) DEMI; DIRINJECT</t>
  </si>
  <si>
    <t>FP-316822 - RP; O-4(O-4) LAWR; DIRINJECT</t>
  </si>
  <si>
    <t>FP-316587 - RF; WALLULA GATE; R-127 &amp; O-14</t>
  </si>
  <si>
    <t>FP-316586 - RP; R-187 ARLINGTON GATE</t>
  </si>
  <si>
    <t>FP-101288 Purchase calibration field kit</t>
  </si>
  <si>
    <t>FP-101413 REPLACE WAREHOUSE FENCE WALLA WALLA</t>
  </si>
  <si>
    <t>FP-200043 RPL 8" TRANSMISSION BELFAIR</t>
  </si>
  <si>
    <t>FP-309960 Anacortes Upgrade</t>
  </si>
  <si>
    <t>FP-316146 RP; R-178 (R-137) FERNDALE</t>
  </si>
  <si>
    <t>FP-316589 RF; S WALLA GATE; R-4 &amp; O-2</t>
  </si>
  <si>
    <t>FP-317519 RP; 2" ST; SHELTON; 7,034' PH 3 SEC</t>
  </si>
  <si>
    <t>FP-317528 RP; 3/4" SL; SHELTON; PH 3 SEC 1 SE</t>
  </si>
  <si>
    <t>FP-317535 GR; R-128 BURB;TIE-IN TO ATTAL</t>
  </si>
  <si>
    <t>FP-317609 GR; R-80 ABER; BASICH BLV</t>
  </si>
  <si>
    <t>FP-318325 CRM, RP; 3/4" SL; ANACORT; PH 7 S 2</t>
  </si>
  <si>
    <t>FP-319086 GR; 4"; PE; WRIC; 2946; PARA</t>
  </si>
  <si>
    <t>FP-319193 MN,ILLAHEE PRESERVE,BREMERTON,WA</t>
  </si>
  <si>
    <t>FP-319209 GR; 4" HP; KALA; 2,500' SPENCER CRE</t>
  </si>
  <si>
    <t>FP-319238 MN,13559' SOUND VIEW,BREMERTON,WA</t>
  </si>
  <si>
    <t>FP-319247 RL;2"ST;YAKI;2,000'</t>
  </si>
  <si>
    <t>FP-319256 GR; 2" PE; PROS; 2,500'</t>
  </si>
  <si>
    <t>FP-319257 GR;4" SL; PROS; 1500 PATERSON RD</t>
  </si>
  <si>
    <t>Ties to account 2520 as shown in the tab titled "Working Capital Work Paper" cell S547-S551</t>
  </si>
  <si>
    <t>UG 20____</t>
  </si>
  <si>
    <t>2019 Property Tax Rate [1]</t>
  </si>
  <si>
    <t>2019 Assessment (Final)</t>
  </si>
  <si>
    <t>Actual taxes to be paid in 2019</t>
  </si>
  <si>
    <t xml:space="preserve">2ND HALF OF SPONSORSHIP       </t>
  </si>
  <si>
    <t xml:space="preserve">THUNDER MOUNTAIN PRO RODEO    </t>
  </si>
  <si>
    <t>RODEO BUCKING CHUTE SPONSORSHI</t>
  </si>
  <si>
    <t xml:space="preserve">SPONSORSHIP                   </t>
  </si>
  <si>
    <t xml:space="preserve">C CANNON 2-19                 </t>
  </si>
  <si>
    <t xml:space="preserve">Grandview Herald              </t>
  </si>
  <si>
    <t xml:space="preserve">Pendleton Babe Ruth           </t>
  </si>
  <si>
    <t xml:space="preserve">2019 8X8 SIGN SPONSOR         </t>
  </si>
  <si>
    <t xml:space="preserve">CAPECO                        </t>
  </si>
  <si>
    <t xml:space="preserve">BRONZE SPONSOR-DANCING STARS  </t>
  </si>
  <si>
    <t xml:space="preserve">Acct 300311214                </t>
  </si>
  <si>
    <t xml:space="preserve">FESTIVAL OF TREES             </t>
  </si>
  <si>
    <t xml:space="preserve">SPONSOR                       </t>
  </si>
  <si>
    <t xml:space="preserve">RCL 4768900 TO 4768700 CONSER </t>
  </si>
  <si>
    <t xml:space="preserve">PRODUCTION &amp; SPONSORSHIP      </t>
  </si>
  <si>
    <t>WA Direct</t>
  </si>
  <si>
    <t xml:space="preserve">UMATILLA CO FAIR PROMO 2019   </t>
  </si>
  <si>
    <t xml:space="preserve">'19 Pendleton Round Up Promo  </t>
  </si>
  <si>
    <t xml:space="preserve">EAST OREGONIAN                </t>
  </si>
  <si>
    <t xml:space="preserve">WELCOME TO PENDLETON 2019     </t>
  </si>
  <si>
    <t xml:space="preserve">NATL 4H WEEK ACCT 20856       </t>
  </si>
  <si>
    <t xml:space="preserve">ACCT 20856                    </t>
  </si>
  <si>
    <t xml:space="preserve">M ROGERS 6-19                 </t>
  </si>
  <si>
    <t xml:space="preserve">Welcome Baskets               </t>
  </si>
  <si>
    <t xml:space="preserve">July '19 Marketing            </t>
  </si>
  <si>
    <t xml:space="preserve">arena sign                    </t>
  </si>
  <si>
    <t xml:space="preserve">SHELTON MASON COUNTY          </t>
  </si>
  <si>
    <t xml:space="preserve">SPONSORED BASKET              </t>
  </si>
  <si>
    <t xml:space="preserve">2019 PROGRAM ADVERTISING      </t>
  </si>
  <si>
    <t xml:space="preserve">ALPHA MEDIA GRAYS HARBOR      </t>
  </si>
  <si>
    <t xml:space="preserve">SPONSOR HOLE                  </t>
  </si>
  <si>
    <t xml:space="preserve">Oysterfest 2019               </t>
  </si>
  <si>
    <t xml:space="preserve">program ad                    </t>
  </si>
  <si>
    <t xml:space="preserve">ARENA SIGN SPONSOR            </t>
  </si>
  <si>
    <t xml:space="preserve">AD DEPARTMENT, INC            </t>
  </si>
  <si>
    <t xml:space="preserve">Grandview Herald July 4 ad    </t>
  </si>
  <si>
    <t xml:space="preserve">CONFIRMATION NO 50225         </t>
  </si>
  <si>
    <t xml:space="preserve">FULL PAGE AD                  </t>
  </si>
  <si>
    <t xml:space="preserve">ACCT 29324 RENEWAL            </t>
  </si>
  <si>
    <t xml:space="preserve">ID: 29324                     </t>
  </si>
  <si>
    <t>gold sponsorship</t>
  </si>
  <si>
    <t>BISMARCK MANDAN TENNIS ASSOCIA</t>
  </si>
  <si>
    <t>SPONSORSHIP</t>
  </si>
  <si>
    <t>NORTH DAKOTA PROFESSIONAL COMM</t>
  </si>
  <si>
    <t>MISSOURI RIVER CLAY TARGET LEA</t>
  </si>
  <si>
    <t>C FONG 2-19</t>
  </si>
  <si>
    <t>RELENTLESS 5K</t>
  </si>
  <si>
    <t>MANDAN PROGRESS ORGANIZATION</t>
  </si>
  <si>
    <t>BISMARCK LARKS BASEBALL TEAM</t>
  </si>
  <si>
    <t>C FONG 6-19</t>
  </si>
  <si>
    <t>CHS FOOTBALL BOOSTER CLUB</t>
  </si>
  <si>
    <t>IOGCC-Interstate Oil &amp; Gas Com</t>
  </si>
  <si>
    <t>2019 RATE CARD &amp; CONTRACT</t>
  </si>
  <si>
    <t>BISMARCK-MANDAN CHAMBER OF COM</t>
  </si>
  <si>
    <t>Acct 1051-Babe Ruth sponsor</t>
  </si>
  <si>
    <t>BISMARCK PARKS &amp; RECREATION DI</t>
  </si>
  <si>
    <t>adv 145226</t>
  </si>
  <si>
    <t>PRAIRIE BUSINESS</t>
  </si>
  <si>
    <t>Bis-Man Chamber Campaign</t>
  </si>
  <si>
    <t>C FONG 1-19</t>
  </si>
  <si>
    <t>magnet clip</t>
  </si>
  <si>
    <t>Coaches Choice Inc</t>
  </si>
  <si>
    <t>patriot publications</t>
  </si>
  <si>
    <t>CENTURY HIGH SCHOOL</t>
  </si>
  <si>
    <t>acct 10460043089</t>
  </si>
  <si>
    <t>BISMARCK TRIBUNE - advertising</t>
  </si>
  <si>
    <t>backpacks</t>
  </si>
  <si>
    <t>convention welcome bags</t>
  </si>
  <si>
    <t>NORTH DAKOTA NEWSPAPER ASSOC</t>
  </si>
  <si>
    <t>Governor Cup Golf Birdie Level</t>
  </si>
  <si>
    <t>MONTANA CHAMBER FOUNDATION</t>
  </si>
  <si>
    <t>Issue 04 - 1/2 pg Ad</t>
  </si>
  <si>
    <t>Donation</t>
  </si>
  <si>
    <t>MANDAN GIRLS SOCCER BOOSTER CL</t>
  </si>
  <si>
    <t>Sponsor Eight Teams</t>
  </si>
  <si>
    <t>CITYSCAN AD 2019</t>
  </si>
  <si>
    <t>NORTH DAKOTA LEAGUE OF CITIES</t>
  </si>
  <si>
    <t>DEATH BY CHOC SPONSORHIP</t>
  </si>
  <si>
    <t>GIRL SCOUTS DAKOTA HORIZONS</t>
  </si>
  <si>
    <t>Acct 104-60043089</t>
  </si>
  <si>
    <t>DINNER SPONSOR</t>
  </si>
  <si>
    <t>BISMARCK STATE COLLEGE</t>
  </si>
  <si>
    <t>ACCT 00RXC9</t>
  </si>
  <si>
    <t>INK PUBLISHING CORPORATION</t>
  </si>
  <si>
    <t>C/N 599093</t>
  </si>
  <si>
    <t>VERNON COMPANY</t>
  </si>
  <si>
    <t>Larks STEM night event</t>
  </si>
  <si>
    <t>A BLESSUM 5-19</t>
  </si>
  <si>
    <t>MARCH PAT PUB</t>
  </si>
  <si>
    <t>silver sponsor PBR Bismarck</t>
  </si>
  <si>
    <t>Chad Berger Bucking Bulls</t>
  </si>
  <si>
    <t>silver sponsor-econ dev week</t>
  </si>
  <si>
    <t>WILLISTON ECONOMIC DEVELOPMENT</t>
  </si>
  <si>
    <t>2019 womens business summit</t>
  </si>
  <si>
    <t>CENTER FOR TECHNOLOGY &amp; BUSINE</t>
  </si>
  <si>
    <t>ads</t>
  </si>
  <si>
    <t>advertising</t>
  </si>
  <si>
    <t>IT'S HER BRAND MAGAZINE</t>
  </si>
  <si>
    <t>C FONG 9-19</t>
  </si>
  <si>
    <t>BIS MARATHON COR G/L</t>
  </si>
  <si>
    <t>DART ROCKET</t>
  </si>
  <si>
    <t>FLEXIBLE PENCILS</t>
  </si>
  <si>
    <t>GRAVITATE POLOS</t>
  </si>
  <si>
    <t>NITRO BASKETBALL DONATION</t>
  </si>
  <si>
    <t>RICK SCHOCK - BISMARCK NITRO</t>
  </si>
  <si>
    <t>104-60043089 due on acct</t>
  </si>
  <si>
    <t>Leadership Conf. Sponsorship</t>
  </si>
  <si>
    <t>SD BROADCASTERS ASSOCIATION</t>
  </si>
  <si>
    <t>MILITARY EMERGENCY RELIEF FUND</t>
  </si>
  <si>
    <t>KUPPER-CHEVROLET</t>
  </si>
  <si>
    <t>SILVER SPONSORSHIP</t>
  </si>
  <si>
    <t>DAKOTA WEST ARTS COUNCIL INVOI</t>
  </si>
  <si>
    <t>United Way Events</t>
  </si>
  <si>
    <t>N FERDERER 7-19</t>
  </si>
  <si>
    <t>V-102676</t>
  </si>
  <si>
    <t>WO V-102548</t>
  </si>
  <si>
    <t>WO V-102553</t>
  </si>
  <si>
    <t>20 FAST PASSES</t>
  </si>
  <si>
    <t>2019 DUCK RACE</t>
  </si>
  <si>
    <t>BISMARCK FIGURE SKATING CLUB</t>
  </si>
  <si>
    <t>2019-20 yr 1 of 3</t>
  </si>
  <si>
    <t>BOBCAT HOCKEY</t>
  </si>
  <si>
    <t>ad</t>
  </si>
  <si>
    <t>ALERT MAGAZINE</t>
  </si>
  <si>
    <t>Cybercon Sponsor</t>
  </si>
  <si>
    <t>Doc. 3107</t>
  </si>
  <si>
    <t>JULY 2019 ND SALES TAX REFUND</t>
  </si>
  <si>
    <t>Doc. 3108</t>
  </si>
  <si>
    <t>TWO ICE LOGOS</t>
  </si>
  <si>
    <t>Volleyball Team Sponsorship</t>
  </si>
  <si>
    <t>6 ads Star Newspaper</t>
  </si>
  <si>
    <t>Acct 5896-1111800</t>
  </si>
  <si>
    <t>US-YELLOW PAGES</t>
  </si>
  <si>
    <t>CITYSCAN ADVERTISING</t>
  </si>
  <si>
    <t>Cyber summit sponsor</t>
  </si>
  <si>
    <t>GREAT PLAINS INSTITUTE</t>
  </si>
  <si>
    <t>ENTERTAINMENT</t>
  </si>
  <si>
    <t>GEIGER, JIM</t>
  </si>
  <si>
    <t>program ad</t>
  </si>
  <si>
    <t>MANDAN BOYS HOCKEY</t>
  </si>
  <si>
    <t>Savor the Flavor</t>
  </si>
  <si>
    <t>R O''NEILL 9-19</t>
  </si>
  <si>
    <t>Sponsorship, EmPower ND</t>
  </si>
  <si>
    <t>J DEVER 9-19</t>
  </si>
  <si>
    <t>STUDENT COUNCIL DONATION</t>
  </si>
  <si>
    <t>MANDAN HIGH SCHOOL</t>
  </si>
  <si>
    <t>2019 Policy Summit</t>
  </si>
  <si>
    <t>GREATER NORTH DAKOTA CHAMBER O</t>
  </si>
  <si>
    <t>Bismarck Marathon sponsorship</t>
  </si>
  <si>
    <t>A BLESSUM 10-19</t>
  </si>
  <si>
    <t>Chamber Leadership event</t>
  </si>
  <si>
    <t>EDC-TRC Campaign</t>
  </si>
  <si>
    <t>Fall Art show ad</t>
  </si>
  <si>
    <t>BISMARCK ART &amp; GALLERIES ASSOC</t>
  </si>
  <si>
    <t>Mile marker supplies</t>
  </si>
  <si>
    <t>A BLESSUM 9-19</t>
  </si>
  <si>
    <t>MT Newspaper group meeting</t>
  </si>
  <si>
    <t>M HANSON 10-19</t>
  </si>
  <si>
    <t>newspaper ads</t>
  </si>
  <si>
    <t>THE MHS COURIER</t>
  </si>
  <si>
    <t>Runner shirts</t>
  </si>
  <si>
    <t>school paper ads</t>
  </si>
  <si>
    <t>BHS Hi-Herald</t>
  </si>
  <si>
    <t>Volunteer shirts</t>
  </si>
  <si>
    <t>WILLISTON PETROLEUM BANQUET</t>
  </si>
  <si>
    <t>WILLISTON API</t>
  </si>
  <si>
    <t>Workshop supporter</t>
  </si>
  <si>
    <t>WESTERN GOVERNORS ASSOCIATION</t>
  </si>
  <si>
    <t>ADVERTISING SPECIALS</t>
  </si>
  <si>
    <t>CAPITAL TROPHY, INC</t>
  </si>
  <si>
    <t>Community Bowl support</t>
  </si>
  <si>
    <t>BISMARCK MANDAN CHAMBER FOUNDA</t>
  </si>
  <si>
    <t>104-60043089</t>
  </si>
  <si>
    <t>Acct 1593</t>
  </si>
  <si>
    <t>CUST 1593</t>
  </si>
  <si>
    <t>Golf draw pak</t>
  </si>
  <si>
    <t>MEDIEVAL RUSH</t>
  </si>
  <si>
    <t>RAW RECREATION ATHLETIC WELLNE</t>
  </si>
  <si>
    <t>mini cutting board</t>
  </si>
  <si>
    <t>2019 [1]</t>
  </si>
  <si>
    <t xml:space="preserve">2020 Total </t>
  </si>
  <si>
    <t>2021 Wage</t>
  </si>
  <si>
    <t>Jan 1 2019</t>
  </si>
  <si>
    <t>Apr 1 2019</t>
  </si>
  <si>
    <t>28871</t>
  </si>
  <si>
    <t>5110: O&amp;M Straight time allocated to CNG by Business Unit for 2019</t>
  </si>
  <si>
    <t>2019 wage</t>
  </si>
  <si>
    <t>Office Suplies &amp; Expenses</t>
  </si>
  <si>
    <t>Demonstration</t>
  </si>
  <si>
    <t>Pipeline</t>
  </si>
  <si>
    <t>Operations</t>
  </si>
  <si>
    <t>Total Revenue Adjustment</t>
  </si>
  <si>
    <t>4760100 EVP Business Dev./Gas Supply</t>
  </si>
  <si>
    <t>4760300 Dir. Process Imprvmt &amp; Oper. Tech</t>
  </si>
  <si>
    <t>4761800 VP Safety, Proc. Improv. Tech.</t>
  </si>
  <si>
    <t>4762000 Technical Training</t>
  </si>
  <si>
    <t>4762300 Dir. Operations Policies &amp; Proc.</t>
  </si>
  <si>
    <t>4762500 VP Field Operations</t>
  </si>
  <si>
    <t>4763000 Dir. Quality Control</t>
  </si>
  <si>
    <t>4765800 Dir. Operations Services</t>
  </si>
  <si>
    <t>4766000 VP Operations &amp; Eng. Services</t>
  </si>
  <si>
    <t>4766300 Dir. of Construction Services</t>
  </si>
  <si>
    <t>4766400 Mgr. Operations Systems</t>
  </si>
  <si>
    <t>4766500 Dir. Systems Integrity</t>
  </si>
  <si>
    <t>47665WA Dir. Systems Integrity</t>
  </si>
  <si>
    <t>4766600 Safety Mgmt. &amp; Qlty. Assur.</t>
  </si>
  <si>
    <t>4766900 Dir. of Engineering Services</t>
  </si>
  <si>
    <t>4767100 Customer Service Director</t>
  </si>
  <si>
    <t>4767200 Meridian Customer Service</t>
  </si>
  <si>
    <t>4767300 Customer Development Service</t>
  </si>
  <si>
    <t>4767600 Information Tech, Director</t>
  </si>
  <si>
    <t>4767900 Field Automation</t>
  </si>
  <si>
    <t>4769000 Environmental</t>
  </si>
  <si>
    <t>4769200 EVP Reg Cust Srv</t>
  </si>
  <si>
    <t>4769300 Dir. Gas Supply &amp; Control</t>
  </si>
  <si>
    <t>4769600 President &amp; CEO</t>
  </si>
  <si>
    <t>4769800 Dir. Safety &amp; Technical Training</t>
  </si>
  <si>
    <t>Jan-2019 Plant</t>
  </si>
  <si>
    <t>Jan-2019 Reserve</t>
  </si>
  <si>
    <t>Feb-2019 Plant</t>
  </si>
  <si>
    <t>Feb-2019 Reserve</t>
  </si>
  <si>
    <t>Mar-2019 Plant</t>
  </si>
  <si>
    <t>Mar-2019 Reserve</t>
  </si>
  <si>
    <t>Apr-2019 Plant</t>
  </si>
  <si>
    <t>Apr-2019 Reserve</t>
  </si>
  <si>
    <t>May-2019 Plant</t>
  </si>
  <si>
    <t>May-2019 Reserve</t>
  </si>
  <si>
    <t>Jun-2019 Plant</t>
  </si>
  <si>
    <t>Jun-2019 Reserve</t>
  </si>
  <si>
    <t>Jul-2019 Plant</t>
  </si>
  <si>
    <t>Jul-2019 Reserve</t>
  </si>
  <si>
    <t>Aug-2019 Plant</t>
  </si>
  <si>
    <t>Aug-2019 Reserve</t>
  </si>
  <si>
    <t>Sept-2019 Plant</t>
  </si>
  <si>
    <t>Sept-2019 Reserve</t>
  </si>
  <si>
    <t>Oct-2019 Plant</t>
  </si>
  <si>
    <t>Oct-2019 Reserve</t>
  </si>
  <si>
    <t>Nov-2019 Plant</t>
  </si>
  <si>
    <t>Nov-2019 Reserve</t>
  </si>
  <si>
    <t>Dec-2019 Plant</t>
  </si>
  <si>
    <t>Dec-2019 Reserve</t>
  </si>
  <si>
    <t>CNG-303-G-Intang-00100-10 YR-2019</t>
  </si>
  <si>
    <t>CNG-303-G-Intang-00100-12 YR-2019</t>
  </si>
  <si>
    <t>CNG-303-G-Intang-00100-5 YR-2019</t>
  </si>
  <si>
    <t>CNG-303-G-Intang-00100-7 YR-2019</t>
  </si>
  <si>
    <t>CNG-303-G-Intang-00100-8 YR-2019</t>
  </si>
  <si>
    <t>CNG-303-G-Intang-00100-PowerPlan</t>
  </si>
  <si>
    <t>FP-317290 Building remodel for Bellingham Dis</t>
  </si>
  <si>
    <t>FP-317387 MGP site restoration</t>
  </si>
  <si>
    <t>FP-318352 Bremerton District Office Remodel</t>
  </si>
  <si>
    <t>FP-318797 Instl District Strge Fclty Kelso</t>
  </si>
  <si>
    <t>FP-318801 Instl Asphalt in Storage Area Kelso</t>
  </si>
  <si>
    <t>FP-319044 CONST SERV - NEW BLDG ADD - MT VERN</t>
  </si>
  <si>
    <t xml:space="preserve">FP-319052 BUILDING UPGARDES </t>
  </si>
  <si>
    <t>FP-319090 Replace Shop Roof Walla Walla</t>
  </si>
  <si>
    <t>FP-319091 Repl Asphalt Park Lot Walla Walla</t>
  </si>
  <si>
    <t>FP-319092 Replace Roof Old Barn Walla Walla</t>
  </si>
  <si>
    <t>FP-319093 Rplc Fence 324 Rose St Walla Walla</t>
  </si>
  <si>
    <t>FP-319094 Instl Electronic Gate Walla Walla</t>
  </si>
  <si>
    <t>FP-319098 Rplc Ovrhd Shop Door Walla Walla</t>
  </si>
  <si>
    <t>FP-319120 Instl Cement Floor Barn Walla Walla</t>
  </si>
  <si>
    <t>FP-319146  OFFICE REMODEL</t>
  </si>
  <si>
    <t>FP-319284  12" Mueller Shell Cutter and Stoppe</t>
  </si>
  <si>
    <t>FP-319289  PURCHASE FUME EXTRACTOR BREMERTON</t>
  </si>
  <si>
    <t>FP-200663 UG-GIS Enhancements CNGC</t>
  </si>
  <si>
    <t>FP-316284 GIS High Acc Trans Line Surv Enhanc</t>
  </si>
  <si>
    <t>FP-316102 UG-GIS Pipeline Inspection System</t>
  </si>
  <si>
    <t>FP-317101 UG-JDEdwards AS400 to Oracle DB</t>
  </si>
  <si>
    <t>FP-318846 UG-Impl 2Ring Dashboard for CSC-CNG</t>
  </si>
  <si>
    <t>FP-318893 UG-Impl GIS Offline Mobile Maps-CNG</t>
  </si>
  <si>
    <t>FP-306967 District Office Access Control Sys</t>
  </si>
  <si>
    <t>FP-316915 Pur replacement display devices</t>
  </si>
  <si>
    <t>FP-318317 Sensit PMD Trainer</t>
  </si>
  <si>
    <t>FP-318319 Sensit GLT Trainer</t>
  </si>
  <si>
    <t>FP-318706 Repl Cisco VoIP Telephone-CNG</t>
  </si>
  <si>
    <t>FP-318889 New Transfer Prover</t>
  </si>
  <si>
    <t>FP-318904 Transfer Prover Upgrade Bellingham</t>
  </si>
  <si>
    <t>FP-318914 Transfer Prover upgrade Longview</t>
  </si>
  <si>
    <t>FP-318918 Transfer Prover Upgrade Kennewick</t>
  </si>
  <si>
    <t>FP-318957 Two Meter Shop Table Lifts</t>
  </si>
  <si>
    <t>FP-318958 Meter Shop Leak Tester</t>
  </si>
  <si>
    <t>FP-318959 Clamp on Check Meter</t>
  </si>
  <si>
    <t>FP-319025 Auto Floor Scrubber</t>
  </si>
  <si>
    <t>FP-319043 Mueller Equipment</t>
  </si>
  <si>
    <t>FP-319045 TAP TRUCK HYDRAULIC SYSTEM</t>
  </si>
  <si>
    <t xml:space="preserve">FP-319048 Mueller Equipment </t>
  </si>
  <si>
    <t>FP-319053 NEW WELDER YAK FAB SHOP</t>
  </si>
  <si>
    <t>FP-319100 Purch Threading Machine Walla Walla</t>
  </si>
  <si>
    <t>FP-319101 Pur Xtndble Squze Tool Walla Walla</t>
  </si>
  <si>
    <t>FP-319102 Purch Storage Cabinet Walla Walla</t>
  </si>
  <si>
    <t>FP-319132 Purch Swamp Cooler Wld Shp Wla Wla</t>
  </si>
  <si>
    <t>FP-319143 Purch 2 Squeeze Tools Walla Walla</t>
  </si>
  <si>
    <t>FP-319147 Purchase Air Compressor Walla Walla</t>
  </si>
  <si>
    <t>FP-306980 ERT Replacement 2020</t>
  </si>
  <si>
    <t>FP-316027 C/M RPL; 2" HP; NOOKSACK; 732'</t>
  </si>
  <si>
    <t>FP-316033 C/M RPL; 3" HP; ZILLAH; 873'</t>
  </si>
  <si>
    <t>FP-316035 C/M RPL; 4" HP; ARLINGTON; 4,700'</t>
  </si>
  <si>
    <t xml:space="preserve">FP-316043 MAOP; 8" HP; BELLINGHAM; 1,800' </t>
  </si>
  <si>
    <t>FP-316044 C/M RPL; 8" HP; BREMERTON; 7,373'</t>
  </si>
  <si>
    <t>FP-316403 CRM; 6" ST; TOPPENISH, 800'</t>
  </si>
  <si>
    <t>FP-316570 C/M RPL; 12" STL HP, LONG/KELSO PH4</t>
  </si>
  <si>
    <t>FP-316580 C/M RPL; 2,6,8" HP; ANACORTES; PH3</t>
  </si>
  <si>
    <t>FP-318482 RF; 4"; PE; Moses Lake 1,800'</t>
  </si>
  <si>
    <t>FP-318566 RP-Brem-R-Werener&amp;Twin View R-21</t>
  </si>
  <si>
    <t>FP-318588 RP-GIBRALT-4"PE2125'</t>
  </si>
  <si>
    <t>FP-318690 RF-Walla-1800' 6"S/6"PE Larch Ave</t>
  </si>
  <si>
    <t>FP-318742 RP-MTVE-R-N TEXAS RD R-47</t>
  </si>
  <si>
    <t>FP-318746 RF-WALLA-R-OLD MILTON HWY-2" STD</t>
  </si>
  <si>
    <t>FP-318747 RF-WALLA-R-PLAZA WAY-2" STD</t>
  </si>
  <si>
    <t>FP-318829 GR-OTHELLO-GT-OTHELLO GATE RS</t>
  </si>
  <si>
    <t>FP-319029 RP-MTVE-MTR-N TEXAS RD</t>
  </si>
  <si>
    <t xml:space="preserve">FP-319056 RP; O-TBD (O-08); RICH </t>
  </si>
  <si>
    <t xml:space="preserve">FP-319063 RP; O-TBD (O-03); KENN </t>
  </si>
  <si>
    <t>FP-319072 GR; 6" HP&amp;PE;W.RICH; 1.7mi KEENE RD</t>
  </si>
  <si>
    <t>FP-319095 Odorizer site imprvmts Walla Walla</t>
  </si>
  <si>
    <t>FP-319099 Repl Fence R-1 Reg Stn Walla Walla</t>
  </si>
  <si>
    <t>FP-319106 C/M RPL; 8" HP; YAKIMA; PH2</t>
  </si>
  <si>
    <t>FP-319180 GR; 4" PE; LONG; 4,600' KELSO SCHOO</t>
  </si>
  <si>
    <t>FP-319168 Ext Main Noll Rd Poulsbo</t>
  </si>
  <si>
    <t>Depreciation Study Comparison (Includes Base, Salvage, COR)</t>
  </si>
  <si>
    <t>Based on January 2020</t>
  </si>
  <si>
    <t>January</t>
  </si>
  <si>
    <t>Using</t>
  </si>
  <si>
    <t>Proposed</t>
  </si>
  <si>
    <t>Day 1</t>
  </si>
  <si>
    <t>Depr</t>
  </si>
  <si>
    <t>Beginning</t>
  </si>
  <si>
    <t>Actual</t>
  </si>
  <si>
    <t>Monthly</t>
  </si>
  <si>
    <t>Annualized</t>
  </si>
  <si>
    <t>Auto-Retire</t>
  </si>
  <si>
    <t>Retirement</t>
  </si>
  <si>
    <t>Plant Balance</t>
  </si>
  <si>
    <t>Rates</t>
  </si>
  <si>
    <t>Life (Years)</t>
  </si>
  <si>
    <t>Life (Months)</t>
  </si>
  <si>
    <t>Annual</t>
  </si>
  <si>
    <t>301-G-Organization</t>
  </si>
  <si>
    <t>378-G-Measure/Regulation</t>
  </si>
  <si>
    <t>391-G-Software</t>
  </si>
  <si>
    <t>392-G-Trailers</t>
  </si>
  <si>
    <t>392-G-Transportation Equipment</t>
  </si>
  <si>
    <t>396-G-Power Operated Equipment</t>
  </si>
  <si>
    <t>396-G-Trailers-Work Equipment</t>
  </si>
  <si>
    <t>N/A</t>
  </si>
  <si>
    <t>Total CNG</t>
  </si>
  <si>
    <t>Depreciation Total</t>
  </si>
  <si>
    <t>Base Year</t>
  </si>
  <si>
    <t>Change</t>
  </si>
  <si>
    <t>2-8</t>
  </si>
  <si>
    <t>22-29</t>
  </si>
  <si>
    <t>39-41</t>
  </si>
  <si>
    <t>46-65</t>
  </si>
  <si>
    <t>34-35</t>
  </si>
  <si>
    <t xml:space="preserve"> 10-21</t>
  </si>
  <si>
    <t>FP-316923 -C/M RPL 8" MARCH POINT LINE PHASE 2</t>
  </si>
  <si>
    <t>FP-306988 - Walla Walla Mains High Press Steel</t>
  </si>
  <si>
    <t>Less Total Cap Adjustments</t>
  </si>
  <si>
    <t>Less Unbilled Margins Booked</t>
  </si>
  <si>
    <t>FP-101191 - MAIN-REINFORCE-WASHINGTON</t>
  </si>
  <si>
    <t>FP-101194-Reg Station Growth Washingotn</t>
  </si>
  <si>
    <t>FP-317628 MAIN-GROWTH-WALLA WALLA DISTRICT</t>
  </si>
  <si>
    <t>FP-317629 MAIN-REPLACE-WALLA WALLA DISTRICT</t>
  </si>
  <si>
    <t>FP-317630 SERV-GROWTH-WALLA WALLA DISTRICT</t>
  </si>
  <si>
    <t>FP-317631 SERV-REPLACE-WALLA WALLA DISTRICT</t>
  </si>
  <si>
    <t>FP-317632 MAIN-GROWTH-WENATCHEE DISTRICT</t>
  </si>
  <si>
    <t>FP-317633 MAIN-REPLACE-WENATCHEE DISTRICT</t>
  </si>
  <si>
    <t>FP-317634 SERV-GROWTH-WENATCHEE DISTRICT</t>
  </si>
  <si>
    <t>FP-317635 SERV-REPLACE-WENATCHEE DISTRICT</t>
  </si>
  <si>
    <t>FP-317636 MAIN-GROWTH-YAKIMA DISTRICT</t>
  </si>
  <si>
    <t>FP-317637 MAIN-REPLACE-YAKIMA DISTRICT</t>
  </si>
  <si>
    <t>FP-317638 SERV-GROWTH-YAKIMA DISTRICT</t>
  </si>
  <si>
    <t>FP-317639 SERV-REPLACE-YAKIMA DISTRICT</t>
  </si>
  <si>
    <t>FP-317640 MAIN-GROWTH-ABERDEEN DISTRICT</t>
  </si>
  <si>
    <t>FP-317641 MAIN-REPLACE-ABERDEEN DISTRICT</t>
  </si>
  <si>
    <t>FP-317642 SERV-GROWTH-ABERDEEN DISTRICT</t>
  </si>
  <si>
    <t>FP-317643 SERV-REPLACE-ABERDEEN DISTRICT</t>
  </si>
  <si>
    <t>FP-317645 MAIN-REPLACE-BELLINGHAM DISTRICT</t>
  </si>
  <si>
    <t>FP-317646 SERV-GROWTH-BELLINGHAM DISTRICT</t>
  </si>
  <si>
    <t>FP-317647 SERV-REPLACE-BELLINGHAM DISTRICT</t>
  </si>
  <si>
    <t>FP-319111 MAOP MAIN RPL CNG WA</t>
  </si>
  <si>
    <t>FP-319112 MAOP SERV RPL CNG WA</t>
  </si>
  <si>
    <t>FP-317649 MAIN-REPLACE-BREMERTON DISTRICT</t>
  </si>
  <si>
    <t>FP-317650 SERV-GROWTH-BREMERTON DISTRICT</t>
  </si>
  <si>
    <t>FP-317651 SERV-REPLACE-BREMERTON DISTRICT</t>
  </si>
  <si>
    <t>FP-317652 MAIN-GROWTH-LONGVIEW DISTRICT</t>
  </si>
  <si>
    <t>FP-317653 MAIN-REPLACE-LONGVIEW DISTRICT</t>
  </si>
  <si>
    <t>FP-317654 SERV-GROWTH-LONGVIEW DISTRICT</t>
  </si>
  <si>
    <t>FP-317655 SERV-REPLACE-LONGVIEW DISTRICT</t>
  </si>
  <si>
    <t>FP-317656 MAIN-GROWTH-MT VERNON DISTRICT</t>
  </si>
  <si>
    <t>FP-317657 MAIN-REPLACE-MT VERNON DISTRICT</t>
  </si>
  <si>
    <t>FP-317658 SERV-GROWTH-MT VERNON DISTRICT</t>
  </si>
  <si>
    <t>FP-317659 SERV-REPLACE-MT VERNON DISTRICT</t>
  </si>
  <si>
    <t>FP-317744 Tools &amp; Minor Work Equip CNG WA</t>
  </si>
  <si>
    <t>FP-317750 MAIN-GROWTH-KENNEWICK DISTRICT</t>
  </si>
  <si>
    <t>FP-317751 MAIN-REPLACE-KENNEWICK DISTRICT</t>
  </si>
  <si>
    <t>FP-317752 SERV-GROWTH-KENNEWICK DISTRICT</t>
  </si>
  <si>
    <t>FP-317753 SERV-REPLACE-KENNEWICK DISTRICT</t>
  </si>
  <si>
    <t>FP-318092 HPSS Replacements CNG WA</t>
  </si>
  <si>
    <t>FP-318186 Sys Safety &amp; Integ Main Repl CNG WA</t>
  </si>
  <si>
    <t>FP-318187 Sys Safety &amp; Integ Svcs Rpl CNG WA</t>
  </si>
  <si>
    <t>FP-101163 Gas Work Equipment-CNGC</t>
  </si>
  <si>
    <t>FP-101164 IT Network Equipment-CNG</t>
  </si>
  <si>
    <t>FP-101210 Gas Meters-Total Company CNGC</t>
  </si>
  <si>
    <t>FP-101215 Gas Vehicles-CNGC</t>
  </si>
  <si>
    <t>FP-101259 Gas Regulators-Total Company CNGC</t>
  </si>
  <si>
    <t>FP-200662 Personal Computers &amp; Peripherals</t>
  </si>
  <si>
    <t>FP-316445 Toughbook Replacements-CNG</t>
  </si>
  <si>
    <t>FP-316832 Office Structure &amp; Eq-Kennewick GO</t>
  </si>
  <si>
    <t>FP-318192 Fixed Network Equipment-CNG</t>
  </si>
  <si>
    <t>FP-318197 Gas SCADA Equipment-CNG</t>
  </si>
  <si>
    <t>Blanket-Growth</t>
  </si>
  <si>
    <t>Blanket-RF/REPL</t>
  </si>
  <si>
    <t>Blanket work orders.  These projects are routine in nature and typically have offsetting benefits.   Some Funding projects are for forced relocates.  A forced relocate is where the city or municipality requires Cascade to move facilities under the franchise agreement.</t>
  </si>
  <si>
    <t>Blanket growth work orders. These projects are know to improve system dependability (i.e. gas deliverability) in an area without the specific intent to add known new customers. Some projects are construction of new system assets (mains, services, etc.) to deliver gas to known/identified new customers</t>
  </si>
  <si>
    <t>2020 New Customer Revenue Adjustment</t>
  </si>
  <si>
    <t>6/19/2020</t>
  </si>
  <si>
    <t xml:space="preserve">2020 Total - The Company's budget and plant accounting software  </t>
  </si>
  <si>
    <t>FP-317644-MAIN-GROWTH-BELLINGHAM DISTRICT</t>
  </si>
  <si>
    <t>FP-317648-MAIN-GROWTH-BREMERTON DISTRICT</t>
  </si>
  <si>
    <t>Brief Summary</t>
  </si>
  <si>
    <t>The Richland Keene Rd Project includes installing approximately 1.7 miles of 6" PE and 6" HP steel along Keene Rd following a road expansion project. This project will include the Keene Rd pressure increase needed for the existing steel pipe from R-104 to the beginning of this Keene Rd install.  Design is complete, and construction is underway and a portion of the project is expected to be completed in early summer 2020.</t>
  </si>
  <si>
    <t xml:space="preserve">The Walla Walla Gate Station Project is a reinforcement project designed to eliminate the need for the district to bypass during cold weather events and to address the supply issues presented by the ongoing growth in the southern area of Walla Walla.  events.  This area is the outer edge of the Walla Walla distribution system, farthest from existing high-pressure pipelines and regulation.  </t>
  </si>
  <si>
    <t xml:space="preserve">The Walla Walla 6” Distribution Project is needed to reinforce the existing 4” gas main that has reached maximum capacity based on current models and historic gas usage.  The project includes installing approximately 1,800 feet of new 6” gas main to loop with the 4” main.  </t>
  </si>
  <si>
    <t>The Bremerton Office Project includes remodeling the existing district office located at 6313 Kitsap Way, Bremerton, Washington, 98312.  The office remodel is necessary to accommodate added district staff and to reconfigure the outdated space to better meet the current needs of the district operations.</t>
  </si>
  <si>
    <t xml:space="preserve">Bremerton Reg Station Project includes installing one new regulator station to eliminate five smaller regulator stations that are difficult to access and maintain and have a history of leaks. </t>
  </si>
  <si>
    <t>The Mount Vernon Reg Station Project includes replacement and relocation of two existing pressure regulation stations and metering equipment in Anacortes, Washington.  The replacement of these stations is necessary due to equipment maintenance issues, accessibility of the stations, and the existing facilities being undersized for the increased load in the area.</t>
  </si>
  <si>
    <t xml:space="preserve">The Moses Lake 4” PE project includes installing approximately 1,800 feet of new 4” PE pipe to loop the northwestern Moses Lake system and improving the pressures to above design criteria during peak usage.  This system reinforcement will also improve capacity to allow for ongoing growth in this area of Moses Lake.  </t>
  </si>
  <si>
    <t>The Bellingham 8” HP Project involved relocating the existing 10” HP main attached to the Bellingham State Street Bridge due to the City of Bellingham rebuilding the State Street Bridge.  The project was started in early 2019, and the project was completed in January 2020.</t>
  </si>
  <si>
    <t>See FP-306998.</t>
  </si>
  <si>
    <t xml:space="preserve">The Wallula Gate Project includes installing a new gate station at the southernmost point of the Company’s Attalia pipeline.  The current feed to the Attalia line is to the far north and is undersized to handle the largest load on the line at the southern end.  This new gate station and HP pipeline will bring a new feed and HP pipe closer to the large loads in the southern system.  </t>
  </si>
  <si>
    <t xml:space="preserve">See FP-302596. </t>
  </si>
  <si>
    <t xml:space="preserve">The Othello Gate Station Project includes upgrading the gate station equipment to accommodate the increase in the NWP Othello lateral pipe and pressure.  These upgrades are required due to insufficient capacity in the lateral and at the gate station to accommodate increased industrial load and overall historical flows. </t>
  </si>
  <si>
    <t>See FP-318987</t>
  </si>
  <si>
    <t xml:space="preserve">The Arlington Gate Project includes upgrading the existing Arlington Gate station, taking over regulation from NWP, and upgrading the outlet pipe from the station to meet current winter capacities and to accommodate increased gas load in the Arlington system.  </t>
  </si>
  <si>
    <t>See FP-300233</t>
  </si>
  <si>
    <t>The Aberdeen 6” HP Project includes installing two miles of 6” HP steel pipe that will provide a second feed to the City of Aberdeen. This project will increase capacity of the Aberdeen system to meet current winter capacity constraints and enable future expansion    near the Aberdeen Port.</t>
  </si>
  <si>
    <t>The Gibraltar 4” PE Project includes installing approximately 2,800 feet of 4” PE main.  The existing 2” steel main is undersized for the area and represents a bottleneck in the system that will be resolved by increasing the pipe size in this area.</t>
  </si>
  <si>
    <t>Replacing a vintage odorizer with obsolete parts with a new odorizer that performs correctly and can be safely maintained.  Kennewick</t>
  </si>
  <si>
    <t xml:space="preserve">Replacing a vintage odorizer with obsolete parts with a new odorizer that performs correctly and can be safely maintained.  Richland </t>
  </si>
  <si>
    <t>Add Customer Billing Correction</t>
  </si>
  <si>
    <t>Exhibit No. __ (MCP-10)</t>
  </si>
  <si>
    <t>SUPPLEMENTAL SUMMARY OF PROPOSED ADJUSTMENTS TO TEST YEAR RESULTS</t>
  </si>
  <si>
    <t>7/24/20</t>
  </si>
  <si>
    <t>Supplemental Summary of Proposed Adjustments to Test Year Results</t>
  </si>
  <si>
    <t>Exhibit No. __ (MCP-9)</t>
  </si>
  <si>
    <t>Supplemental Revenue Requirement Calculation</t>
  </si>
  <si>
    <t>SUPPLEMENTAL REVENUE REQUIREMENT CALCULATION</t>
  </si>
  <si>
    <t>Exhibit No. __ (MCP-8)</t>
  </si>
  <si>
    <t>Supplemental Results of Operations Summary Sheet</t>
  </si>
  <si>
    <t>SUPPLEMENTAL RESULTS OF OPERATIONS SUMMARY SHEET</t>
  </si>
  <si>
    <t>IDM-7. Column (V), Line 582</t>
  </si>
  <si>
    <t>IDM-7. Column (V), Line 583</t>
  </si>
  <si>
    <t>IDM-7. Column (V), Line 584</t>
  </si>
  <si>
    <t xml:space="preserve"> Exh. IDM-7, column (J), Line 584</t>
  </si>
  <si>
    <t xml:space="preserve"> Exh. IDM-7, column (J), Line 587</t>
  </si>
  <si>
    <t xml:space="preserve"> Exh. IDM-7, column (J), Line 588</t>
  </si>
  <si>
    <t xml:space="preserve"> Exh. IDM-7, column (M), Line 584</t>
  </si>
  <si>
    <t>Exh. IDM-7, column (D), Line 586</t>
  </si>
  <si>
    <t>Exhibit IDM-7, Column (S), Line 584</t>
  </si>
  <si>
    <t>Exhibit IDM-7, Column (P), Line 584</t>
  </si>
  <si>
    <t>Exhibit IDM-7, Column (Y), Line 584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</si>
</sst>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
    <numFmt numFmtId="186" formatCode="0.0000000%"/>
    <numFmt numFmtId="187" formatCode="_(* #,##0.0000_);_(* \(#,##0.0000\);_(* &quot;-&quot;??_);_(@_)"/>
    <numFmt numFmtId="188" formatCode="#,##0.00000_);\(#,##0.00000\)"/>
    <numFmt numFmtId="189" formatCode="&quot;$&quot;#,##0"/>
    <numFmt numFmtId="190" formatCode="dd\-mmm\-yy_)"/>
    <numFmt numFmtId="191" formatCode="&quot;$&quot;#,##0.00"/>
    <numFmt numFmtId="192" formatCode="#,##0.000000000_);\(#,##0.000000000\)"/>
    <numFmt numFmtId="193" formatCode="#,##0.0000000000_);[Red]\(#,##0.0000000000\)"/>
    <numFmt numFmtId="194" formatCode="0.00000%"/>
    <numFmt numFmtId="195" formatCode="[$-F800]dddd\,\ mmmm\ dd\,\ yyyy"/>
    <numFmt numFmtId="196" formatCode="#,##0.0000_);\(#,##0.0000\)"/>
    <numFmt numFmtId="197" formatCode="mmm\-yy_)"/>
    <numFmt numFmtId="198" formatCode="0_)"/>
    <numFmt numFmtId="199" formatCode="#,##0.000000_);\(#,##0.000000\)"/>
    <numFmt numFmtId="200" formatCode="#,##0.0000000"/>
    <numFmt numFmtId="201" formatCode="[$-409]m/d/yy\ h:mm\ AM/PM;@"/>
    <numFmt numFmtId="202" formatCode="0_);\(0\)"/>
    <numFmt numFmtId="203" formatCode="#,##0.0"/>
    <numFmt numFmtId="204" formatCode="#,##0.000"/>
    <numFmt numFmtId="205" formatCode="_(&quot;$&quot;* #,##0_);_(&quot;$&quot;* \(#,##0\);_(&quot;$&quot;* &quot;-&quot;??_);_(@_)"/>
    <numFmt numFmtId="206" formatCode="0.0%"/>
  </numFmts>
  <fonts count="14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sz val="10"/>
      <name val="Arial"/>
      <family val="2"/>
    </font>
    <font>
      <sz val="9"/>
      <color indexed="81"/>
      <name val="Tahoma"/>
      <family val="2"/>
    </font>
    <font>
      <b/>
      <sz val="9"/>
      <color indexed="81"/>
      <name val="Tahoma"/>
      <family val="2"/>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
      <sz val="12"/>
      <color rgb="FFFF0000"/>
      <name val="Times New Roman"/>
      <family val="1"/>
    </font>
    <font>
      <sz val="12"/>
      <color theme="1"/>
      <name val="Calibri"/>
      <family val="2"/>
      <scheme val="minor"/>
    </font>
    <font>
      <b/>
      <i/>
      <sz val="12"/>
      <name val="Times New Roman"/>
      <family val="1"/>
    </font>
    <font>
      <b/>
      <i/>
      <u/>
      <sz val="12"/>
      <color theme="1"/>
      <name val="Times New Roman"/>
      <family val="1"/>
    </font>
    <font>
      <b/>
      <u/>
      <sz val="12"/>
      <name val="Times New Roman"/>
      <family val="1"/>
    </font>
    <font>
      <u/>
      <sz val="12"/>
      <color theme="1"/>
      <name val="Calibri"/>
      <family val="2"/>
      <scheme val="minor"/>
    </font>
    <font>
      <vertAlign val="superscript"/>
      <sz val="12"/>
      <color theme="1"/>
      <name val="Calibri"/>
      <family val="2"/>
      <scheme val="minor"/>
    </font>
    <font>
      <sz val="10"/>
      <name val="Courier"/>
    </font>
    <font>
      <vertAlign val="superscript"/>
      <sz val="10"/>
      <name val="Arial"/>
      <family val="2"/>
    </font>
    <font>
      <b/>
      <sz val="11"/>
      <name val="Arial"/>
      <family val="2"/>
    </font>
    <font>
      <b/>
      <i/>
      <u/>
      <sz val="20"/>
      <color theme="1"/>
      <name val="Times New Roman"/>
      <family val="1"/>
    </font>
    <font>
      <b/>
      <i/>
      <u/>
      <sz val="24"/>
      <color theme="1"/>
      <name val="Times New Roman"/>
      <family val="1"/>
    </font>
    <font>
      <b/>
      <sz val="10"/>
      <color indexed="12"/>
      <name val="Arial"/>
      <family val="2"/>
    </font>
    <font>
      <b/>
      <sz val="10"/>
      <color theme="1"/>
      <name val="Arial"/>
      <family val="2"/>
    </font>
    <font>
      <sz val="11"/>
      <name val="Calibri"/>
      <family val="2"/>
      <scheme val="minor"/>
    </font>
    <font>
      <sz val="10"/>
      <color theme="1"/>
      <name val="Arial Narrow"/>
      <family val="2"/>
    </font>
    <font>
      <sz val="8"/>
      <name val="Calibri"/>
      <family val="2"/>
      <scheme val="minor"/>
    </font>
    <font>
      <sz val="11"/>
      <name val="Calibri"/>
      <family val="2"/>
    </font>
    <font>
      <sz val="11"/>
      <color rgb="FFC00000"/>
      <name val="Calibri"/>
      <family val="2"/>
      <scheme val="minor"/>
    </font>
    <font>
      <b/>
      <sz val="11"/>
      <name val="Calibri"/>
      <family val="2"/>
      <scheme val="minor"/>
    </font>
  </fonts>
  <fills count="9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rgb="FFCCFFCC"/>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rgb="FF92D05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1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style="thick">
        <color auto="1"/>
      </right>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
      <left style="thin">
        <color auto="1"/>
      </left>
      <right style="thin">
        <color auto="1"/>
      </right>
      <top/>
      <bottom style="thin">
        <color auto="1"/>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right/>
      <top style="thin">
        <color indexed="48"/>
      </top>
      <bottom style="double">
        <color indexed="48"/>
      </bottom>
      <diagonal/>
    </border>
    <border>
      <left style="thin">
        <color indexed="23"/>
      </left>
      <right style="thin">
        <color indexed="23"/>
      </right>
      <top style="thin">
        <color indexed="23"/>
      </top>
      <bottom style="thin">
        <color indexed="23"/>
      </bottom>
      <diagonal/>
    </border>
    <border>
      <left/>
      <right/>
      <top style="thin">
        <color indexed="64"/>
      </top>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diagonal/>
    </border>
    <border>
      <left style="medium">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medium">
        <color indexed="64"/>
      </right>
      <top/>
      <bottom style="thin">
        <color auto="1"/>
      </bottom>
      <diagonal/>
    </border>
    <border>
      <left/>
      <right/>
      <top/>
      <bottom style="thin">
        <color indexed="22"/>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style="thin">
        <color indexed="48"/>
      </top>
      <bottom style="double">
        <color indexed="48"/>
      </bottom>
      <diagonal/>
    </border>
    <border>
      <left/>
      <right/>
      <top/>
      <bottom style="thin">
        <color indexed="8"/>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indexed="64"/>
      </right>
      <top/>
      <bottom style="thin">
        <color indexed="64"/>
      </bottom>
      <diagonal/>
    </border>
    <border>
      <left style="thin">
        <color auto="1"/>
      </left>
      <right/>
      <top/>
      <bottom style="thin">
        <color indexed="64"/>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medium">
        <color indexed="64"/>
      </right>
      <top/>
      <bottom style="thin">
        <color auto="1"/>
      </bottom>
      <diagonal/>
    </border>
    <border>
      <left/>
      <right style="medium">
        <color indexed="64"/>
      </right>
      <top style="thin">
        <color indexed="64"/>
      </top>
      <bottom style="medium">
        <color auto="1"/>
      </bottom>
      <diagonal/>
    </border>
    <border>
      <left style="medium">
        <color indexed="64"/>
      </left>
      <right/>
      <top style="thin">
        <color indexed="64"/>
      </top>
      <bottom style="medium">
        <color auto="1"/>
      </bottom>
      <diagonal/>
    </border>
    <border>
      <left/>
      <right style="thick">
        <color indexed="64"/>
      </right>
      <top/>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style="thin">
        <color indexed="64"/>
      </top>
      <bottom/>
      <diagonal/>
    </border>
    <border>
      <left style="thin">
        <color indexed="41"/>
      </left>
      <right style="thin">
        <color indexed="48"/>
      </right>
      <top style="medium">
        <color indexed="41"/>
      </top>
      <bottom style="thin">
        <color indexed="48"/>
      </bottom>
      <diagonal/>
    </border>
    <border>
      <left/>
      <right/>
      <top/>
      <bottom style="thin">
        <color indexed="22"/>
      </bottom>
      <diagonal/>
    </border>
    <border>
      <left/>
      <right/>
      <top/>
      <bottom style="thin">
        <color indexed="64"/>
      </bottom>
      <diagonal/>
    </border>
    <border>
      <left style="thin">
        <color indexed="64"/>
      </left>
      <right style="thin">
        <color indexed="64"/>
      </right>
      <top/>
      <bottom style="thin">
        <color indexed="64"/>
      </bottom>
      <diagonal/>
    </border>
    <border>
      <left/>
      <right/>
      <top/>
      <bottom style="thin">
        <color indexed="8"/>
      </bottom>
      <diagonal/>
    </border>
  </borders>
  <cellStyleXfs count="33354">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7" fillId="34" borderId="0" applyNumberFormat="0" applyProtection="0">
      <alignment horizontal="left" vertical="center" indent="1"/>
    </xf>
    <xf numFmtId="4" fontId="28"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0"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1" fillId="0" borderId="0"/>
    <xf numFmtId="43" fontId="32" fillId="0" borderId="0" applyFont="0" applyFill="0" applyBorder="0" applyAlignment="0" applyProtection="0"/>
    <xf numFmtId="43" fontId="33"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0" fontId="35" fillId="0" borderId="0"/>
    <xf numFmtId="0" fontId="35" fillId="0" borderId="0"/>
    <xf numFmtId="0" fontId="35" fillId="0" borderId="0"/>
    <xf numFmtId="44" fontId="1" fillId="0" borderId="0" applyFont="0" applyFill="0" applyBorder="0" applyAlignment="0" applyProtection="0"/>
    <xf numFmtId="44" fontId="33" fillId="0" borderId="0" applyFont="0" applyFill="0" applyBorder="0" applyAlignment="0" applyProtection="0"/>
    <xf numFmtId="170" fontId="36" fillId="0" borderId="0" applyFont="0" applyFill="0" applyBorder="0" applyProtection="0">
      <alignment horizontal="right"/>
    </xf>
    <xf numFmtId="5" fontId="35" fillId="0" borderId="0"/>
    <xf numFmtId="171" fontId="34" fillId="0" borderId="0" applyFont="0" applyFill="0" applyBorder="0" applyAlignment="0" applyProtection="0"/>
    <xf numFmtId="0" fontId="34" fillId="0" borderId="0" applyFont="0" applyFill="0" applyBorder="0" applyAlignment="0" applyProtection="0"/>
    <xf numFmtId="0" fontId="35" fillId="0" borderId="0"/>
    <xf numFmtId="2" fontId="34" fillId="0" borderId="0" applyFont="0" applyFill="0" applyBorder="0" applyAlignment="0" applyProtection="0"/>
    <xf numFmtId="0" fontId="37" fillId="0" borderId="0" applyFont="0" applyFill="0" applyBorder="0" applyAlignment="0" applyProtection="0">
      <alignment horizontal="left"/>
    </xf>
    <xf numFmtId="38" fontId="21" fillId="33" borderId="0" applyNumberFormat="0" applyBorder="0" applyAlignment="0" applyProtection="0"/>
    <xf numFmtId="0" fontId="38" fillId="0" borderId="0"/>
    <xf numFmtId="0" fontId="26" fillId="0" borderId="23" applyNumberFormat="0" applyAlignment="0" applyProtection="0">
      <alignment horizontal="left" vertical="center"/>
    </xf>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10" fontId="21" fillId="35" borderId="14" applyNumberFormat="0" applyBorder="0" applyAlignment="0" applyProtection="0"/>
    <xf numFmtId="0" fontId="41" fillId="0" borderId="0" applyNumberFormat="0" applyFill="0" applyBorder="0" applyAlignment="0">
      <protection locked="0"/>
    </xf>
    <xf numFmtId="172" fontId="19" fillId="0" borderId="0"/>
    <xf numFmtId="173" fontId="24" fillId="0" borderId="0" applyNumberFormat="0" applyFill="0" applyBorder="0" applyAlignment="0" applyProtection="0"/>
    <xf numFmtId="166" fontId="42" fillId="0" borderId="0" applyFont="0" applyAlignment="0" applyProtection="0"/>
    <xf numFmtId="0" fontId="21" fillId="0" borderId="24" applyNumberFormat="0" applyBorder="0" applyAlignment="0"/>
    <xf numFmtId="174" fontId="19" fillId="0" borderId="0"/>
    <xf numFmtId="0" fontId="43" fillId="0" borderId="0"/>
    <xf numFmtId="0" fontId="32" fillId="0" borderId="0"/>
    <xf numFmtId="0" fontId="1" fillId="0" borderId="0"/>
    <xf numFmtId="0" fontId="19" fillId="0" borderId="0"/>
    <xf numFmtId="0" fontId="1" fillId="0" borderId="0"/>
    <xf numFmtId="0" fontId="1" fillId="0" borderId="0"/>
    <xf numFmtId="0" fontId="44" fillId="0" borderId="0"/>
    <xf numFmtId="0" fontId="32" fillId="0" borderId="0"/>
    <xf numFmtId="0" fontId="19" fillId="0" borderId="0"/>
    <xf numFmtId="0" fontId="19" fillId="0" borderId="0"/>
    <xf numFmtId="37" fontId="35" fillId="0" borderId="0"/>
    <xf numFmtId="175" fontId="32" fillId="0" borderId="0" applyFont="0" applyFill="0" applyBorder="0" applyProtection="0"/>
    <xf numFmtId="12" fontId="26" fillId="36" borderId="20">
      <alignment horizontal="left"/>
    </xf>
    <xf numFmtId="0" fontId="35" fillId="0" borderId="0"/>
    <xf numFmtId="0" fontId="35"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5" fillId="0" borderId="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27" fillId="34" borderId="0" applyNumberFormat="0" applyProtection="0">
      <alignment horizontal="left" vertical="center" indent="1"/>
    </xf>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27" fillId="48" borderId="26" applyNumberFormat="0" applyProtection="0">
      <alignment horizontal="left" vertical="center" indent="1"/>
    </xf>
    <xf numFmtId="4" fontId="47" fillId="49" borderId="0" applyNumberFormat="0" applyProtection="0">
      <alignment horizontal="left"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7" fillId="51" borderId="25" applyNumberFormat="0" applyProtection="0">
      <alignment horizontal="right" vertical="center"/>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5" fillId="49" borderId="25" applyNumberFormat="0" applyProtection="0">
      <alignment horizontal="right" vertical="center"/>
    </xf>
    <xf numFmtId="37" fontId="52"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4" fillId="0" borderId="27" applyNumberFormat="0" applyFont="0" applyFill="0" applyAlignment="0" applyProtection="0"/>
    <xf numFmtId="0" fontId="35" fillId="0" borderId="28"/>
    <xf numFmtId="178" fontId="53" fillId="0" borderId="0">
      <alignment horizontal="left"/>
    </xf>
    <xf numFmtId="0" fontId="35" fillId="0" borderId="29"/>
    <xf numFmtId="37" fontId="21" fillId="38" borderId="0" applyNumberFormat="0" applyBorder="0" applyAlignment="0" applyProtection="0"/>
    <xf numFmtId="37" fontId="21" fillId="0" borderId="0"/>
    <xf numFmtId="3" fontId="54" fillId="58" borderId="30" applyProtection="0"/>
    <xf numFmtId="0" fontId="19" fillId="0" borderId="0"/>
    <xf numFmtId="0" fontId="55" fillId="0" borderId="0"/>
    <xf numFmtId="0" fontId="56"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37" fontId="58" fillId="0" borderId="0" applyNumberFormat="0" applyFill="0" applyBorder="0"/>
    <xf numFmtId="0" fontId="1" fillId="0" borderId="0"/>
    <xf numFmtId="0" fontId="57"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8" borderId="25" applyNumberFormat="0" applyProtection="0">
      <alignment horizontal="left" vertical="center" indent="1"/>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4" fontId="27" fillId="34" borderId="10" applyNumberFormat="0" applyProtection="0">
      <alignment vertical="center"/>
    </xf>
    <xf numFmtId="4" fontId="27" fillId="34" borderId="25" applyNumberFormat="0" applyProtection="0"/>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indent="1"/>
    </xf>
    <xf numFmtId="4" fontId="47" fillId="49" borderId="0" applyNumberFormat="0" applyProtection="0">
      <alignment horizontal="left" vertical="center" indent="1"/>
    </xf>
    <xf numFmtId="4" fontId="47" fillId="49" borderId="0" applyNumberFormat="0" applyProtection="0">
      <alignment horizontal="left" indent="1"/>
    </xf>
    <xf numFmtId="4" fontId="48" fillId="50" borderId="0" applyNumberFormat="0" applyProtection="0">
      <alignment horizontal="left" vertical="center" indent="1"/>
    </xf>
    <xf numFmtId="4" fontId="48" fillId="50" borderId="0" applyNumberFormat="0" applyProtection="0">
      <alignment horizontal="left" vertical="center"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49" fillId="52" borderId="0" applyNumberFormat="0" applyProtection="0">
      <alignment horizontal="left" indent="1"/>
    </xf>
    <xf numFmtId="4" fontId="59" fillId="0" borderId="0" applyNumberFormat="0" applyProtection="0">
      <alignment horizontal="left" vertical="center" indent="1"/>
    </xf>
    <xf numFmtId="4" fontId="49" fillId="52" borderId="0" applyNumberFormat="0" applyProtection="0">
      <alignment horizontal="left" indent="1"/>
    </xf>
    <xf numFmtId="4" fontId="50" fillId="53" borderId="0" applyNumberFormat="0" applyProtection="0"/>
    <xf numFmtId="4" fontId="50" fillId="53" borderId="0" applyNumberFormat="0" applyProtection="0"/>
    <xf numFmtId="4" fontId="50" fillId="53" borderId="0" applyNumberFormat="0" applyProtection="0"/>
    <xf numFmtId="4" fontId="50" fillId="0" borderId="0" applyNumberFormat="0" applyProtection="0">
      <alignment horizontal="left" vertical="center" indent="1"/>
    </xf>
    <xf numFmtId="4" fontId="50"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59" borderId="31"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0" fontId="47" fillId="34" borderId="25" applyNumberFormat="0" applyProtection="0">
      <alignment horizontal="left" vertical="top"/>
    </xf>
    <xf numFmtId="4" fontId="29" fillId="56" borderId="0" applyNumberFormat="0" applyProtection="0">
      <alignment horizontal="left"/>
    </xf>
    <xf numFmtId="4" fontId="29" fillId="56" borderId="0" applyNumberFormat="0" applyProtection="0">
      <alignment horizontal="left"/>
    </xf>
    <xf numFmtId="4" fontId="29" fillId="56" borderId="0" applyNumberFormat="0" applyProtection="0">
      <alignment horizontal="left"/>
    </xf>
    <xf numFmtId="4" fontId="28" fillId="0" borderId="0" applyNumberFormat="0" applyProtection="0">
      <alignment horizontal="left" vertical="center"/>
    </xf>
    <xf numFmtId="4" fontId="29"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4"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5" fillId="0" borderId="0" applyFont="0" applyFill="0" applyBorder="0" applyAlignment="0" applyProtection="0"/>
    <xf numFmtId="43" fontId="19"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37" fontId="19" fillId="0" borderId="0" applyFill="0" applyBorder="0" applyAlignment="0" applyProtection="0"/>
    <xf numFmtId="44" fontId="55"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6" fillId="0" borderId="32">
      <alignment horizontal="left" vertical="center"/>
    </xf>
    <xf numFmtId="0" fontId="44" fillId="0" borderId="0"/>
    <xf numFmtId="0" fontId="19" fillId="0" borderId="0"/>
    <xf numFmtId="0" fontId="44"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7"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2" fillId="0" borderId="0" applyFont="0" applyFill="0" applyBorder="0" applyAlignment="0" applyProtection="0"/>
    <xf numFmtId="43" fontId="19" fillId="0" borderId="0" applyFont="0" applyFill="0" applyBorder="0" applyAlignment="0" applyProtection="0"/>
    <xf numFmtId="3" fontId="34"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171"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43" fillId="0" borderId="0"/>
    <xf numFmtId="0" fontId="1" fillId="0" borderId="0"/>
    <xf numFmtId="0" fontId="1" fillId="0" borderId="0"/>
    <xf numFmtId="0" fontId="1" fillId="0" borderId="0"/>
    <xf numFmtId="9" fontId="1" fillId="0" borderId="0" applyFont="0" applyFill="0" applyBorder="0" applyAlignment="0" applyProtection="0"/>
    <xf numFmtId="4" fontId="27" fillId="38" borderId="25" applyNumberFormat="0" applyProtection="0">
      <alignment horizontal="left" vertical="center" indent="1"/>
    </xf>
    <xf numFmtId="4" fontId="47" fillId="49" borderId="0" applyNumberFormat="0" applyProtection="0">
      <alignment horizontal="left" indent="1"/>
    </xf>
    <xf numFmtId="4" fontId="49" fillId="52" borderId="0" applyNumberFormat="0" applyProtection="0">
      <alignment horizontal="left" indent="1"/>
    </xf>
    <xf numFmtId="4" fontId="50" fillId="53" borderId="0" applyNumberFormat="0" applyProtection="0"/>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5"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7"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2" fillId="0" borderId="0" applyNumberFormat="0" applyFill="0" applyBorder="0" applyAlignment="0" applyProtection="0"/>
    <xf numFmtId="0" fontId="63" fillId="59" borderId="0" applyNumberFormat="0" applyFill="0" applyBorder="0" applyAlignment="0" applyProtection="0">
      <protection locked="0"/>
    </xf>
    <xf numFmtId="0" fontId="64" fillId="0" borderId="0" applyNumberFormat="0" applyFill="0" applyBorder="0" applyAlignment="0" applyProtection="0"/>
    <xf numFmtId="0" fontId="50" fillId="59" borderId="11" applyNumberFormat="0" applyFill="0" applyBorder="0" applyAlignment="0" applyProtection="0">
      <protection locked="0"/>
    </xf>
    <xf numFmtId="0" fontId="65"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5" fillId="0" borderId="0" applyFont="0" applyFill="0" applyBorder="0" applyAlignment="0" applyProtection="0"/>
    <xf numFmtId="40" fontId="66" fillId="0" borderId="0" applyFont="0" applyFill="0" applyBorder="0" applyAlignment="0" applyProtection="0">
      <alignment horizontal="center"/>
    </xf>
    <xf numFmtId="0" fontId="66" fillId="0" borderId="0" applyFont="0" applyFill="0" applyBorder="0" applyAlignment="0" applyProtection="0">
      <alignment horizontal="center"/>
    </xf>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7" fontId="36" fillId="0" borderId="0" applyFill="0" applyBorder="0">
      <alignment horizontal="right"/>
    </xf>
    <xf numFmtId="8" fontId="68"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3" fillId="0" borderId="0" applyFill="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0" fontId="36" fillId="0" borderId="0" applyFill="0" applyBorder="0">
      <alignment horizontal="right"/>
    </xf>
    <xf numFmtId="0" fontId="21" fillId="59" borderId="14" applyFont="0" applyBorder="0" applyAlignment="0" applyProtection="0">
      <alignment vertical="top"/>
    </xf>
    <xf numFmtId="0" fontId="28" fillId="0" borderId="0" applyNumberFormat="0" applyFill="0" applyBorder="0" applyAlignment="0" applyProtection="0"/>
    <xf numFmtId="0" fontId="26"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3" fillId="0" borderId="0" applyFill="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40" fontId="47" fillId="59" borderId="0">
      <alignment horizontal="right"/>
    </xf>
    <xf numFmtId="0" fontId="27" fillId="59" borderId="0">
      <alignment horizontal="left"/>
    </xf>
    <xf numFmtId="0" fontId="74" fillId="0" borderId="0" applyFill="0" applyBorder="0" applyProtection="0">
      <alignment horizontal="left"/>
    </xf>
    <xf numFmtId="0" fontId="75"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6" fillId="0" borderId="0" applyFont="0" applyFill="0" applyBorder="0" applyAlignment="0" applyProtection="0"/>
    <xf numFmtId="0" fontId="65" fillId="0" borderId="0" applyFont="0" applyFill="0" applyBorder="0" applyProtection="0">
      <alignment horizontal="right"/>
    </xf>
    <xf numFmtId="0" fontId="77" fillId="0" borderId="0"/>
    <xf numFmtId="0" fontId="36" fillId="0" borderId="0" applyFill="0" applyBorder="0">
      <alignment horizontal="right"/>
    </xf>
    <xf numFmtId="0" fontId="24" fillId="33" borderId="14" applyNumberFormat="0" applyFont="0" applyAlignment="0" applyProtection="0"/>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78" fillId="0" borderId="0" applyNumberFormat="0" applyFill="0" applyBorder="0" applyAlignment="0" applyProtection="0"/>
    <xf numFmtId="0" fontId="67" fillId="60" borderId="0" applyNumberFormat="0" applyFont="0" applyBorder="0" applyAlignment="0" applyProtection="0"/>
    <xf numFmtId="0" fontId="24" fillId="33" borderId="0" applyNumberFormat="0" applyFont="0" applyBorder="0" applyAlignment="0" applyProtection="0"/>
    <xf numFmtId="178" fontId="79" fillId="0" borderId="0" applyNumberFormat="0" applyFill="0" applyBorder="0" applyAlignment="0">
      <alignment horizontal="left"/>
    </xf>
    <xf numFmtId="0" fontId="22" fillId="0" borderId="0" applyFill="0" applyBorder="0" applyProtection="0">
      <alignment horizontal="center" vertical="center"/>
    </xf>
    <xf numFmtId="0" fontId="22" fillId="0" borderId="0" applyFill="0" applyBorder="0" applyProtection="0"/>
    <xf numFmtId="0" fontId="20" fillId="0" borderId="0" applyFill="0" applyBorder="0" applyProtection="0">
      <alignment horizontal="left"/>
    </xf>
    <xf numFmtId="0" fontId="80" fillId="0" borderId="0" applyFill="0" applyBorder="0" applyProtection="0">
      <alignment horizontal="left" vertical="top"/>
    </xf>
    <xf numFmtId="0" fontId="63" fillId="59" borderId="33" applyNumberFormat="0" applyFont="0" applyFill="0" applyAlignment="0" applyProtection="0">
      <protection locked="0"/>
    </xf>
    <xf numFmtId="0" fontId="63" fillId="59" borderId="38" applyNumberFormat="0" applyFont="0" applyFill="0" applyAlignment="0" applyProtection="0">
      <protection locked="0"/>
    </xf>
    <xf numFmtId="0" fontId="24" fillId="0" borderId="0" applyNumberFormat="0" applyFill="0" applyBorder="0" applyAlignment="0" applyProtection="0"/>
    <xf numFmtId="18" fontId="63" fillId="59" borderId="0" applyFont="0" applyFill="0" applyBorder="0" applyAlignment="0" applyProtection="0">
      <protection locked="0"/>
    </xf>
    <xf numFmtId="0" fontId="81" fillId="0" borderId="0" applyNumberFormat="0" applyFill="0" applyBorder="0" applyAlignment="0" applyProtection="0"/>
    <xf numFmtId="0" fontId="22" fillId="0" borderId="0" applyNumberFormat="0" applyFill="0" applyBorder="0" applyAlignment="0" applyProtection="0"/>
    <xf numFmtId="38" fontId="47" fillId="0" borderId="15" applyFill="0" applyBorder="0" applyAlignment="0" applyProtection="0">
      <protection locked="0"/>
    </xf>
    <xf numFmtId="0" fontId="24" fillId="59" borderId="0" applyNumberFormat="0" applyFont="0" applyAlignment="0" applyProtection="0"/>
    <xf numFmtId="0" fontId="24" fillId="59" borderId="33" applyNumberFormat="0" applyFont="0" applyAlignment="0" applyProtection="0">
      <protection locked="0"/>
    </xf>
    <xf numFmtId="0" fontId="82" fillId="0" borderId="0" applyNumberFormat="0" applyFill="0" applyBorder="0" applyAlignment="0" applyProtection="0"/>
    <xf numFmtId="0" fontId="65" fillId="0" borderId="0" applyFont="0" applyFill="0" applyBorder="0" applyProtection="0">
      <alignment horizontal="right"/>
    </xf>
    <xf numFmtId="43" fontId="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60" fillId="0" borderId="0" applyFont="0" applyFill="0" applyBorder="0" applyAlignment="0" applyProtection="0"/>
    <xf numFmtId="43" fontId="6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3" fillId="0" borderId="0" applyNumberFormat="0" applyFill="0" applyBorder="0" applyAlignment="0" applyProtection="0">
      <alignment vertical="top"/>
      <protection locked="0"/>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1" fillId="0" borderId="0"/>
    <xf numFmtId="0" fontId="19" fillId="0" borderId="0"/>
    <xf numFmtId="0" fontId="44" fillId="0" borderId="0"/>
    <xf numFmtId="0" fontId="1" fillId="0" borderId="0"/>
    <xf numFmtId="0" fontId="1" fillId="0" borderId="0"/>
    <xf numFmtId="0" fontId="1" fillId="0" borderId="0"/>
    <xf numFmtId="0" fontId="61" fillId="0" borderId="0"/>
    <xf numFmtId="9" fontId="1" fillId="0" borderId="0" applyFont="0" applyFill="0" applyBorder="0" applyAlignment="0" applyProtection="0"/>
    <xf numFmtId="9" fontId="32" fillId="0" borderId="0" applyFont="0" applyFill="0" applyBorder="0" applyAlignment="0" applyProtection="0"/>
    <xf numFmtId="9" fontId="6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7" fillId="61" borderId="0">
      <alignment horizontal="left"/>
    </xf>
    <xf numFmtId="0" fontId="50" fillId="61" borderId="0">
      <alignment horizontal="right"/>
    </xf>
    <xf numFmtId="0" fontId="50" fillId="61" borderId="0">
      <alignment horizontal="center"/>
    </xf>
    <xf numFmtId="0" fontId="50" fillId="61" borderId="0">
      <alignment horizontal="right"/>
    </xf>
    <xf numFmtId="0" fontId="87" fillId="61" borderId="0">
      <alignment horizontal="left"/>
    </xf>
    <xf numFmtId="40" fontId="84" fillId="0" borderId="0" applyFont="0" applyFill="0" applyBorder="0" applyAlignment="0" applyProtection="0"/>
    <xf numFmtId="43" fontId="85"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7" fillId="61" borderId="0">
      <alignment horizontal="left"/>
    </xf>
    <xf numFmtId="0" fontId="27"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6"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88" fillId="59" borderId="0">
      <alignment horizontal="right"/>
    </xf>
    <xf numFmtId="0" fontId="89" fillId="59" borderId="0">
      <alignment horizontal="right"/>
    </xf>
    <xf numFmtId="0" fontId="90" fillId="59" borderId="11"/>
    <xf numFmtId="0" fontId="90" fillId="0" borderId="0" applyBorder="0">
      <alignment horizontal="centerContinuous"/>
    </xf>
    <xf numFmtId="0" fontId="91" fillId="0" borderId="0" applyBorder="0">
      <alignment horizontal="centerContinuous"/>
    </xf>
    <xf numFmtId="9" fontId="84" fillId="0" borderId="0" applyFont="0" applyFill="0" applyBorder="0" applyAlignment="0" applyProtection="0"/>
    <xf numFmtId="0" fontId="27" fillId="61" borderId="0">
      <alignment horizontal="center"/>
    </xf>
    <xf numFmtId="49" fontId="48" fillId="61" borderId="0">
      <alignment horizontal="center"/>
    </xf>
    <xf numFmtId="0" fontId="50" fillId="61" borderId="0">
      <alignment horizontal="center"/>
    </xf>
    <xf numFmtId="0" fontId="50" fillId="61" borderId="0">
      <alignment horizontal="centerContinuous"/>
    </xf>
    <xf numFmtId="0" fontId="63" fillId="61" borderId="0">
      <alignment horizontal="left"/>
    </xf>
    <xf numFmtId="49" fontId="63" fillId="61" borderId="0">
      <alignment horizontal="center"/>
    </xf>
    <xf numFmtId="0" fontId="27" fillId="61" borderId="0">
      <alignment horizontal="left"/>
    </xf>
    <xf numFmtId="49" fontId="63" fillId="61" borderId="0">
      <alignment horizontal="left"/>
    </xf>
    <xf numFmtId="0" fontId="27" fillId="61" borderId="0">
      <alignment horizontal="centerContinuous"/>
    </xf>
    <xf numFmtId="0" fontId="27" fillId="61" borderId="0">
      <alignment horizontal="right"/>
    </xf>
    <xf numFmtId="49" fontId="27" fillId="61" borderId="0">
      <alignment horizontal="left"/>
    </xf>
    <xf numFmtId="0" fontId="50" fillId="61" borderId="0">
      <alignment horizontal="right"/>
    </xf>
    <xf numFmtId="0" fontId="63" fillId="62" borderId="0">
      <alignment horizontal="center"/>
    </xf>
    <xf numFmtId="0" fontId="54"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2"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5" fillId="0" borderId="0" applyFont="0" applyFill="0" applyBorder="0" applyAlignment="0" applyProtection="0"/>
    <xf numFmtId="8" fontId="95" fillId="0" borderId="0" applyFont="0" applyFill="0" applyBorder="0" applyAlignment="0" applyProtection="0"/>
    <xf numFmtId="9" fontId="95"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2" fillId="0" borderId="0"/>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5" fillId="0" borderId="0"/>
    <xf numFmtId="9" fontId="35" fillId="0" borderId="0" applyFont="0" applyFill="0" applyBorder="0" applyAlignment="0" applyProtection="0"/>
    <xf numFmtId="43" fontId="35"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6" fillId="0" borderId="22">
      <alignment horizontal="left" vertical="center"/>
    </xf>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protection locked="0"/>
    </xf>
    <xf numFmtId="0" fontId="32" fillId="0" borderId="0"/>
    <xf numFmtId="0" fontId="1" fillId="0" borderId="0"/>
    <xf numFmtId="0" fontId="1" fillId="0" borderId="0"/>
    <xf numFmtId="0" fontId="1" fillId="0" borderId="0"/>
    <xf numFmtId="0" fontId="44" fillId="0" borderId="0"/>
    <xf numFmtId="0" fontId="32"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4" fontId="27" fillId="38" borderId="39" applyNumberFormat="0" applyProtection="0">
      <alignment horizontal="left" vertical="center" indent="1"/>
    </xf>
    <xf numFmtId="0" fontId="27" fillId="38" borderId="39" applyNumberFormat="0" applyProtection="0">
      <alignment horizontal="left" vertical="top" indent="1"/>
    </xf>
    <xf numFmtId="4" fontId="27" fillId="34" borderId="39" applyNumberFormat="0" applyProtection="0"/>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4" fontId="25" fillId="49" borderId="39" applyNumberFormat="0" applyProtection="0">
      <alignment horizontal="right" vertical="center"/>
    </xf>
    <xf numFmtId="0" fontId="34" fillId="0" borderId="27" applyNumberFormat="0" applyFont="0" applyFill="0" applyAlignment="0" applyProtection="0"/>
    <xf numFmtId="0" fontId="56"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horizontal="left" vertical="center" indent="1"/>
    </xf>
    <xf numFmtId="4" fontId="27" fillId="38" borderId="39" applyNumberFormat="0" applyProtection="0">
      <alignment vertical="center"/>
    </xf>
    <xf numFmtId="4" fontId="27" fillId="34" borderId="39" applyNumberFormat="0" applyProtection="0"/>
    <xf numFmtId="4" fontId="27" fillId="34" borderId="39" applyNumberFormat="0" applyProtection="0"/>
    <xf numFmtId="4" fontId="27" fillId="34" borderId="39" applyNumberFormat="0" applyProtection="0"/>
    <xf numFmtId="4" fontId="27" fillId="34" borderId="39" applyNumberFormat="0" applyProtection="0"/>
    <xf numFmtId="4" fontId="27"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right" vertical="center"/>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0" borderId="39" applyNumberFormat="0" applyProtection="0">
      <alignment horizontal="left" vertical="center" indent="1"/>
    </xf>
    <xf numFmtId="4" fontId="47" fillId="59" borderId="39" applyNumberFormat="0" applyProtection="0">
      <alignment horizontal="left" vertical="center" indent="1"/>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left" vertical="top"/>
    </xf>
    <xf numFmtId="0" fontId="47" fillId="34" borderId="39" applyNumberFormat="0" applyProtection="0">
      <alignment horizontal="center" vertical="top"/>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0" fontId="19" fillId="0" borderId="0"/>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41"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6" fillId="0" borderId="22">
      <alignment horizontal="left" vertical="center"/>
    </xf>
    <xf numFmtId="0" fontId="1" fillId="0" borderId="0"/>
    <xf numFmtId="43" fontId="1" fillId="0" borderId="0" applyFont="0" applyFill="0" applyBorder="0" applyAlignment="0" applyProtection="0"/>
    <xf numFmtId="4" fontId="47"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7" fillId="38" borderId="39" applyNumberFormat="0" applyProtection="0">
      <alignment horizontal="left" vertical="center" indent="1"/>
    </xf>
    <xf numFmtId="4" fontId="47" fillId="0"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7"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7"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7" fillId="59" borderId="0">
      <alignment horizontal="right"/>
    </xf>
    <xf numFmtId="0" fontId="27"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6" fillId="0" borderId="0" applyFont="0" applyFill="0" applyBorder="0" applyAlignment="0" applyProtection="0"/>
    <xf numFmtId="9" fontId="96"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7" fillId="0" borderId="0" applyNumberFormat="0" applyFill="0" applyBorder="0" applyAlignment="0" applyProtection="0">
      <alignment vertical="top"/>
      <protection locked="0"/>
    </xf>
    <xf numFmtId="0" fontId="67" fillId="0" borderId="0"/>
    <xf numFmtId="9" fontId="67" fillId="0" borderId="0" applyFont="0" applyFill="0" applyBorder="0" applyAlignment="0" applyProtection="0"/>
    <xf numFmtId="43" fontId="67" fillId="0" borderId="0" applyFont="0" applyFill="0" applyBorder="0" applyAlignment="0" applyProtection="0"/>
    <xf numFmtId="44" fontId="96" fillId="0" borderId="0" applyFont="0" applyFill="0" applyBorder="0" applyAlignment="0" applyProtection="0"/>
    <xf numFmtId="9" fontId="96" fillId="0" borderId="0" applyFont="0" applyFill="0" applyBorder="0" applyAlignment="0" applyProtection="0"/>
    <xf numFmtId="43" fontId="96"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6" fillId="0" borderId="0" applyFont="0" applyFill="0" applyBorder="0" applyAlignment="0" applyProtection="0"/>
    <xf numFmtId="0" fontId="1" fillId="0" borderId="0"/>
    <xf numFmtId="9" fontId="96" fillId="0" borderId="0" applyFont="0" applyFill="0" applyBorder="0" applyAlignment="0" applyProtection="0"/>
    <xf numFmtId="0" fontId="47"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69" fillId="0" borderId="0" applyProtection="0"/>
    <xf numFmtId="3" fontId="65" fillId="0" borderId="0" applyProtection="0"/>
    <xf numFmtId="3" fontId="98" fillId="0" borderId="0" applyProtection="0"/>
    <xf numFmtId="3" fontId="67" fillId="0" borderId="0" applyProtection="0"/>
    <xf numFmtId="3" fontId="71" fillId="0" borderId="0" applyProtection="0"/>
    <xf numFmtId="3" fontId="21" fillId="0" borderId="0" applyProtection="0"/>
    <xf numFmtId="3" fontId="72" fillId="0" borderId="0" applyProtection="0"/>
    <xf numFmtId="2" fontId="19" fillId="0" borderId="0" applyFont="0" applyFill="0" applyBorder="0" applyAlignment="0" applyProtection="0"/>
    <xf numFmtId="0" fontId="28" fillId="0" borderId="0" applyNumberFormat="0" applyFill="0" applyBorder="0" applyAlignment="0" applyProtection="0"/>
    <xf numFmtId="0" fontId="26"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2"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5" borderId="0" applyNumberFormat="0" applyBorder="0" applyAlignment="0" applyProtection="0"/>
    <xf numFmtId="0" fontId="19" fillId="0" borderId="0" applyFont="0" applyFill="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0" fontId="100" fillId="66" borderId="0" applyNumberFormat="0" applyBorder="0" applyAlignment="0" applyProtection="0"/>
    <xf numFmtId="3" fontId="19" fillId="0" borderId="0" applyFont="0" applyFill="0" applyBorder="0" applyAlignment="0" applyProtection="0"/>
    <xf numFmtId="0" fontId="99" fillId="67" borderId="0" applyNumberFormat="0" applyBorder="0" applyAlignment="0" applyProtection="0"/>
    <xf numFmtId="0" fontId="99" fillId="68" borderId="0" applyNumberFormat="0" applyBorder="0" applyAlignment="0" applyProtection="0"/>
    <xf numFmtId="0" fontId="100" fillId="69"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100" fillId="70" borderId="0" applyNumberFormat="0" applyBorder="0" applyAlignment="0" applyProtection="0"/>
    <xf numFmtId="0" fontId="23" fillId="0" borderId="0" applyNumberFormat="0" applyFill="0" applyBorder="0" applyAlignment="0" applyProtection="0"/>
    <xf numFmtId="0" fontId="99" fillId="71" borderId="0" applyNumberFormat="0" applyBorder="0" applyAlignment="0" applyProtection="0"/>
    <xf numFmtId="0" fontId="99" fillId="72" borderId="0" applyNumberFormat="0" applyBorder="0" applyAlignment="0" applyProtection="0"/>
    <xf numFmtId="0" fontId="100" fillId="73"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100" fillId="69"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100" fillId="73" borderId="0" applyNumberFormat="0" applyBorder="0" applyAlignment="0" applyProtection="0"/>
    <xf numFmtId="0" fontId="23" fillId="0" borderId="0" applyNumberFormat="0" applyFill="0" applyBorder="0" applyAlignment="0" applyProtection="0"/>
    <xf numFmtId="3" fontId="19" fillId="0" borderId="0" applyFont="0" applyFill="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100" fillId="74" borderId="0" applyNumberFormat="0" applyBorder="0" applyAlignment="0" applyProtection="0"/>
    <xf numFmtId="0" fontId="99" fillId="63" borderId="0" applyNumberFormat="0" applyBorder="0" applyAlignment="0" applyProtection="0"/>
    <xf numFmtId="0" fontId="99" fillId="64" borderId="0" applyNumberFormat="0" applyBorder="0" applyAlignment="0" applyProtection="0"/>
    <xf numFmtId="0" fontId="100" fillId="64"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99" fillId="76" borderId="0" applyNumberFormat="0" applyBorder="0" applyAlignment="0" applyProtection="0"/>
    <xf numFmtId="0" fontId="99" fillId="68"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01" fillId="68" borderId="0" applyNumberFormat="0" applyBorder="0" applyAlignment="0" applyProtection="0"/>
    <xf numFmtId="0" fontId="19" fillId="0" borderId="37" applyNumberFormat="0" applyFill="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103" fillId="69" borderId="41" applyNumberFormat="0" applyAlignment="0" applyProtection="0"/>
    <xf numFmtId="0" fontId="21" fillId="0" borderId="0" applyNumberFormat="0" applyFill="0" applyBorder="0" applyAlignment="0" applyProtection="0"/>
    <xf numFmtId="1" fontId="24" fillId="0" borderId="0" applyFont="0" applyFill="0" applyBorder="0" applyAlignment="0" applyProtection="0">
      <protection locked="0"/>
    </xf>
    <xf numFmtId="0" fontId="65" fillId="0" borderId="0" applyFont="0" applyFill="0" applyBorder="0" applyAlignment="0" applyProtection="0"/>
    <xf numFmtId="43" fontId="96" fillId="0" borderId="0" applyFont="0" applyFill="0" applyBorder="0" applyAlignment="0" applyProtection="0"/>
    <xf numFmtId="43" fontId="19" fillId="0" borderId="0" applyFont="0" applyFill="0" applyBorder="0" applyAlignment="0" applyProtection="0"/>
    <xf numFmtId="43" fontId="55"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7" fillId="0" borderId="0" applyFont="0" applyFill="0" applyBorder="0" applyAlignment="0" applyProtection="0"/>
    <xf numFmtId="8" fontId="65" fillId="0" borderId="0" applyFont="0" applyFill="0" applyBorder="0" applyAlignment="0" applyProtection="0"/>
    <xf numFmtId="0" fontId="65" fillId="0" borderId="0" applyFont="0" applyFill="0" applyBorder="0" applyAlignment="0" applyProtection="0"/>
    <xf numFmtId="44" fontId="104"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7"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5" fillId="80" borderId="0" applyNumberFormat="0" applyBorder="0" applyAlignment="0" applyProtection="0"/>
    <xf numFmtId="0" fontId="105" fillId="81" borderId="0" applyNumberFormat="0" applyBorder="0" applyAlignment="0" applyProtection="0"/>
    <xf numFmtId="0" fontId="105" fillId="82" borderId="0" applyNumberFormat="0" applyBorder="0" applyAlignment="0" applyProtection="0"/>
    <xf numFmtId="3" fontId="69" fillId="0" borderId="0" applyFill="0" applyBorder="0" applyAlignment="0" applyProtection="0"/>
    <xf numFmtId="3" fontId="65" fillId="0" borderId="0" applyFill="0" applyBorder="0" applyAlignment="0" applyProtection="0"/>
    <xf numFmtId="3" fontId="70" fillId="0" borderId="0" applyFill="0" applyBorder="0" applyAlignment="0" applyProtection="0"/>
    <xf numFmtId="3" fontId="33" fillId="0" borderId="0" applyFill="0" applyBorder="0" applyAlignment="0" applyProtection="0"/>
    <xf numFmtId="3" fontId="71" fillId="0" borderId="0" applyFill="0" applyBorder="0" applyAlignment="0" applyProtection="0"/>
    <xf numFmtId="3" fontId="21" fillId="0" borderId="0" applyFill="0" applyBorder="0" applyAlignment="0" applyProtection="0"/>
    <xf numFmtId="3" fontId="72"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0" fontId="106" fillId="83" borderId="0" applyNumberFormat="0" applyBorder="0" applyAlignment="0" applyProtection="0"/>
    <xf numFmtId="3" fontId="19" fillId="0" borderId="0" applyFont="0" applyFill="0" applyBorder="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7" fillId="0" borderId="42"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8" fillId="0" borderId="43"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44" applyNumberFormat="0" applyFill="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109" fillId="0" borderId="0" applyNumberFormat="0" applyFill="0" applyBorder="0" applyAlignment="0" applyProtection="0"/>
    <xf numFmtId="0" fontId="26"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11" fillId="0" borderId="45" applyNumberFormat="0" applyFill="0" applyAlignment="0" applyProtection="0"/>
    <xf numFmtId="0" fontId="19" fillId="0" borderId="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12" fillId="77" borderId="0" applyNumberFormat="0" applyBorder="0" applyAlignment="0" applyProtection="0"/>
    <xf numFmtId="0" fontId="19" fillId="0" borderId="0"/>
    <xf numFmtId="0" fontId="67" fillId="0" borderId="0"/>
    <xf numFmtId="0" fontId="67" fillId="0" borderId="0"/>
    <xf numFmtId="0" fontId="1" fillId="0" borderId="0"/>
    <xf numFmtId="0" fontId="113" fillId="0" borderId="0"/>
    <xf numFmtId="0" fontId="19" fillId="0" borderId="0"/>
    <xf numFmtId="0" fontId="19" fillId="0" borderId="0"/>
    <xf numFmtId="0" fontId="19" fillId="0" borderId="0"/>
    <xf numFmtId="0" fontId="5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4"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4"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40" fontId="47" fillId="59" borderId="0">
      <alignment horizontal="right"/>
    </xf>
    <xf numFmtId="0" fontId="23" fillId="0" borderId="0" applyNumberFormat="0" applyFill="0" applyBorder="0" applyAlignment="0" applyProtection="0"/>
    <xf numFmtId="9" fontId="104"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0" fontId="65"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0" fontId="67" fillId="0" borderId="0">
      <alignment vertical="top"/>
    </xf>
    <xf numFmtId="0" fontId="67" fillId="0" borderId="0">
      <alignment vertical="top"/>
    </xf>
    <xf numFmtId="181" fontId="67" fillId="0" borderId="0">
      <alignment vertical="top"/>
    </xf>
    <xf numFmtId="0" fontId="67" fillId="0" borderId="0">
      <alignment vertical="top"/>
    </xf>
    <xf numFmtId="0" fontId="67" fillId="0" borderId="0">
      <alignment vertical="top"/>
    </xf>
    <xf numFmtId="0" fontId="67" fillId="0" borderId="0">
      <alignment vertical="top"/>
    </xf>
    <xf numFmtId="181" fontId="67" fillId="0" borderId="0">
      <alignment vertical="top"/>
    </xf>
    <xf numFmtId="181" fontId="67" fillId="0" borderId="0">
      <alignment vertical="top"/>
    </xf>
    <xf numFmtId="37" fontId="115" fillId="0" borderId="0" applyNumberFormat="0" applyFill="0" applyBorder="0" applyAlignment="0" applyProtection="0"/>
    <xf numFmtId="0" fontId="23" fillId="0" borderId="0" applyNumberFormat="0" applyFill="0" applyBorder="0" applyAlignment="0" applyProtection="0"/>
    <xf numFmtId="4" fontId="48" fillId="84" borderId="0" applyNumberFormat="0" applyProtection="0">
      <alignment horizontal="left" vertical="center" indent="1"/>
    </xf>
    <xf numFmtId="4" fontId="48" fillId="84" borderId="0" applyNumberFormat="0" applyProtection="0">
      <alignment horizontal="left" vertical="center" indent="1"/>
    </xf>
    <xf numFmtId="1" fontId="24" fillId="0" borderId="0" applyFont="0" applyFill="0" applyBorder="0" applyAlignment="0" applyProtection="0">
      <protection locked="0"/>
    </xf>
    <xf numFmtId="4" fontId="47" fillId="49" borderId="0" applyNumberFormat="0" applyProtection="0">
      <alignment horizontal="left" vertical="center" indent="1"/>
    </xf>
    <xf numFmtId="4" fontId="47" fillId="49" borderId="0" applyNumberFormat="0" applyProtection="0">
      <alignment horizontal="left" vertical="center" indent="1"/>
    </xf>
    <xf numFmtId="4" fontId="47" fillId="51" borderId="0" applyNumberFormat="0" applyProtection="0">
      <alignment horizontal="left" vertical="center" indent="1"/>
    </xf>
    <xf numFmtId="4" fontId="47"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3"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6" fillId="0" borderId="0" applyNumberFormat="0" applyFill="0" applyBorder="0" applyAlignment="0" applyProtection="0"/>
    <xf numFmtId="0" fontId="19" fillId="0" borderId="0">
      <alignment horizontal="left" wrapText="1"/>
    </xf>
    <xf numFmtId="18" fontId="63" fillId="59" borderId="0" applyFont="0" applyFill="0" applyBorder="0" applyAlignment="0" applyProtection="0">
      <protection locked="0"/>
    </xf>
    <xf numFmtId="0" fontId="2" fillId="0" borderId="0" applyNumberFormat="0" applyFill="0" applyBorder="0" applyAlignment="0" applyProtection="0"/>
    <xf numFmtId="0" fontId="22"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38" fontId="47" fillId="0" borderId="15" applyFill="0" applyBorder="0" applyAlignment="0" applyProtection="0">
      <protection locked="0"/>
    </xf>
    <xf numFmtId="0" fontId="65" fillId="0" borderId="49" applyNumberFormat="0" applyFon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9" fontId="32" fillId="0" borderId="0" applyFont="0" applyFill="0" applyBorder="0" applyAlignment="0" applyProtection="0"/>
    <xf numFmtId="44" fontId="32"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6"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7" fillId="0" borderId="0">
      <alignment vertical="top"/>
    </xf>
    <xf numFmtId="175" fontId="32" fillId="0" borderId="0" applyFont="0" applyFill="0" applyBorder="0" applyProtection="0"/>
    <xf numFmtId="175" fontId="32" fillId="0" borderId="0" applyFont="0" applyFill="0" applyBorder="0" applyProtection="0"/>
    <xf numFmtId="175" fontId="32" fillId="0" borderId="0" applyFont="0" applyFill="0" applyBorder="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7" fillId="0" borderId="0">
      <alignment vertical="top"/>
    </xf>
    <xf numFmtId="175" fontId="32" fillId="0" borderId="0" applyFont="0" applyFill="0" applyBorder="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7" fillId="0" borderId="0">
      <alignment vertical="top"/>
    </xf>
    <xf numFmtId="37" fontId="19" fillId="0" borderId="0" applyFill="0" applyBorder="0" applyAlignment="0" applyProtection="0"/>
    <xf numFmtId="0" fontId="67" fillId="0" borderId="0">
      <alignment vertical="top"/>
    </xf>
    <xf numFmtId="0" fontId="67" fillId="0" borderId="0">
      <alignment vertical="top"/>
    </xf>
    <xf numFmtId="0" fontId="67" fillId="0" borderId="0">
      <alignment vertical="top"/>
    </xf>
    <xf numFmtId="0" fontId="67" fillId="0" borderId="0">
      <alignment vertical="top"/>
    </xf>
    <xf numFmtId="175" fontId="32" fillId="0" borderId="0" applyFont="0" applyFill="0" applyBorder="0" applyProtection="0"/>
    <xf numFmtId="0" fontId="1" fillId="0" borderId="0"/>
    <xf numFmtId="0" fontId="67"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2" fillId="0" borderId="0" applyFont="0" applyFill="0" applyBorder="0" applyProtection="0"/>
    <xf numFmtId="0" fontId="67"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7" fillId="0" borderId="0">
      <alignment vertical="top"/>
    </xf>
    <xf numFmtId="0" fontId="19" fillId="0" borderId="0"/>
    <xf numFmtId="0" fontId="19" fillId="0" borderId="0"/>
    <xf numFmtId="0" fontId="67" fillId="0" borderId="0">
      <alignment vertical="top"/>
    </xf>
    <xf numFmtId="0" fontId="67" fillId="0" borderId="0">
      <alignment vertical="top"/>
    </xf>
    <xf numFmtId="37" fontId="19" fillId="0" borderId="0" applyFill="0" applyBorder="0" applyAlignment="0" applyProtection="0"/>
    <xf numFmtId="0" fontId="67"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7"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7"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7"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7" fillId="0" borderId="0">
      <alignment vertical="top"/>
    </xf>
    <xf numFmtId="0" fontId="67"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1" fontId="24" fillId="0" borderId="0" applyFont="0" applyFill="0" applyBorder="0" applyAlignment="0" applyProtection="0">
      <protection locked="0"/>
    </xf>
    <xf numFmtId="1" fontId="24" fillId="0" borderId="0" applyFont="0" applyFill="0" applyBorder="0" applyAlignment="0" applyProtection="0">
      <protection locked="0"/>
    </xf>
    <xf numFmtId="3" fontId="19" fillId="0" borderId="0" applyFont="0" applyFill="0" applyBorder="0" applyAlignment="0" applyProtection="0"/>
    <xf numFmtId="12" fontId="26" fillId="36" borderId="49">
      <alignment horizontal="left"/>
    </xf>
    <xf numFmtId="0" fontId="24" fillId="59" borderId="50" applyNumberFormat="0" applyFont="0" applyAlignment="0" applyProtection="0">
      <protection locked="0"/>
    </xf>
    <xf numFmtId="0" fontId="19" fillId="0" borderId="0" applyFont="0" applyFill="0" applyBorder="0" applyAlignment="0" applyProtection="0"/>
    <xf numFmtId="0" fontId="63" fillId="59" borderId="50" applyNumberFormat="0" applyFont="0" applyFill="0" applyAlignment="0" applyProtection="0">
      <protection locked="0"/>
    </xf>
    <xf numFmtId="1" fontId="24"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9" fillId="0" borderId="0"/>
    <xf numFmtId="0" fontId="23"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10" fontId="21" fillId="35" borderId="14" applyNumberFormat="0" applyBorder="0" applyAlignment="0" applyProtection="0"/>
    <xf numFmtId="0" fontId="19" fillId="0" borderId="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0" fontId="23" fillId="0" borderId="0" applyNumberFormat="0" applyFill="0" applyBorder="0" applyAlignment="0" applyProtection="0"/>
    <xf numFmtId="4" fontId="25" fillId="49" borderId="39" applyNumberFormat="0" applyProtection="0">
      <alignment horizontal="right" vertical="center"/>
    </xf>
    <xf numFmtId="0" fontId="47" fillId="34" borderId="39" applyNumberFormat="0" applyProtection="0">
      <alignment horizontal="left" vertical="top"/>
    </xf>
    <xf numFmtId="4" fontId="47" fillId="0" borderId="39" applyNumberFormat="0" applyProtection="0">
      <alignment horizontal="left" vertical="center" indent="1"/>
    </xf>
    <xf numFmtId="4" fontId="51" fillId="49" borderId="39" applyNumberFormat="0" applyProtection="0">
      <alignment horizontal="right" vertical="center"/>
    </xf>
    <xf numFmtId="4" fontId="47" fillId="0" borderId="39" applyNumberFormat="0" applyProtection="0">
      <alignment horizontal="right" vertical="center"/>
    </xf>
    <xf numFmtId="0" fontId="47" fillId="35" borderId="39" applyNumberFormat="0" applyProtection="0">
      <alignment horizontal="left" vertical="top" indent="1"/>
    </xf>
    <xf numFmtId="4" fontId="47" fillId="35" borderId="39" applyNumberFormat="0" applyProtection="0">
      <alignment horizontal="left" vertical="center" indent="1"/>
    </xf>
    <xf numFmtId="4" fontId="51" fillId="35" borderId="39" applyNumberFormat="0" applyProtection="0">
      <alignment vertical="center"/>
    </xf>
    <xf numFmtId="4" fontId="47"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4" fillId="0" borderId="0" applyFont="0" applyFill="0" applyBorder="0" applyAlignment="0" applyProtection="0">
      <protection locked="0"/>
    </xf>
    <xf numFmtId="1" fontId="24" fillId="0" borderId="0" applyFont="0" applyFill="0" applyBorder="0" applyAlignment="0" applyProtection="0">
      <protection locked="0"/>
    </xf>
    <xf numFmtId="0" fontId="23" fillId="0" borderId="0" applyNumberFormat="0" applyFill="0" applyBorder="0" applyAlignment="0" applyProtection="0"/>
    <xf numFmtId="4" fontId="47" fillId="51" borderId="39" applyNumberFormat="0" applyProtection="0">
      <alignment horizontal="right" vertical="center"/>
    </xf>
    <xf numFmtId="4" fontId="47" fillId="47" borderId="39" applyNumberFormat="0" applyProtection="0">
      <alignment horizontal="right" vertical="center"/>
    </xf>
    <xf numFmtId="4" fontId="47" fillId="46" borderId="39" applyNumberFormat="0" applyProtection="0">
      <alignment horizontal="right" vertical="center"/>
    </xf>
    <xf numFmtId="4" fontId="47" fillId="45" borderId="39" applyNumberFormat="0" applyProtection="0">
      <alignment horizontal="right" vertical="center"/>
    </xf>
    <xf numFmtId="4" fontId="47" fillId="44" borderId="39" applyNumberFormat="0" applyProtection="0">
      <alignment horizontal="right" vertical="center"/>
    </xf>
    <xf numFmtId="4" fontId="47" fillId="43" borderId="39" applyNumberFormat="0" applyProtection="0">
      <alignment horizontal="right" vertical="center"/>
    </xf>
    <xf numFmtId="4" fontId="47" fillId="42" borderId="39" applyNumberFormat="0" applyProtection="0">
      <alignment horizontal="right" vertical="center"/>
    </xf>
    <xf numFmtId="4" fontId="47" fillId="41" borderId="39" applyNumberFormat="0" applyProtection="0">
      <alignment horizontal="right" vertical="center"/>
    </xf>
    <xf numFmtId="4" fontId="47" fillId="40" borderId="39" applyNumberFormat="0" applyProtection="0">
      <alignment horizontal="right" vertical="center"/>
    </xf>
    <xf numFmtId="4" fontId="47" fillId="39" borderId="39" applyNumberFormat="0" applyProtection="0">
      <alignment horizontal="right" vertical="center"/>
    </xf>
    <xf numFmtId="0" fontId="27" fillId="38" borderId="39" applyNumberFormat="0" applyProtection="0">
      <alignment horizontal="left" vertical="top" indent="1"/>
    </xf>
    <xf numFmtId="4" fontId="27" fillId="38" borderId="39" applyNumberFormat="0" applyProtection="0">
      <alignment horizontal="left" vertical="center" indent="1"/>
    </xf>
    <xf numFmtId="4" fontId="46" fillId="38" borderId="39" applyNumberFormat="0" applyProtection="0">
      <alignment vertical="center"/>
    </xf>
    <xf numFmtId="4" fontId="27" fillId="37" borderId="39" applyNumberFormat="0" applyProtection="0">
      <alignment vertical="center"/>
    </xf>
    <xf numFmtId="3" fontId="19" fillId="0" borderId="0" applyFont="0" applyFill="0" applyBorder="0" applyAlignment="0" applyProtection="0"/>
    <xf numFmtId="0" fontId="63" fillId="59" borderId="50" applyNumberFormat="0" applyFont="0" applyFill="0" applyAlignment="0" applyProtection="0">
      <protection locked="0"/>
    </xf>
    <xf numFmtId="0" fontId="19" fillId="0" borderId="0"/>
    <xf numFmtId="0" fontId="19" fillId="0" borderId="0"/>
    <xf numFmtId="0" fontId="23" fillId="0" borderId="0" applyNumberFormat="0" applyFill="0" applyBorder="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23" fillId="0" borderId="0" applyNumberFormat="0" applyFill="0" applyBorder="0" applyAlignment="0" applyProtection="0"/>
    <xf numFmtId="0" fontId="1" fillId="0" borderId="0"/>
    <xf numFmtId="0" fontId="2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4"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4" fillId="59" borderId="50" applyNumberFormat="0" applyFont="0" applyAlignment="0" applyProtection="0">
      <protection locked="0"/>
    </xf>
    <xf numFmtId="1" fontId="24"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4"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6"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4"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23" fillId="0" borderId="0" applyNumberFormat="0" applyFill="0" applyBorder="0" applyAlignment="0" applyProtection="0"/>
    <xf numFmtId="0" fontId="105" fillId="0" borderId="48" applyNumberFormat="0" applyFill="0" applyAlignment="0" applyProtection="0"/>
    <xf numFmtId="0" fontId="105"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4"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4" fillId="0" borderId="0" applyFont="0" applyFill="0" applyBorder="0" applyAlignment="0" applyProtection="0">
      <protection locked="0"/>
    </xf>
    <xf numFmtId="0" fontId="23"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4"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3" fillId="0" borderId="0" applyNumberFormat="0" applyFill="0" applyBorder="0" applyAlignment="0" applyProtection="0"/>
    <xf numFmtId="1" fontId="24"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0" fontId="102"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10"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0" fontId="114"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7" fillId="37" borderId="39" applyNumberFormat="0" applyProtection="0">
      <alignment vertical="center"/>
    </xf>
    <xf numFmtId="4" fontId="46" fillId="38" borderId="39" applyNumberFormat="0" applyProtection="0">
      <alignment vertical="center"/>
    </xf>
    <xf numFmtId="4" fontId="27" fillId="38" borderId="39" applyNumberFormat="0" applyProtection="0">
      <alignment horizontal="left" vertical="center" indent="1"/>
    </xf>
    <xf numFmtId="0" fontId="27" fillId="38" borderId="39" applyNumberFormat="0" applyProtection="0">
      <alignment horizontal="left" vertical="top" indent="1"/>
    </xf>
    <xf numFmtId="4" fontId="47" fillId="39" borderId="39" applyNumberFormat="0" applyProtection="0">
      <alignment horizontal="right" vertical="center"/>
    </xf>
    <xf numFmtId="4" fontId="47" fillId="40" borderId="39" applyNumberFormat="0" applyProtection="0">
      <alignment horizontal="right" vertical="center"/>
    </xf>
    <xf numFmtId="4" fontId="47" fillId="41" borderId="39" applyNumberFormat="0" applyProtection="0">
      <alignment horizontal="right" vertical="center"/>
    </xf>
    <xf numFmtId="4" fontId="47" fillId="42" borderId="39" applyNumberFormat="0" applyProtection="0">
      <alignment horizontal="right" vertical="center"/>
    </xf>
    <xf numFmtId="4" fontId="47" fillId="43" borderId="39" applyNumberFormat="0" applyProtection="0">
      <alignment horizontal="right" vertical="center"/>
    </xf>
    <xf numFmtId="4" fontId="47" fillId="44" borderId="39" applyNumberFormat="0" applyProtection="0">
      <alignment horizontal="right" vertical="center"/>
    </xf>
    <xf numFmtId="4" fontId="47" fillId="45" borderId="39" applyNumberFormat="0" applyProtection="0">
      <alignment horizontal="right" vertical="center"/>
    </xf>
    <xf numFmtId="4" fontId="47" fillId="46" borderId="39" applyNumberFormat="0" applyProtection="0">
      <alignment horizontal="right" vertical="center"/>
    </xf>
    <xf numFmtId="4" fontId="47" fillId="47" borderId="39" applyNumberFormat="0" applyProtection="0">
      <alignment horizontal="right" vertical="center"/>
    </xf>
    <xf numFmtId="4" fontId="47"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7" fillId="35" borderId="39" applyNumberFormat="0" applyProtection="0">
      <alignment vertical="center"/>
    </xf>
    <xf numFmtId="4" fontId="51" fillId="35" borderId="39" applyNumberFormat="0" applyProtection="0">
      <alignment vertical="center"/>
    </xf>
    <xf numFmtId="4" fontId="47" fillId="35" borderId="39" applyNumberFormat="0" applyProtection="0">
      <alignment horizontal="left" vertical="center" indent="1"/>
    </xf>
    <xf numFmtId="0" fontId="47" fillId="35" borderId="39" applyNumberFormat="0" applyProtection="0">
      <alignment horizontal="left" vertical="top" indent="1"/>
    </xf>
    <xf numFmtId="4" fontId="47" fillId="0" borderId="39" applyNumberFormat="0" applyProtection="0">
      <alignment horizontal="right" vertical="center"/>
    </xf>
    <xf numFmtId="4" fontId="51" fillId="49" borderId="39" applyNumberFormat="0" applyProtection="0">
      <alignment horizontal="right" vertical="center"/>
    </xf>
    <xf numFmtId="4" fontId="47" fillId="0" borderId="39" applyNumberFormat="0" applyProtection="0">
      <alignment horizontal="left" vertical="center" indent="1"/>
    </xf>
    <xf numFmtId="0" fontId="47" fillId="34" borderId="39" applyNumberFormat="0" applyProtection="0">
      <alignment horizontal="left" vertical="top"/>
    </xf>
    <xf numFmtId="4" fontId="25" fillId="49" borderId="39" applyNumberFormat="0" applyProtection="0">
      <alignment horizontal="right" vertical="center"/>
    </xf>
    <xf numFmtId="0" fontId="20" fillId="0" borderId="14">
      <alignment horizontal="center" vertical="center" wrapText="1"/>
    </xf>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0" fontId="105"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6" fillId="0" borderId="53">
      <alignment horizontal="left" vertical="center"/>
    </xf>
    <xf numFmtId="4" fontId="27" fillId="34" borderId="57" applyNumberFormat="0" applyProtection="0">
      <alignment vertical="center"/>
    </xf>
    <xf numFmtId="4" fontId="47" fillId="0" borderId="63" applyNumberFormat="0" applyProtection="0">
      <alignment horizontal="right" vertical="center"/>
    </xf>
    <xf numFmtId="0" fontId="19" fillId="51" borderId="63" applyNumberFormat="0" applyProtection="0">
      <alignment horizontal="left" vertical="center" indent="1"/>
    </xf>
    <xf numFmtId="4" fontId="27" fillId="37" borderId="63" applyNumberFormat="0" applyProtection="0">
      <alignment vertical="center"/>
    </xf>
    <xf numFmtId="0" fontId="110" fillId="77" borderId="62" applyNumberFormat="0" applyAlignment="0" applyProtection="0"/>
    <xf numFmtId="0" fontId="24" fillId="59" borderId="61" applyNumberFormat="0" applyFont="0" applyAlignment="0" applyProtection="0">
      <protection locked="0"/>
    </xf>
    <xf numFmtId="0" fontId="102" fillId="79" borderId="62" applyNumberFormat="0" applyAlignment="0" applyProtection="0"/>
    <xf numFmtId="4" fontId="47" fillId="42" borderId="63" applyNumberFormat="0" applyProtection="0">
      <alignment horizontal="right" vertical="center"/>
    </xf>
    <xf numFmtId="0" fontId="19" fillId="51" borderId="63" applyNumberFormat="0" applyProtection="0">
      <alignment horizontal="left" vertical="top" indent="1"/>
    </xf>
    <xf numFmtId="4" fontId="25" fillId="49" borderId="63" applyNumberFormat="0" applyProtection="0">
      <alignment horizontal="right" vertical="center"/>
    </xf>
    <xf numFmtId="0" fontId="114"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7" fillId="35" borderId="63" applyNumberFormat="0" applyProtection="0">
      <alignment horizontal="left" vertical="top" indent="1"/>
    </xf>
    <xf numFmtId="0" fontId="19" fillId="34" borderId="63" applyNumberFormat="0" applyProtection="0">
      <alignment horizontal="left" vertical="center" indent="1"/>
    </xf>
    <xf numFmtId="0" fontId="102" fillId="79" borderId="62" applyNumberFormat="0" applyAlignment="0" applyProtection="0"/>
    <xf numFmtId="4" fontId="47" fillId="43" borderId="63" applyNumberFormat="0" applyProtection="0">
      <alignment horizontal="right" vertical="center"/>
    </xf>
    <xf numFmtId="0" fontId="19" fillId="54" borderId="63" applyNumberFormat="0" applyProtection="0">
      <alignment horizontal="left" vertical="center" indent="1"/>
    </xf>
    <xf numFmtId="0" fontId="114" fillId="79" borderId="59" applyNumberFormat="0" applyAlignment="0" applyProtection="0"/>
    <xf numFmtId="4" fontId="25" fillId="49" borderId="63" applyNumberFormat="0" applyProtection="0">
      <alignment horizontal="right" vertical="center"/>
    </xf>
    <xf numFmtId="0" fontId="19" fillId="51" borderId="63" applyNumberFormat="0" applyProtection="0">
      <alignment horizontal="left" vertical="top" indent="1"/>
    </xf>
    <xf numFmtId="4" fontId="47" fillId="39" borderId="63" applyNumberFormat="0" applyProtection="0">
      <alignment horizontal="right" vertical="center"/>
    </xf>
    <xf numFmtId="0" fontId="19" fillId="76" borderId="58" applyNumberFormat="0" applyFont="0" applyAlignment="0" applyProtection="0"/>
    <xf numFmtId="0" fontId="105" fillId="0" borderId="60" applyNumberFormat="0" applyFill="0" applyAlignment="0" applyProtection="0"/>
    <xf numFmtId="0" fontId="27" fillId="38" borderId="63" applyNumberFormat="0" applyProtection="0">
      <alignment horizontal="left" vertical="top" indent="1"/>
    </xf>
    <xf numFmtId="0" fontId="19" fillId="51" borderId="63" applyNumberFormat="0" applyProtection="0">
      <alignment horizontal="left" vertical="center" indent="1"/>
    </xf>
    <xf numFmtId="4" fontId="47" fillId="0" borderId="63" applyNumberFormat="0" applyProtection="0">
      <alignment horizontal="right" vertical="center"/>
    </xf>
    <xf numFmtId="0" fontId="105"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3" applyNumberFormat="0" applyProtection="0">
      <alignment horizontal="left" vertical="center" indent="1"/>
    </xf>
    <xf numFmtId="4" fontId="47" fillId="51" borderId="63" applyNumberFormat="0" applyProtection="0">
      <alignment horizontal="right" vertical="center"/>
    </xf>
    <xf numFmtId="0" fontId="114" fillId="79" borderId="59" applyNumberFormat="0" applyAlignment="0" applyProtection="0"/>
    <xf numFmtId="0" fontId="114" fillId="79" borderId="59" applyNumberFormat="0" applyAlignment="0" applyProtection="0"/>
    <xf numFmtId="0" fontId="19" fillId="49" borderId="63" applyNumberFormat="0" applyProtection="0">
      <alignment horizontal="left" vertical="center" indent="1"/>
    </xf>
    <xf numFmtId="0" fontId="105" fillId="0" borderId="60" applyNumberFormat="0" applyFill="0" applyAlignment="0" applyProtection="0"/>
    <xf numFmtId="0" fontId="19" fillId="85" borderId="63" applyNumberFormat="0" applyProtection="0">
      <alignment horizontal="left" vertical="center" indent="1"/>
    </xf>
    <xf numFmtId="4" fontId="47" fillId="41" borderId="63" applyNumberFormat="0" applyProtection="0">
      <alignment horizontal="right" vertical="center"/>
    </xf>
    <xf numFmtId="0" fontId="19" fillId="76" borderId="58" applyNumberFormat="0" applyFont="0" applyAlignment="0" applyProtection="0"/>
    <xf numFmtId="4" fontId="46" fillId="38" borderId="63" applyNumberFormat="0" applyProtection="0">
      <alignment vertical="center"/>
    </xf>
    <xf numFmtId="0" fontId="19" fillId="84" borderId="63" applyNumberFormat="0" applyProtection="0">
      <alignment horizontal="left" vertical="top" indent="1"/>
    </xf>
    <xf numFmtId="4" fontId="47" fillId="35" borderId="63" applyNumberFormat="0" applyProtection="0">
      <alignment horizontal="left" vertical="center" indent="1"/>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51"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24" fillId="59" borderId="61" applyNumberFormat="0" applyFont="0" applyAlignment="0" applyProtection="0">
      <protection locked="0"/>
    </xf>
    <xf numFmtId="4" fontId="47" fillId="43" borderId="63" applyNumberFormat="0" applyProtection="0">
      <alignment horizontal="right" vertical="center"/>
    </xf>
    <xf numFmtId="0" fontId="19" fillId="54" borderId="63" applyNumberFormat="0" applyProtection="0">
      <alignment horizontal="left" vertical="top" indent="1"/>
    </xf>
    <xf numFmtId="0" fontId="19" fillId="76" borderId="58" applyNumberFormat="0" applyFont="0" applyAlignment="0" applyProtection="0"/>
    <xf numFmtId="0" fontId="105" fillId="0" borderId="60" applyNumberFormat="0" applyFill="0" applyAlignment="0" applyProtection="0"/>
    <xf numFmtId="0" fontId="19" fillId="50" borderId="63" applyNumberFormat="0" applyProtection="0">
      <alignment horizontal="left" vertical="top" indent="1"/>
    </xf>
    <xf numFmtId="4" fontId="47"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4" fontId="47" fillId="35" borderId="63" applyNumberFormat="0" applyProtection="0">
      <alignment vertical="center"/>
    </xf>
    <xf numFmtId="0" fontId="19" fillId="50"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6" borderId="63" applyNumberFormat="0" applyProtection="0">
      <alignment horizontal="right" vertical="center"/>
    </xf>
    <xf numFmtId="0" fontId="19" fillId="54" borderId="63" applyNumberFormat="0" applyProtection="0">
      <alignment horizontal="left" vertical="top" indent="1"/>
    </xf>
    <xf numFmtId="0" fontId="105" fillId="0" borderId="60" applyNumberFormat="0" applyFill="0" applyAlignment="0" applyProtection="0"/>
    <xf numFmtId="0" fontId="63" fillId="59" borderId="61" applyNumberFormat="0" applyFont="0" applyFill="0" applyAlignment="0" applyProtection="0">
      <protection locked="0"/>
    </xf>
    <xf numFmtId="0" fontId="105" fillId="0" borderId="60" applyNumberFormat="0" applyFill="0" applyAlignment="0" applyProtection="0"/>
    <xf numFmtId="0" fontId="19" fillId="85" borderId="63" applyNumberFormat="0" applyProtection="0">
      <alignment horizontal="left" vertical="top" indent="1"/>
    </xf>
    <xf numFmtId="4" fontId="47" fillId="45" borderId="63" applyNumberFormat="0" applyProtection="0">
      <alignment horizontal="right" vertical="center"/>
    </xf>
    <xf numFmtId="0" fontId="110" fillId="77" borderId="62" applyNumberFormat="0" applyAlignment="0" applyProtection="0"/>
    <xf numFmtId="0" fontId="19" fillId="84" borderId="63" applyNumberFormat="0" applyProtection="0">
      <alignment horizontal="left" vertical="center" indent="1"/>
    </xf>
    <xf numFmtId="0" fontId="19" fillId="49" borderId="63" applyNumberFormat="0" applyProtection="0">
      <alignment horizontal="left" vertical="top" indent="1"/>
    </xf>
    <xf numFmtId="4" fontId="47" fillId="35" borderId="63" applyNumberFormat="0" applyProtection="0">
      <alignment horizontal="left" vertical="center" indent="1"/>
    </xf>
    <xf numFmtId="0" fontId="19" fillId="84" borderId="63" applyNumberFormat="0" applyProtection="0">
      <alignment horizontal="left" vertical="top" indent="1"/>
    </xf>
    <xf numFmtId="0" fontId="102" fillId="79" borderId="62" applyNumberFormat="0" applyAlignment="0" applyProtection="0"/>
    <xf numFmtId="4" fontId="47" fillId="44" borderId="63" applyNumberFormat="0" applyProtection="0">
      <alignment horizontal="right" vertical="center"/>
    </xf>
    <xf numFmtId="0" fontId="19" fillId="85" borderId="63" applyNumberFormat="0" applyProtection="0">
      <alignment horizontal="left" vertical="center" indent="1"/>
    </xf>
    <xf numFmtId="0" fontId="114" fillId="79" borderId="59" applyNumberFormat="0" applyAlignment="0" applyProtection="0"/>
    <xf numFmtId="4" fontId="51" fillId="49" borderId="63" applyNumberFormat="0" applyProtection="0">
      <alignment horizontal="right" vertical="center"/>
    </xf>
    <xf numFmtId="0" fontId="19" fillId="51" borderId="63" applyNumberFormat="0" applyProtection="0">
      <alignment horizontal="left" vertical="center" indent="1"/>
    </xf>
    <xf numFmtId="4" fontId="46" fillId="38" borderId="63" applyNumberFormat="0" applyProtection="0">
      <alignment vertical="center"/>
    </xf>
    <xf numFmtId="0" fontId="110" fillId="77" borderId="62" applyNumberFormat="0" applyAlignment="0" applyProtection="0"/>
    <xf numFmtId="0" fontId="102" fillId="79" borderId="62" applyNumberFormat="0" applyAlignment="0" applyProtection="0"/>
    <xf numFmtId="4" fontId="47" fillId="41" borderId="63" applyNumberFormat="0" applyProtection="0">
      <alignment horizontal="right" vertical="center"/>
    </xf>
    <xf numFmtId="0" fontId="19" fillId="51" borderId="63" applyNumberFormat="0" applyProtection="0">
      <alignment horizontal="left" vertical="top" indent="1"/>
    </xf>
    <xf numFmtId="0" fontId="47" fillId="34" borderId="63" applyNumberFormat="0" applyProtection="0">
      <alignment horizontal="left" vertical="top"/>
    </xf>
    <xf numFmtId="0" fontId="114" fillId="79" borderId="59" applyNumberFormat="0" applyAlignment="0" applyProtection="0"/>
    <xf numFmtId="0" fontId="26" fillId="0" borderId="53">
      <alignment horizontal="left" vertical="center"/>
    </xf>
    <xf numFmtId="4" fontId="27" fillId="34" borderId="57" applyNumberFormat="0" applyProtection="0">
      <alignment vertical="center"/>
    </xf>
    <xf numFmtId="0" fontId="26" fillId="0" borderId="53">
      <alignment horizontal="left" vertical="center"/>
    </xf>
    <xf numFmtId="4" fontId="27" fillId="34" borderId="57" applyNumberFormat="0" applyProtection="0">
      <alignment vertical="center"/>
    </xf>
    <xf numFmtId="4" fontId="27" fillId="34" borderId="57" applyNumberFormat="0" applyProtection="0">
      <alignment vertical="center"/>
    </xf>
    <xf numFmtId="4" fontId="47" fillId="0" borderId="63" applyNumberFormat="0" applyProtection="0">
      <alignment horizontal="left" vertical="center" indent="1"/>
    </xf>
    <xf numFmtId="0" fontId="19" fillId="34" borderId="63" applyNumberFormat="0" applyProtection="0">
      <alignment horizontal="left" vertical="top" indent="1"/>
    </xf>
    <xf numFmtId="4" fontId="27" fillId="38" borderId="63" applyNumberFormat="0" applyProtection="0">
      <alignment horizontal="left" vertical="center" indent="1"/>
    </xf>
    <xf numFmtId="0" fontId="110" fillId="77" borderId="62" applyNumberFormat="0" applyAlignment="0" applyProtection="0"/>
    <xf numFmtId="4" fontId="47" fillId="40" borderId="63" applyNumberFormat="0" applyProtection="0">
      <alignment horizontal="right" vertical="center"/>
    </xf>
    <xf numFmtId="0" fontId="19" fillId="34" borderId="63" applyNumberFormat="0" applyProtection="0">
      <alignment horizontal="left" vertical="top" indent="1"/>
    </xf>
    <xf numFmtId="4" fontId="47" fillId="0" borderId="63" applyNumberFormat="0" applyProtection="0">
      <alignment horizontal="left" vertical="center" indent="1"/>
    </xf>
    <xf numFmtId="0" fontId="114" fillId="79" borderId="59" applyNumberFormat="0" applyAlignment="0" applyProtection="0"/>
    <xf numFmtId="0" fontId="105" fillId="0" borderId="60" applyNumberFormat="0" applyFill="0" applyAlignment="0" applyProtection="0"/>
    <xf numFmtId="0" fontId="19" fillId="55" borderId="63" applyNumberFormat="0" applyProtection="0">
      <alignment horizontal="left" vertical="center" indent="1"/>
    </xf>
    <xf numFmtId="4" fontId="47" fillId="46" borderId="63" applyNumberFormat="0" applyProtection="0">
      <alignment horizontal="right" vertical="center"/>
    </xf>
    <xf numFmtId="0" fontId="110" fillId="77" borderId="62" applyNumberFormat="0" applyAlignment="0" applyProtection="0"/>
    <xf numFmtId="0" fontId="19" fillId="50" borderId="63" applyNumberFormat="0" applyProtection="0">
      <alignment horizontal="left" vertical="center" indent="1"/>
    </xf>
    <xf numFmtId="0" fontId="19" fillId="55" borderId="63" applyNumberFormat="0" applyProtection="0">
      <alignment horizontal="left" vertical="top" indent="1"/>
    </xf>
    <xf numFmtId="0" fontId="47" fillId="34" borderId="63" applyNumberFormat="0" applyProtection="0">
      <alignment horizontal="left" vertical="top"/>
    </xf>
    <xf numFmtId="0" fontId="19" fillId="51" borderId="63" applyNumberFormat="0" applyProtection="0">
      <alignment horizontal="left" vertical="top" indent="1"/>
    </xf>
    <xf numFmtId="0" fontId="27" fillId="38" borderId="63" applyNumberFormat="0" applyProtection="0">
      <alignment horizontal="left" vertical="top" indent="1"/>
    </xf>
    <xf numFmtId="0" fontId="19" fillId="76" borderId="58" applyNumberFormat="0" applyFont="0" applyAlignment="0" applyProtection="0"/>
    <xf numFmtId="0" fontId="110" fillId="77" borderId="62" applyNumberFormat="0" applyAlignment="0" applyProtection="0"/>
    <xf numFmtId="0" fontId="105" fillId="0" borderId="60" applyNumberFormat="0" applyFill="0" applyAlignment="0" applyProtection="0"/>
    <xf numFmtId="4" fontId="47" fillId="39" borderId="63" applyNumberFormat="0" applyProtection="0">
      <alignment horizontal="right" vertical="center"/>
    </xf>
    <xf numFmtId="0" fontId="19" fillId="51" borderId="63" applyNumberFormat="0" applyProtection="0">
      <alignment horizontal="left" vertical="center" indent="1"/>
    </xf>
    <xf numFmtId="4" fontId="51" fillId="49" borderId="63" applyNumberFormat="0" applyProtection="0">
      <alignment horizontal="right" vertical="center"/>
    </xf>
    <xf numFmtId="0" fontId="19" fillId="49" borderId="63" applyNumberFormat="0" applyProtection="0">
      <alignment horizontal="left" vertical="center" indent="1"/>
    </xf>
    <xf numFmtId="4" fontId="47" fillId="47" borderId="63" applyNumberFormat="0" applyProtection="0">
      <alignment horizontal="right" vertical="center"/>
    </xf>
    <xf numFmtId="0" fontId="110" fillId="77" borderId="62" applyNumberFormat="0" applyAlignment="0" applyProtection="0"/>
    <xf numFmtId="0" fontId="19" fillId="49" borderId="63" applyNumberFormat="0" applyProtection="0">
      <alignment horizontal="left" vertical="center" indent="1"/>
    </xf>
    <xf numFmtId="0" fontId="19" fillId="54" borderId="63" applyNumberFormat="0" applyProtection="0">
      <alignment horizontal="left" vertical="center" indent="1"/>
    </xf>
    <xf numFmtId="4" fontId="47" fillId="40" borderId="63" applyNumberFormat="0" applyProtection="0">
      <alignment horizontal="right" vertical="center"/>
    </xf>
    <xf numFmtId="0" fontId="19" fillId="76" borderId="58" applyNumberFormat="0" applyFont="0" applyAlignment="0" applyProtection="0"/>
    <xf numFmtId="4" fontId="27" fillId="38" borderId="63" applyNumberFormat="0" applyProtection="0">
      <alignment horizontal="left" vertical="center" indent="1"/>
    </xf>
    <xf numFmtId="0" fontId="19" fillId="34" borderId="63" applyNumberFormat="0" applyProtection="0">
      <alignment horizontal="left" vertical="center" indent="1"/>
    </xf>
    <xf numFmtId="0" fontId="47" fillId="35"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0" fontId="19" fillId="55" borderId="63" applyNumberFormat="0" applyProtection="0">
      <alignment horizontal="left" vertical="top" indent="1"/>
    </xf>
    <xf numFmtId="0" fontId="19" fillId="50" borderId="63" applyNumberFormat="0" applyProtection="0">
      <alignment horizontal="left" vertical="center" indent="1"/>
    </xf>
    <xf numFmtId="0" fontId="114" fillId="79" borderId="59" applyNumberFormat="0" applyAlignment="0" applyProtection="0"/>
    <xf numFmtId="0" fontId="114" fillId="79" borderId="59" applyNumberFormat="0" applyAlignment="0" applyProtection="0"/>
    <xf numFmtId="0" fontId="19" fillId="55" borderId="63" applyNumberFormat="0" applyProtection="0">
      <alignment horizontal="left" vertical="center" indent="1"/>
    </xf>
    <xf numFmtId="4" fontId="47" fillId="42" borderId="63" applyNumberFormat="0" applyProtection="0">
      <alignment horizontal="right" vertical="center"/>
    </xf>
    <xf numFmtId="0" fontId="19" fillId="85" borderId="63" applyNumberFormat="0" applyProtection="0">
      <alignment horizontal="left" vertical="center" indent="1"/>
    </xf>
    <xf numFmtId="0" fontId="19" fillId="76" borderId="58" applyNumberFormat="0" applyFont="0" applyAlignment="0" applyProtection="0"/>
    <xf numFmtId="0" fontId="105" fillId="0" borderId="60" applyNumberFormat="0" applyFill="0" applyAlignment="0" applyProtection="0"/>
    <xf numFmtId="4" fontId="27" fillId="37" borderId="63" applyNumberFormat="0" applyProtection="0">
      <alignment vertical="center"/>
    </xf>
    <xf numFmtId="0" fontId="19" fillId="84" borderId="63" applyNumberFormat="0" applyProtection="0">
      <alignment horizontal="left" vertical="top" indent="1"/>
    </xf>
    <xf numFmtId="4" fontId="51" fillId="35" borderId="63" applyNumberFormat="0" applyProtection="0">
      <alignment vertical="center"/>
    </xf>
    <xf numFmtId="0" fontId="105" fillId="0" borderId="60" applyNumberFormat="0" applyFill="0" applyAlignment="0" applyProtection="0"/>
    <xf numFmtId="0" fontId="19" fillId="76" borderId="58" applyNumberFormat="0" applyFont="0" applyAlignment="0" applyProtection="0"/>
    <xf numFmtId="0" fontId="19" fillId="49" borderId="63" applyNumberFormat="0" applyProtection="0">
      <alignment horizontal="left" vertical="top" indent="1"/>
    </xf>
    <xf numFmtId="0" fontId="19" fillId="84" borderId="63" applyNumberFormat="0" applyProtection="0">
      <alignment horizontal="left" vertical="center"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7" borderId="63" applyNumberFormat="0" applyProtection="0">
      <alignment horizontal="right" vertical="center"/>
    </xf>
    <xf numFmtId="0" fontId="19" fillId="85" borderId="63" applyNumberFormat="0" applyProtection="0">
      <alignment horizontal="left" vertical="top" indent="1"/>
    </xf>
    <xf numFmtId="0" fontId="105" fillId="0" borderId="60" applyNumberFormat="0" applyFill="0" applyAlignment="0" applyProtection="0"/>
    <xf numFmtId="0" fontId="105" fillId="0" borderId="60" applyNumberFormat="0" applyFill="0" applyAlignment="0" applyProtection="0"/>
    <xf numFmtId="0" fontId="19" fillId="85" borderId="63" applyNumberFormat="0" applyProtection="0">
      <alignment horizontal="left" vertical="top" indent="1"/>
    </xf>
    <xf numFmtId="4" fontId="47" fillId="44" borderId="63" applyNumberFormat="0" applyProtection="0">
      <alignment horizontal="right" vertical="center"/>
    </xf>
    <xf numFmtId="0" fontId="110" fillId="77" borderId="62" applyNumberFormat="0" applyAlignment="0" applyProtection="0"/>
    <xf numFmtId="0" fontId="63" fillId="59" borderId="61" applyNumberFormat="0" applyFont="0" applyFill="0" applyAlignment="0" applyProtection="0">
      <protection locked="0"/>
    </xf>
    <xf numFmtId="0" fontId="19" fillId="84" borderId="63" applyNumberFormat="0" applyProtection="0">
      <alignment horizontal="left" vertical="center" indent="1"/>
    </xf>
    <xf numFmtId="0" fontId="19" fillId="49" borderId="63" applyNumberFormat="0" applyProtection="0">
      <alignment horizontal="left" vertical="top" indent="1"/>
    </xf>
    <xf numFmtId="0" fontId="105" fillId="0" borderId="60" applyNumberFormat="0" applyFill="0" applyAlignment="0" applyProtection="0"/>
    <xf numFmtId="0" fontId="19" fillId="76" borderId="58" applyNumberFormat="0" applyFont="0" applyAlignment="0" applyProtection="0"/>
    <xf numFmtId="4" fontId="51" fillId="35" borderId="63" applyNumberFormat="0" applyProtection="0">
      <alignment vertical="center"/>
    </xf>
    <xf numFmtId="0" fontId="19" fillId="84" borderId="63" applyNumberFormat="0" applyProtection="0">
      <alignment horizontal="left" vertical="top" indent="1"/>
    </xf>
    <xf numFmtId="0" fontId="114" fillId="79" borderId="59" applyNumberFormat="0" applyAlignment="0" applyProtection="0"/>
    <xf numFmtId="0" fontId="102" fillId="79" borderId="62" applyNumberFormat="0" applyAlignment="0" applyProtection="0"/>
    <xf numFmtId="0" fontId="114" fillId="79" borderId="59" applyNumberFormat="0" applyAlignment="0" applyProtection="0"/>
    <xf numFmtId="4" fontId="47" fillId="45" borderId="63" applyNumberFormat="0" applyProtection="0">
      <alignment horizontal="right" vertical="center"/>
    </xf>
    <xf numFmtId="0" fontId="19" fillId="85" borderId="63" applyNumberFormat="0" applyProtection="0">
      <alignment horizontal="left" vertical="center" indent="1"/>
    </xf>
    <xf numFmtId="0" fontId="105" fillId="0" borderId="60" applyNumberFormat="0" applyFill="0" applyAlignment="0" applyProtection="0"/>
    <xf numFmtId="0" fontId="114"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7" fillId="37" borderId="25" applyNumberFormat="0" applyProtection="0">
      <alignment vertical="center"/>
    </xf>
    <xf numFmtId="4" fontId="46" fillId="38" borderId="25" applyNumberFormat="0" applyProtection="0">
      <alignmen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0" fontId="27" fillId="38" borderId="25" applyNumberFormat="0" applyProtection="0">
      <alignment horizontal="left" vertical="top" indent="1"/>
    </xf>
    <xf numFmtId="4" fontId="27" fillId="34" borderId="25" applyNumberFormat="0" applyProtection="0"/>
    <xf numFmtId="4" fontId="47" fillId="39" borderId="25" applyNumberFormat="0" applyProtection="0">
      <alignment horizontal="right" vertical="center"/>
    </xf>
    <xf numFmtId="4" fontId="47" fillId="40" borderId="25" applyNumberFormat="0" applyProtection="0">
      <alignment horizontal="right" vertical="center"/>
    </xf>
    <xf numFmtId="4" fontId="47" fillId="41" borderId="25" applyNumberFormat="0" applyProtection="0">
      <alignment horizontal="right" vertical="center"/>
    </xf>
    <xf numFmtId="4" fontId="47" fillId="42" borderId="25" applyNumberFormat="0" applyProtection="0">
      <alignment horizontal="right" vertical="center"/>
    </xf>
    <xf numFmtId="4" fontId="47" fillId="43" borderId="25" applyNumberFormat="0" applyProtection="0">
      <alignment horizontal="right" vertical="center"/>
    </xf>
    <xf numFmtId="4" fontId="47" fillId="44" borderId="25" applyNumberFormat="0" applyProtection="0">
      <alignment horizontal="right" vertical="center"/>
    </xf>
    <xf numFmtId="4" fontId="47" fillId="45" borderId="25" applyNumberFormat="0" applyProtection="0">
      <alignment horizontal="right" vertical="center"/>
    </xf>
    <xf numFmtId="4" fontId="47" fillId="46" borderId="25" applyNumberFormat="0" applyProtection="0">
      <alignment horizontal="right" vertical="center"/>
    </xf>
    <xf numFmtId="4" fontId="47" fillId="47" borderId="25" applyNumberFormat="0" applyProtection="0">
      <alignment horizontal="right" vertical="center"/>
    </xf>
    <xf numFmtId="4" fontId="47"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7" fillId="35" borderId="25" applyNumberFormat="0" applyProtection="0">
      <alignment vertical="center"/>
    </xf>
    <xf numFmtId="4" fontId="51" fillId="35" borderId="25" applyNumberFormat="0" applyProtection="0">
      <alignment vertical="center"/>
    </xf>
    <xf numFmtId="4" fontId="47" fillId="35" borderId="25" applyNumberFormat="0" applyProtection="0">
      <alignment horizontal="left" vertical="center" indent="1"/>
    </xf>
    <xf numFmtId="0" fontId="47" fillId="3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51" fillId="49"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4" fontId="25" fillId="49" borderId="25" applyNumberFormat="0" applyProtection="0">
      <alignment horizontal="right" vertical="center"/>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horizontal="left" vertical="center" indent="1"/>
    </xf>
    <xf numFmtId="4" fontId="27" fillId="38" borderId="25" applyNumberFormat="0" applyProtection="0">
      <alignment vertical="center"/>
    </xf>
    <xf numFmtId="4" fontId="27" fillId="34" borderId="25" applyNumberFormat="0" applyProtection="0"/>
    <xf numFmtId="4" fontId="27" fillId="34" borderId="25" applyNumberFormat="0" applyProtection="0"/>
    <xf numFmtId="4" fontId="27" fillId="34" borderId="25" applyNumberFormat="0" applyProtection="0"/>
    <xf numFmtId="4" fontId="27"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right" vertical="center"/>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0" borderId="25" applyNumberFormat="0" applyProtection="0">
      <alignment horizontal="left" vertical="center" indent="1"/>
    </xf>
    <xf numFmtId="4" fontId="47" fillId="59" borderId="25" applyNumberFormat="0" applyProtection="0">
      <alignment horizontal="left" vertical="center" indent="1"/>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left" vertical="top"/>
    </xf>
    <xf numFmtId="0" fontId="47" fillId="34" borderId="25" applyNumberFormat="0" applyProtection="0">
      <alignment horizontal="center" vertical="top"/>
    </xf>
    <xf numFmtId="4" fontId="47" fillId="51" borderId="25" applyNumberFormat="0" applyProtection="0">
      <alignment horizontal="left" vertical="center" indent="1"/>
    </xf>
    <xf numFmtId="4" fontId="27" fillId="38" borderId="25" applyNumberFormat="0" applyProtection="0">
      <alignment horizontal="left" vertical="center" indent="1"/>
    </xf>
    <xf numFmtId="4" fontId="47" fillId="0" borderId="25" applyNumberFormat="0" applyProtection="0">
      <alignment horizontal="right" vertical="center"/>
    </xf>
    <xf numFmtId="4" fontId="47" fillId="0" borderId="25" applyNumberFormat="0" applyProtection="0">
      <alignment horizontal="left" vertical="center" indent="1"/>
    </xf>
    <xf numFmtId="0" fontId="47" fillId="34" borderId="25" applyNumberFormat="0" applyProtection="0">
      <alignment horizontal="left" vertical="top"/>
    </xf>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9" fillId="76" borderId="66" applyNumberFormat="0" applyFon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24" fillId="59" borderId="69" applyNumberFormat="0" applyFont="0" applyAlignment="0" applyProtection="0">
      <protection locked="0"/>
    </xf>
    <xf numFmtId="0" fontId="63" fillId="59" borderId="69" applyNumberFormat="0" applyFont="0" applyFill="0" applyAlignment="0" applyProtection="0">
      <protection locked="0"/>
    </xf>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0" fontId="105" fillId="0" borderId="68" applyNumberFormat="0" applyFill="0" applyAlignment="0" applyProtection="0"/>
    <xf numFmtId="4" fontId="25" fillId="49" borderId="25" applyNumberFormat="0" applyProtection="0">
      <alignment horizontal="right" vertical="center"/>
    </xf>
    <xf numFmtId="0" fontId="47" fillId="34" borderId="25" applyNumberFormat="0" applyProtection="0">
      <alignment horizontal="left" vertical="top"/>
    </xf>
    <xf numFmtId="4" fontId="47" fillId="0" borderId="25" applyNumberFormat="0" applyProtection="0">
      <alignment horizontal="left" vertical="center" indent="1"/>
    </xf>
    <xf numFmtId="4" fontId="51" fillId="49" borderId="25" applyNumberFormat="0" applyProtection="0">
      <alignment horizontal="right" vertical="center"/>
    </xf>
    <xf numFmtId="4" fontId="47" fillId="0" borderId="25" applyNumberFormat="0" applyProtection="0">
      <alignment horizontal="right" vertical="center"/>
    </xf>
    <xf numFmtId="0" fontId="47" fillId="35" borderId="25" applyNumberFormat="0" applyProtection="0">
      <alignment horizontal="left" vertical="top" indent="1"/>
    </xf>
    <xf numFmtId="4" fontId="47" fillId="35" borderId="25" applyNumberFormat="0" applyProtection="0">
      <alignment horizontal="left" vertical="center" indent="1"/>
    </xf>
    <xf numFmtId="4" fontId="51" fillId="35" borderId="25" applyNumberFormat="0" applyProtection="0">
      <alignment vertical="center"/>
    </xf>
    <xf numFmtId="4" fontId="47"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7" fillId="51" borderId="25" applyNumberFormat="0" applyProtection="0">
      <alignment horizontal="right" vertical="center"/>
    </xf>
    <xf numFmtId="4" fontId="47" fillId="47" borderId="25" applyNumberFormat="0" applyProtection="0">
      <alignment horizontal="right" vertical="center"/>
    </xf>
    <xf numFmtId="4" fontId="47" fillId="46" borderId="25" applyNumberFormat="0" applyProtection="0">
      <alignment horizontal="right" vertical="center"/>
    </xf>
    <xf numFmtId="4" fontId="47" fillId="45" borderId="25" applyNumberFormat="0" applyProtection="0">
      <alignment horizontal="right" vertical="center"/>
    </xf>
    <xf numFmtId="4" fontId="47" fillId="44" borderId="25" applyNumberFormat="0" applyProtection="0">
      <alignment horizontal="right" vertical="center"/>
    </xf>
    <xf numFmtId="4" fontId="47" fillId="43" borderId="25" applyNumberFormat="0" applyProtection="0">
      <alignment horizontal="right" vertical="center"/>
    </xf>
    <xf numFmtId="4" fontId="47" fillId="42" borderId="25" applyNumberFormat="0" applyProtection="0">
      <alignment horizontal="right" vertical="center"/>
    </xf>
    <xf numFmtId="4" fontId="47" fillId="41" borderId="25" applyNumberFormat="0" applyProtection="0">
      <alignment horizontal="right" vertical="center"/>
    </xf>
    <xf numFmtId="4" fontId="47" fillId="40" borderId="25" applyNumberFormat="0" applyProtection="0">
      <alignment horizontal="right" vertical="center"/>
    </xf>
    <xf numFmtId="4" fontId="47" fillId="39" borderId="25" applyNumberFormat="0" applyProtection="0">
      <alignment horizontal="right" vertical="center"/>
    </xf>
    <xf numFmtId="0" fontId="27" fillId="38" borderId="25" applyNumberFormat="0" applyProtection="0">
      <alignment horizontal="left" vertical="top" indent="1"/>
    </xf>
    <xf numFmtId="4" fontId="27" fillId="38" borderId="25" applyNumberFormat="0" applyProtection="0">
      <alignment horizontal="left" vertical="center" indent="1"/>
    </xf>
    <xf numFmtId="4" fontId="46" fillId="38" borderId="25" applyNumberFormat="0" applyProtection="0">
      <alignment vertical="center"/>
    </xf>
    <xf numFmtId="4" fontId="27" fillId="37" borderId="25" applyNumberFormat="0" applyProtection="0">
      <alignment vertical="center"/>
    </xf>
    <xf numFmtId="0" fontId="63" fillId="59" borderId="69" applyNumberFormat="0" applyFont="0" applyFill="0" applyAlignment="0" applyProtection="0">
      <protection locked="0"/>
    </xf>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14" fillId="79" borderId="67"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02" fillId="79"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110" fillId="77" borderId="65" applyNumberFormat="0" applyAlignment="0" applyProtection="0"/>
    <xf numFmtId="0" fontId="24" fillId="59" borderId="69" applyNumberFormat="0" applyFont="0" applyAlignment="0" applyProtection="0">
      <protection locked="0"/>
    </xf>
    <xf numFmtId="0" fontId="105" fillId="0" borderId="68" applyNumberFormat="0" applyFill="0" applyAlignment="0" applyProtection="0"/>
    <xf numFmtId="0" fontId="105" fillId="0" borderId="68" applyNumberFormat="0" applyFill="0" applyAlignment="0" applyProtection="0"/>
    <xf numFmtId="0" fontId="102" fillId="79" borderId="70" applyNumberFormat="0" applyAlignment="0" applyProtection="0"/>
    <xf numFmtId="0" fontId="102" fillId="79" borderId="70" applyNumberFormat="0" applyAlignment="0" applyProtection="0"/>
    <xf numFmtId="0" fontId="102" fillId="79" borderId="70" applyNumberFormat="0" applyAlignment="0" applyProtection="0"/>
    <xf numFmtId="0" fontId="102" fillId="79" borderId="70" applyNumberFormat="0" applyAlignment="0" applyProtection="0"/>
    <xf numFmtId="0" fontId="110" fillId="77" borderId="70" applyNumberFormat="0" applyAlignment="0" applyProtection="0"/>
    <xf numFmtId="0" fontId="110" fillId="77" borderId="70" applyNumberFormat="0" applyAlignment="0" applyProtection="0"/>
    <xf numFmtId="0" fontId="110" fillId="77" borderId="70" applyNumberFormat="0" applyAlignment="0" applyProtection="0"/>
    <xf numFmtId="0" fontId="110" fillId="77" borderId="70" applyNumberForma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9" fillId="76" borderId="71" applyNumberFormat="0" applyFon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0" fontId="114" fillId="79" borderId="72" applyNumberFormat="0" applyAlignment="0" applyProtection="0"/>
    <xf numFmtId="4" fontId="27" fillId="37" borderId="73" applyNumberFormat="0" applyProtection="0">
      <alignment vertical="center"/>
    </xf>
    <xf numFmtId="4" fontId="46" fillId="38" borderId="73" applyNumberFormat="0" applyProtection="0">
      <alignment vertical="center"/>
    </xf>
    <xf numFmtId="4" fontId="27" fillId="38" borderId="73" applyNumberFormat="0" applyProtection="0">
      <alignment horizontal="left" vertical="center" indent="1"/>
    </xf>
    <xf numFmtId="0" fontId="27" fillId="38" borderId="73" applyNumberFormat="0" applyProtection="0">
      <alignment horizontal="left" vertical="top" indent="1"/>
    </xf>
    <xf numFmtId="4" fontId="47" fillId="39" borderId="73" applyNumberFormat="0" applyProtection="0">
      <alignment horizontal="right" vertical="center"/>
    </xf>
    <xf numFmtId="4" fontId="47" fillId="40" borderId="73" applyNumberFormat="0" applyProtection="0">
      <alignment horizontal="right" vertical="center"/>
    </xf>
    <xf numFmtId="4" fontId="47" fillId="41" borderId="73" applyNumberFormat="0" applyProtection="0">
      <alignment horizontal="right" vertical="center"/>
    </xf>
    <xf numFmtId="4" fontId="47" fillId="42" borderId="73" applyNumberFormat="0" applyProtection="0">
      <alignment horizontal="right" vertical="center"/>
    </xf>
    <xf numFmtId="4" fontId="47" fillId="43" borderId="73" applyNumberFormat="0" applyProtection="0">
      <alignment horizontal="right" vertical="center"/>
    </xf>
    <xf numFmtId="4" fontId="47" fillId="44" borderId="73" applyNumberFormat="0" applyProtection="0">
      <alignment horizontal="right" vertical="center"/>
    </xf>
    <xf numFmtId="4" fontId="47" fillId="45" borderId="73" applyNumberFormat="0" applyProtection="0">
      <alignment horizontal="right" vertical="center"/>
    </xf>
    <xf numFmtId="4" fontId="47" fillId="46" borderId="73" applyNumberFormat="0" applyProtection="0">
      <alignment horizontal="right" vertical="center"/>
    </xf>
    <xf numFmtId="4" fontId="47" fillId="47" borderId="73" applyNumberFormat="0" applyProtection="0">
      <alignment horizontal="right" vertical="center"/>
    </xf>
    <xf numFmtId="4" fontId="47" fillId="51" borderId="73" applyNumberFormat="0" applyProtection="0">
      <alignment horizontal="right" vertical="center"/>
    </xf>
    <xf numFmtId="0" fontId="19" fillId="50" borderId="73" applyNumberFormat="0" applyProtection="0">
      <alignment horizontal="left" vertical="center" indent="1"/>
    </xf>
    <xf numFmtId="0" fontId="19" fillId="84" borderId="73" applyNumberFormat="0" applyProtection="0">
      <alignment horizontal="left" vertical="center" indent="1"/>
    </xf>
    <xf numFmtId="0" fontId="19" fillId="84" borderId="73" applyNumberFormat="0" applyProtection="0">
      <alignment horizontal="left" vertical="center" indent="1"/>
    </xf>
    <xf numFmtId="0" fontId="19" fillId="50" borderId="73" applyNumberFormat="0" applyProtection="0">
      <alignment horizontal="left" vertical="top" indent="1"/>
    </xf>
    <xf numFmtId="0" fontId="19" fillId="84" borderId="73" applyNumberFormat="0" applyProtection="0">
      <alignment horizontal="left" vertical="top" indent="1"/>
    </xf>
    <xf numFmtId="0" fontId="19" fillId="84" borderId="73" applyNumberFormat="0" applyProtection="0">
      <alignment horizontal="left" vertical="top" indent="1"/>
    </xf>
    <xf numFmtId="0" fontId="19" fillId="34" borderId="73" applyNumberFormat="0" applyProtection="0">
      <alignment horizontal="left" vertical="center" indent="1"/>
    </xf>
    <xf numFmtId="0" fontId="19" fillId="51" borderId="73" applyNumberFormat="0" applyProtection="0">
      <alignment horizontal="left" vertical="center" indent="1"/>
    </xf>
    <xf numFmtId="0" fontId="19" fillId="51" borderId="73" applyNumberFormat="0" applyProtection="0">
      <alignment horizontal="left" vertical="center" indent="1"/>
    </xf>
    <xf numFmtId="0" fontId="19" fillId="34" borderId="73" applyNumberFormat="0" applyProtection="0">
      <alignment horizontal="left" vertical="top" indent="1"/>
    </xf>
    <xf numFmtId="0" fontId="19" fillId="51" borderId="73" applyNumberFormat="0" applyProtection="0">
      <alignment horizontal="left" vertical="top" indent="1"/>
    </xf>
    <xf numFmtId="0" fontId="19" fillId="51" borderId="73" applyNumberFormat="0" applyProtection="0">
      <alignment horizontal="left" vertical="top" indent="1"/>
    </xf>
    <xf numFmtId="0" fontId="19" fillId="54" borderId="73" applyNumberFormat="0" applyProtection="0">
      <alignment horizontal="left" vertical="center" indent="1"/>
    </xf>
    <xf numFmtId="0" fontId="19" fillId="85" borderId="73" applyNumberFormat="0" applyProtection="0">
      <alignment horizontal="left" vertical="center" indent="1"/>
    </xf>
    <xf numFmtId="0" fontId="19" fillId="85" borderId="73" applyNumberFormat="0" applyProtection="0">
      <alignment horizontal="left" vertical="center" indent="1"/>
    </xf>
    <xf numFmtId="0" fontId="19" fillId="54" borderId="73" applyNumberFormat="0" applyProtection="0">
      <alignment horizontal="left" vertical="top" indent="1"/>
    </xf>
    <xf numFmtId="0" fontId="19" fillId="85" borderId="73" applyNumberFormat="0" applyProtection="0">
      <alignment horizontal="left" vertical="top" indent="1"/>
    </xf>
    <xf numFmtId="0" fontId="19" fillId="85" borderId="73" applyNumberFormat="0" applyProtection="0">
      <alignment horizontal="left" vertical="top" indent="1"/>
    </xf>
    <xf numFmtId="0" fontId="19" fillId="55" borderId="73" applyNumberFormat="0" applyProtection="0">
      <alignment horizontal="left" vertical="center" indent="1"/>
    </xf>
    <xf numFmtId="0" fontId="19" fillId="49" borderId="73" applyNumberFormat="0" applyProtection="0">
      <alignment horizontal="left" vertical="center" indent="1"/>
    </xf>
    <xf numFmtId="0" fontId="19" fillId="49" borderId="73" applyNumberFormat="0" applyProtection="0">
      <alignment horizontal="left" vertical="center" indent="1"/>
    </xf>
    <xf numFmtId="0" fontId="19" fillId="55" borderId="73" applyNumberFormat="0" applyProtection="0">
      <alignment horizontal="left" vertical="top" indent="1"/>
    </xf>
    <xf numFmtId="0" fontId="19" fillId="49" borderId="73" applyNumberFormat="0" applyProtection="0">
      <alignment horizontal="left" vertical="top" indent="1"/>
    </xf>
    <xf numFmtId="0" fontId="19" fillId="49" borderId="73" applyNumberFormat="0" applyProtection="0">
      <alignment horizontal="left" vertical="top" indent="1"/>
    </xf>
    <xf numFmtId="4" fontId="47" fillId="35" borderId="73" applyNumberFormat="0" applyProtection="0">
      <alignment vertical="center"/>
    </xf>
    <xf numFmtId="4" fontId="51" fillId="35" borderId="73" applyNumberFormat="0" applyProtection="0">
      <alignment vertical="center"/>
    </xf>
    <xf numFmtId="4" fontId="47" fillId="35" borderId="73" applyNumberFormat="0" applyProtection="0">
      <alignment horizontal="left" vertical="center" indent="1"/>
    </xf>
    <xf numFmtId="0" fontId="47" fillId="35" borderId="73" applyNumberFormat="0" applyProtection="0">
      <alignment horizontal="left" vertical="top" indent="1"/>
    </xf>
    <xf numFmtId="4" fontId="47" fillId="0" borderId="73" applyNumberFormat="0" applyProtection="0">
      <alignment horizontal="right" vertical="center"/>
    </xf>
    <xf numFmtId="4" fontId="51" fillId="49" borderId="73" applyNumberFormat="0" applyProtection="0">
      <alignment horizontal="right" vertical="center"/>
    </xf>
    <xf numFmtId="4" fontId="47" fillId="0" borderId="73" applyNumberFormat="0" applyProtection="0">
      <alignment horizontal="left" vertical="center" indent="1"/>
    </xf>
    <xf numFmtId="0" fontId="47" fillId="34" borderId="73" applyNumberFormat="0" applyProtection="0">
      <alignment horizontal="left" vertical="top"/>
    </xf>
    <xf numFmtId="4" fontId="25" fillId="49" borderId="73" applyNumberFormat="0" applyProtection="0">
      <alignment horizontal="right" vertical="center"/>
    </xf>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0" fontId="105" fillId="0" borderId="74" applyNumberFormat="0" applyFill="0" applyAlignment="0" applyProtection="0"/>
    <xf numFmtId="37" fontId="30" fillId="0" borderId="0"/>
    <xf numFmtId="43" fontId="1" fillId="0" borderId="0" applyFont="0" applyFill="0" applyBorder="0" applyAlignment="0" applyProtection="0"/>
    <xf numFmtId="39" fontId="30" fillId="0" borderId="0"/>
    <xf numFmtId="43" fontId="19" fillId="0" borderId="0" applyFont="0" applyFill="0" applyBorder="0" applyAlignment="0" applyProtection="0"/>
    <xf numFmtId="44" fontId="1" fillId="0" borderId="0" applyFont="0" applyFill="0" applyBorder="0" applyAlignment="0" applyProtection="0"/>
    <xf numFmtId="0" fontId="118"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18" fillId="0" borderId="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0" fontId="118"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18"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0"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xf numFmtId="37" fontId="133"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169" fontId="18" fillId="0" borderId="0"/>
    <xf numFmtId="43" fontId="18" fillId="0" borderId="0" applyFont="0" applyFill="0" applyBorder="0" applyAlignment="0" applyProtection="0"/>
    <xf numFmtId="0" fontId="26" fillId="0" borderId="105" applyNumberFormat="0" applyAlignment="0" applyProtection="0">
      <alignment horizontal="left" vertical="center"/>
    </xf>
    <xf numFmtId="172" fontId="18" fillId="0" borderId="0"/>
    <xf numFmtId="174" fontId="18" fillId="0" borderId="0"/>
    <xf numFmtId="0" fontId="18" fillId="0" borderId="0"/>
    <xf numFmtId="0" fontId="24" fillId="59" borderId="121" applyNumberFormat="0" applyFont="0" applyAlignment="0" applyProtection="0">
      <protection locked="0"/>
    </xf>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27" fillId="48" borderId="107" applyNumberFormat="0" applyProtection="0">
      <alignment horizontal="left" vertical="center" indent="1"/>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176" fontId="18" fillId="0" borderId="99">
      <alignment horizontal="justify" vertical="top" wrapText="1"/>
    </xf>
    <xf numFmtId="0" fontId="18" fillId="0" borderId="0">
      <alignment horizontal="left" wrapText="1"/>
    </xf>
    <xf numFmtId="177" fontId="18" fillId="0" borderId="0" applyFill="0" applyBorder="0" applyAlignment="0" applyProtection="0">
      <alignment wrapText="1"/>
    </xf>
    <xf numFmtId="0" fontId="18" fillId="0" borderId="0"/>
    <xf numFmtId="44"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4" fontId="27" fillId="34" borderId="77" applyNumberFormat="0" applyProtection="0">
      <alignment vertical="center"/>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37" fontId="18" fillId="0" borderId="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2" fontId="18" fillId="0" borderId="0" applyFill="0" applyBorder="0" applyAlignment="0" applyProtection="0"/>
    <xf numFmtId="0" fontId="18" fillId="0" borderId="0"/>
    <xf numFmtId="179" fontId="18" fillId="0" borderId="0" applyFill="0" applyBorder="0" applyAlignment="0" applyProtection="0"/>
    <xf numFmtId="4" fontId="47" fillId="51" borderId="106" applyNumberFormat="0" applyProtection="0">
      <alignment horizontal="left" vertical="center" indent="1"/>
    </xf>
    <xf numFmtId="0" fontId="18" fillId="0" borderId="0"/>
    <xf numFmtId="0" fontId="18" fillId="0" borderId="0"/>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4" fontId="27" fillId="34" borderId="77" applyNumberFormat="0" applyProtection="0">
      <alignment vertical="center"/>
    </xf>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8" fillId="0" borderId="0"/>
    <xf numFmtId="0" fontId="18" fillId="0" borderId="0"/>
    <xf numFmtId="44" fontId="18" fillId="0" borderId="0" applyFont="0" applyFill="0" applyBorder="0" applyAlignment="0" applyProtection="0"/>
    <xf numFmtId="0" fontId="18" fillId="0" borderId="0"/>
    <xf numFmtId="0" fontId="18" fillId="0" borderId="0"/>
    <xf numFmtId="0" fontId="102" fillId="79" borderId="120" applyNumberFormat="0" applyAlignment="0" applyProtection="0"/>
    <xf numFmtId="4" fontId="27" fillId="34" borderId="77" applyNumberFormat="0" applyProtection="0">
      <alignment vertical="center"/>
    </xf>
    <xf numFmtId="0" fontId="63" fillId="59" borderId="121" applyNumberFormat="0" applyFont="0" applyFill="0" applyAlignment="0" applyProtection="0">
      <protection locked="0"/>
    </xf>
    <xf numFmtId="0" fontId="18" fillId="51" borderId="123" applyNumberFormat="0" applyProtection="0">
      <alignment horizontal="left" vertical="center" indent="1"/>
    </xf>
    <xf numFmtId="0" fontId="110" fillId="77" borderId="120" applyNumberFormat="0" applyAlignment="0" applyProtection="0"/>
    <xf numFmtId="0" fontId="18" fillId="0" borderId="37" applyNumberFormat="0" applyFill="0" applyAlignment="0" applyProtection="0"/>
    <xf numFmtId="0" fontId="18" fillId="0" borderId="0" applyFont="0" applyFill="0" applyBorder="0" applyAlignment="0" applyProtection="0"/>
    <xf numFmtId="0" fontId="18" fillId="0" borderId="0" applyFont="0" applyFill="0" applyBorder="0" applyAlignment="0" applyProtection="0"/>
    <xf numFmtId="17" fontId="18" fillId="0" borderId="0" applyFont="0" applyFill="0" applyBorder="0" applyAlignment="0" applyProtection="0"/>
    <xf numFmtId="0" fontId="18" fillId="0" borderId="0"/>
    <xf numFmtId="0" fontId="18" fillId="0" borderId="0"/>
    <xf numFmtId="0" fontId="21" fillId="35" borderId="85" applyNumberFormat="0" applyFont="0" applyAlignment="0" applyProtection="0">
      <alignment horizontal="center"/>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ont="0" applyFill="0" applyBorder="0" applyAlignment="0" applyProtection="0"/>
    <xf numFmtId="4" fontId="47" fillId="0" borderId="123" applyNumberFormat="0" applyProtection="0">
      <alignment horizontal="right" vertical="center"/>
    </xf>
    <xf numFmtId="4" fontId="47" fillId="0" borderId="123" applyNumberFormat="0" applyProtection="0">
      <alignment horizontal="left" vertical="center" indent="1"/>
    </xf>
    <xf numFmtId="0" fontId="18" fillId="54" borderId="123" applyNumberFormat="0" applyProtection="0">
      <alignment horizontal="left" vertical="top" indent="1"/>
    </xf>
    <xf numFmtId="4" fontId="27" fillId="38" borderId="123" applyNumberFormat="0" applyProtection="0">
      <alignment horizontal="left" vertical="center" indent="1"/>
    </xf>
    <xf numFmtId="0" fontId="18" fillId="0" borderId="0"/>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4" fontId="47" fillId="35" borderId="123" applyNumberFormat="0" applyProtection="0">
      <alignment horizontal="left" vertical="center" indent="1"/>
    </xf>
    <xf numFmtId="0" fontId="18" fillId="50" borderId="123" applyNumberFormat="0" applyProtection="0">
      <alignment horizontal="left" vertical="center" indent="1"/>
    </xf>
    <xf numFmtId="4" fontId="27" fillId="38" borderId="123" applyNumberFormat="0" applyProtection="0">
      <alignment horizontal="left" vertical="center" indent="1"/>
    </xf>
    <xf numFmtId="0" fontId="18" fillId="51" borderId="123" applyNumberFormat="0" applyProtection="0">
      <alignment horizontal="left" vertical="top" indent="1"/>
    </xf>
    <xf numFmtId="0" fontId="21" fillId="35" borderId="12" applyNumberFormat="0" applyFont="0" applyAlignment="0" applyProtection="0">
      <alignment horizontal="center"/>
      <protection locked="0"/>
    </xf>
    <xf numFmtId="4" fontId="47" fillId="44" borderId="123" applyNumberFormat="0" applyProtection="0">
      <alignment horizontal="right" vertical="center"/>
    </xf>
    <xf numFmtId="0" fontId="18" fillId="34" borderId="123" applyNumberFormat="0" applyProtection="0">
      <alignment horizontal="left" vertical="top" indent="1"/>
    </xf>
    <xf numFmtId="0" fontId="18" fillId="85" borderId="123" applyNumberFormat="0" applyProtection="0">
      <alignment horizontal="left" vertical="center" indent="1"/>
    </xf>
    <xf numFmtId="0" fontId="18" fillId="85" borderId="123" applyNumberFormat="0" applyProtection="0">
      <alignment horizontal="left" vertical="center" indent="1"/>
    </xf>
    <xf numFmtId="0" fontId="18" fillId="50" borderId="123" applyNumberFormat="0" applyProtection="0">
      <alignment horizontal="left" vertical="top" indent="1"/>
    </xf>
    <xf numFmtId="4" fontId="47" fillId="43" borderId="123" applyNumberFormat="0" applyProtection="0">
      <alignment horizontal="right" vertical="center"/>
    </xf>
    <xf numFmtId="0" fontId="18" fillId="54" borderId="123" applyNumberFormat="0" applyProtection="0">
      <alignment horizontal="left" vertical="center" indent="1"/>
    </xf>
    <xf numFmtId="0" fontId="105" fillId="0" borderId="127" applyNumberFormat="0" applyFill="0" applyAlignment="0" applyProtection="0"/>
    <xf numFmtId="0" fontId="105" fillId="0" borderId="127" applyNumberFormat="0" applyFill="0" applyAlignment="0" applyProtection="0"/>
    <xf numFmtId="4" fontId="47" fillId="45" borderId="123" applyNumberFormat="0" applyProtection="0">
      <alignment horizontal="right" vertical="center"/>
    </xf>
    <xf numFmtId="0" fontId="102" fillId="79" borderId="124" applyNumberFormat="0" applyAlignment="0" applyProtection="0"/>
    <xf numFmtId="4" fontId="47" fillId="0" borderId="123" applyNumberFormat="0" applyProtection="0">
      <alignment horizontal="right" vertical="center"/>
    </xf>
    <xf numFmtId="0" fontId="18" fillId="34" borderId="123" applyNumberFormat="0" applyProtection="0">
      <alignment horizontal="left" vertical="top" indent="1"/>
    </xf>
    <xf numFmtId="0" fontId="18" fillId="84" borderId="123" applyNumberFormat="0" applyProtection="0">
      <alignment horizontal="left" vertical="center" indent="1"/>
    </xf>
    <xf numFmtId="0" fontId="18" fillId="34" borderId="123" applyNumberFormat="0" applyProtection="0">
      <alignment horizontal="left" vertical="center" indent="1"/>
    </xf>
    <xf numFmtId="0" fontId="18" fillId="50" borderId="123" applyNumberFormat="0" applyProtection="0">
      <alignment horizontal="left" vertical="center" indent="1"/>
    </xf>
    <xf numFmtId="0" fontId="18" fillId="50" borderId="123" applyNumberFormat="0" applyProtection="0">
      <alignment horizontal="left" vertical="top" indent="1"/>
    </xf>
    <xf numFmtId="0" fontId="110" fillId="77" borderId="124" applyNumberFormat="0" applyAlignment="0" applyProtection="0"/>
    <xf numFmtId="4" fontId="47" fillId="41" borderId="123" applyNumberFormat="0" applyProtection="0">
      <alignment horizontal="right" vertical="center"/>
    </xf>
    <xf numFmtId="0" fontId="105" fillId="0" borderId="127" applyNumberFormat="0" applyFill="0" applyAlignment="0" applyProtection="0"/>
    <xf numFmtId="0" fontId="18" fillId="50" borderId="123" applyNumberFormat="0" applyProtection="0">
      <alignment horizontal="left" vertical="center" indent="1"/>
    </xf>
    <xf numFmtId="4" fontId="27" fillId="37" borderId="123" applyNumberFormat="0" applyProtection="0">
      <alignment vertical="center"/>
    </xf>
    <xf numFmtId="0" fontId="18" fillId="85" borderId="123" applyNumberFormat="0" applyProtection="0">
      <alignment horizontal="left" vertical="center" indent="1"/>
    </xf>
    <xf numFmtId="4" fontId="47" fillId="51" borderId="123" applyNumberFormat="0" applyProtection="0">
      <alignment horizontal="right" vertical="center"/>
    </xf>
    <xf numFmtId="4" fontId="47" fillId="35" borderId="123" applyNumberFormat="0" applyProtection="0">
      <alignment horizontal="left" vertical="center" indent="1"/>
    </xf>
    <xf numFmtId="0" fontId="18" fillId="84" borderId="123" applyNumberFormat="0" applyProtection="0">
      <alignment horizontal="left" vertical="top" indent="1"/>
    </xf>
    <xf numFmtId="0" fontId="114" fillId="79" borderId="126" applyNumberFormat="0" applyAlignment="0" applyProtection="0"/>
    <xf numFmtId="0" fontId="24" fillId="59" borderId="128" applyNumberFormat="0" applyFont="0" applyAlignment="0" applyProtection="0">
      <protection locked="0"/>
    </xf>
    <xf numFmtId="4" fontId="47" fillId="40" borderId="123" applyNumberFormat="0" applyProtection="0">
      <alignment horizontal="right" vertical="center"/>
    </xf>
    <xf numFmtId="0" fontId="18" fillId="54" borderId="123" applyNumberFormat="0" applyProtection="0">
      <alignment horizontal="left" vertical="center" indent="1"/>
    </xf>
    <xf numFmtId="0" fontId="105" fillId="0" borderId="127" applyNumberFormat="0" applyFill="0" applyAlignment="0" applyProtection="0"/>
    <xf numFmtId="0" fontId="18" fillId="51" borderId="123" applyNumberFormat="0" applyProtection="0">
      <alignment horizontal="left" vertical="top" indent="1"/>
    </xf>
    <xf numFmtId="0" fontId="110" fillId="77" borderId="124" applyNumberFormat="0" applyAlignment="0" applyProtection="0"/>
    <xf numFmtId="4" fontId="47" fillId="0" borderId="123" applyNumberFormat="0" applyProtection="0">
      <alignment horizontal="right" vertical="center"/>
    </xf>
    <xf numFmtId="0" fontId="47" fillId="34" borderId="123" applyNumberFormat="0" applyProtection="0">
      <alignment horizontal="left" vertical="top"/>
    </xf>
    <xf numFmtId="0" fontId="18" fillId="54" borderId="123" applyNumberFormat="0" applyProtection="0">
      <alignment horizontal="left" vertical="center" indent="1"/>
    </xf>
    <xf numFmtId="4" fontId="47" fillId="44" borderId="123" applyNumberFormat="0" applyProtection="0">
      <alignment horizontal="right" vertical="center"/>
    </xf>
    <xf numFmtId="0" fontId="114" fillId="79" borderId="126" applyNumberFormat="0" applyAlignment="0" applyProtection="0"/>
    <xf numFmtId="0" fontId="18" fillId="49" borderId="123" applyNumberFormat="0" applyProtection="0">
      <alignment horizontal="left" vertical="top" indent="1"/>
    </xf>
    <xf numFmtId="4" fontId="47" fillId="40" borderId="123" applyNumberFormat="0" applyProtection="0">
      <alignment horizontal="right" vertical="center"/>
    </xf>
    <xf numFmtId="0" fontId="114" fillId="79" borderId="126" applyNumberFormat="0" applyAlignment="0" applyProtection="0"/>
    <xf numFmtId="4" fontId="51" fillId="49" borderId="123" applyNumberFormat="0" applyProtection="0">
      <alignment horizontal="right" vertical="center"/>
    </xf>
    <xf numFmtId="4" fontId="47" fillId="35" borderId="123" applyNumberFormat="0" applyProtection="0">
      <alignment vertical="center"/>
    </xf>
    <xf numFmtId="0" fontId="18" fillId="84" borderId="123" applyNumberFormat="0" applyProtection="0">
      <alignment horizontal="left" vertical="top" indent="1"/>
    </xf>
    <xf numFmtId="4" fontId="25" fillId="49" borderId="123" applyNumberFormat="0" applyProtection="0">
      <alignment horizontal="right" vertical="center"/>
    </xf>
    <xf numFmtId="4" fontId="47" fillId="35" borderId="123" applyNumberFormat="0" applyProtection="0">
      <alignment vertical="center"/>
    </xf>
    <xf numFmtId="0" fontId="18" fillId="50"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4" fontId="47" fillId="46" borderId="123" applyNumberFormat="0" applyProtection="0">
      <alignment horizontal="right" vertical="center"/>
    </xf>
    <xf numFmtId="0" fontId="18" fillId="54" borderId="123" applyNumberFormat="0" applyProtection="0">
      <alignment horizontal="left" vertical="top" indent="1"/>
    </xf>
    <xf numFmtId="0" fontId="105" fillId="0" borderId="127" applyNumberFormat="0" applyFill="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4" fontId="27" fillId="38" borderId="123" applyNumberFormat="0" applyProtection="0">
      <alignment horizontal="left" vertical="center" indent="1"/>
    </xf>
    <xf numFmtId="0" fontId="18" fillId="55" borderId="123" applyNumberFormat="0" applyProtection="0">
      <alignment horizontal="left" vertical="top" indent="1"/>
    </xf>
    <xf numFmtId="0" fontId="18" fillId="50" borderId="123" applyNumberFormat="0" applyProtection="0">
      <alignment horizontal="left" vertical="top" indent="1"/>
    </xf>
    <xf numFmtId="4" fontId="47" fillId="47" borderId="123" applyNumberFormat="0" applyProtection="0">
      <alignment horizontal="right" vertical="center"/>
    </xf>
    <xf numFmtId="0" fontId="102" fillId="79" borderId="124" applyNumberFormat="0" applyAlignment="0" applyProtection="0"/>
    <xf numFmtId="0" fontId="18" fillId="49" borderId="123" applyNumberFormat="0" applyProtection="0">
      <alignment horizontal="left" vertical="center" indent="1"/>
    </xf>
    <xf numFmtId="0" fontId="105" fillId="0" borderId="127" applyNumberFormat="0" applyFill="0" applyAlignment="0" applyProtection="0"/>
    <xf numFmtId="0" fontId="18" fillId="54" borderId="123" applyNumberFormat="0" applyProtection="0">
      <alignment horizontal="left" vertical="center" indent="1"/>
    </xf>
    <xf numFmtId="0" fontId="18" fillId="55" borderId="123" applyNumberFormat="0" applyProtection="0">
      <alignment horizontal="left" vertical="top" indent="1"/>
    </xf>
    <xf numFmtId="0" fontId="114" fillId="79" borderId="126" applyNumberFormat="0" applyAlignment="0" applyProtection="0"/>
    <xf numFmtId="4" fontId="47" fillId="0" borderId="123" applyNumberFormat="0" applyProtection="0">
      <alignment horizontal="left" vertical="center" indent="1"/>
    </xf>
    <xf numFmtId="0" fontId="18" fillId="49" borderId="123" applyNumberFormat="0" applyProtection="0">
      <alignment horizontal="left" vertical="center" indent="1"/>
    </xf>
    <xf numFmtId="0" fontId="18" fillId="76" borderId="125" applyNumberFormat="0" applyFont="0" applyAlignment="0" applyProtection="0"/>
    <xf numFmtId="0" fontId="18" fillId="34" borderId="123" applyNumberFormat="0" applyProtection="0">
      <alignment horizontal="left" vertical="center" indent="1"/>
    </xf>
    <xf numFmtId="0" fontId="27" fillId="38" borderId="123" applyNumberFormat="0" applyProtection="0">
      <alignment horizontal="left" vertical="top" indent="1"/>
    </xf>
    <xf numFmtId="0" fontId="18" fillId="76" borderId="125" applyNumberFormat="0" applyFont="0" applyAlignment="0" applyProtection="0"/>
    <xf numFmtId="0" fontId="18" fillId="51" borderId="123" applyNumberFormat="0" applyProtection="0">
      <alignment horizontal="left" vertical="center" indent="1"/>
    </xf>
    <xf numFmtId="4" fontId="47" fillId="0" borderId="123" applyNumberFormat="0" applyProtection="0">
      <alignment horizontal="left" vertical="center" indent="1"/>
    </xf>
    <xf numFmtId="0" fontId="18" fillId="49" borderId="123" applyNumberFormat="0" applyProtection="0">
      <alignment horizontal="left" vertical="top" indent="1"/>
    </xf>
    <xf numFmtId="0" fontId="18" fillId="54" borderId="123" applyNumberFormat="0" applyProtection="0">
      <alignment horizontal="left" vertical="top" indent="1"/>
    </xf>
    <xf numFmtId="0" fontId="114" fillId="79" borderId="126" applyNumberFormat="0" applyAlignment="0" applyProtection="0"/>
    <xf numFmtId="0" fontId="105" fillId="0" borderId="127" applyNumberFormat="0" applyFill="0" applyAlignment="0" applyProtection="0"/>
    <xf numFmtId="0" fontId="18" fillId="85" borderId="123" applyNumberFormat="0" applyProtection="0">
      <alignment horizontal="left" vertical="top" indent="1"/>
    </xf>
    <xf numFmtId="4" fontId="47" fillId="45" borderId="123" applyNumberFormat="0" applyProtection="0">
      <alignment horizontal="right" vertical="center"/>
    </xf>
    <xf numFmtId="0" fontId="110" fillId="77" borderId="124" applyNumberFormat="0" applyAlignment="0" applyProtection="0"/>
    <xf numFmtId="0" fontId="18" fillId="84" borderId="123" applyNumberFormat="0" applyProtection="0">
      <alignment horizontal="left" vertical="center" indent="1"/>
    </xf>
    <xf numFmtId="0" fontId="18" fillId="49" borderId="123" applyNumberFormat="0" applyProtection="0">
      <alignment horizontal="left" vertical="top" indent="1"/>
    </xf>
    <xf numFmtId="44" fontId="18" fillId="0" borderId="0" applyFont="0" applyFill="0" applyBorder="0" applyAlignment="0" applyProtection="0"/>
    <xf numFmtId="0" fontId="18" fillId="55" borderId="123" applyNumberFormat="0" applyProtection="0">
      <alignment horizontal="left" vertical="center" indent="1"/>
    </xf>
    <xf numFmtId="0" fontId="47" fillId="34" borderId="123" applyNumberFormat="0" applyProtection="0">
      <alignment horizontal="left" vertical="top"/>
    </xf>
    <xf numFmtId="0" fontId="18" fillId="54" borderId="123" applyNumberFormat="0" applyProtection="0">
      <alignment horizontal="left" vertical="top" indent="1"/>
    </xf>
    <xf numFmtId="4" fontId="47" fillId="44" borderId="123" applyNumberFormat="0" applyProtection="0">
      <alignment horizontal="right" vertical="center"/>
    </xf>
    <xf numFmtId="4" fontId="47" fillId="0" borderId="123" applyNumberFormat="0" applyProtection="0">
      <alignment horizontal="right" vertical="center"/>
    </xf>
    <xf numFmtId="0" fontId="18" fillId="51" borderId="123" applyNumberFormat="0" applyProtection="0">
      <alignment horizontal="left" vertical="center" indent="1"/>
    </xf>
    <xf numFmtId="4" fontId="27" fillId="37" borderId="123" applyNumberFormat="0" applyProtection="0">
      <alignment vertical="center"/>
    </xf>
    <xf numFmtId="0" fontId="105" fillId="0" borderId="127" applyNumberFormat="0" applyFill="0" applyAlignment="0" applyProtection="0"/>
    <xf numFmtId="0" fontId="27" fillId="38" borderId="123" applyNumberFormat="0" applyProtection="0">
      <alignment horizontal="left" vertical="top" indent="1"/>
    </xf>
    <xf numFmtId="0" fontId="18" fillId="51" borderId="123" applyNumberFormat="0" applyProtection="0">
      <alignment horizontal="left" vertical="top" indent="1"/>
    </xf>
    <xf numFmtId="0" fontId="47" fillId="34" borderId="123" applyNumberFormat="0" applyProtection="0">
      <alignment horizontal="left" vertical="top"/>
    </xf>
    <xf numFmtId="0" fontId="18" fillId="85"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left" vertical="center" indent="1"/>
    </xf>
    <xf numFmtId="4" fontId="25" fillId="49" borderId="123" applyNumberFormat="0" applyProtection="0">
      <alignment horizontal="right" vertical="center"/>
    </xf>
    <xf numFmtId="0" fontId="18" fillId="54" borderId="123" applyNumberFormat="0" applyProtection="0">
      <alignment horizontal="left" vertical="center" indent="1"/>
    </xf>
    <xf numFmtId="4" fontId="47" fillId="46" borderId="123" applyNumberFormat="0" applyProtection="0">
      <alignment horizontal="right" vertical="center"/>
    </xf>
    <xf numFmtId="0" fontId="18" fillId="85" borderId="123" applyNumberFormat="0" applyProtection="0">
      <alignment horizontal="left" vertical="center" indent="1"/>
    </xf>
    <xf numFmtId="0" fontId="114" fillId="79" borderId="126" applyNumberFormat="0" applyAlignment="0" applyProtection="0"/>
    <xf numFmtId="4" fontId="27" fillId="38" borderId="123" applyNumberFormat="0" applyProtection="0">
      <alignment horizontal="left" vertical="center" indent="1"/>
    </xf>
    <xf numFmtId="0" fontId="18" fillId="55" borderId="123" applyNumberFormat="0" applyProtection="0">
      <alignment horizontal="left" vertical="center" indent="1"/>
    </xf>
    <xf numFmtId="4" fontId="46" fillId="38" borderId="123" applyNumberFormat="0" applyProtection="0">
      <alignment vertical="center"/>
    </xf>
    <xf numFmtId="0" fontId="114" fillId="79" borderId="126" applyNumberFormat="0" applyAlignment="0" applyProtection="0"/>
    <xf numFmtId="0" fontId="105" fillId="0" borderId="127" applyNumberFormat="0" applyFill="0" applyAlignment="0" applyProtection="0"/>
    <xf numFmtId="4" fontId="47" fillId="39" borderId="123" applyNumberFormat="0" applyProtection="0">
      <alignment horizontal="right" vertical="center"/>
    </xf>
    <xf numFmtId="4" fontId="27" fillId="34" borderId="130" applyNumberFormat="0" applyProtection="0">
      <alignment vertical="center"/>
    </xf>
    <xf numFmtId="4" fontId="47" fillId="35" borderId="123" applyNumberFormat="0" applyProtection="0">
      <alignment horizontal="left" vertical="center" indent="1"/>
    </xf>
    <xf numFmtId="0" fontId="18" fillId="84" borderId="123" applyNumberFormat="0" applyProtection="0">
      <alignment horizontal="left" vertical="top" indent="1"/>
    </xf>
    <xf numFmtId="0" fontId="18" fillId="85" borderId="123" applyNumberFormat="0" applyProtection="0">
      <alignment horizontal="left" vertical="center" indent="1"/>
    </xf>
    <xf numFmtId="0" fontId="18" fillId="49" borderId="123" applyNumberFormat="0" applyProtection="0">
      <alignment horizontal="left" vertical="center" indent="1"/>
    </xf>
    <xf numFmtId="0" fontId="114" fillId="79" borderId="126" applyNumberFormat="0" applyAlignment="0" applyProtection="0"/>
    <xf numFmtId="0" fontId="102" fillId="79" borderId="124" applyNumberFormat="0" applyAlignment="0" applyProtection="0"/>
    <xf numFmtId="0" fontId="18" fillId="76" borderId="125" applyNumberFormat="0" applyFont="0" applyAlignment="0" applyProtection="0"/>
    <xf numFmtId="0" fontId="102" fillId="79" borderId="124" applyNumberFormat="0" applyAlignment="0" applyProtection="0"/>
    <xf numFmtId="0" fontId="18" fillId="0" borderId="0"/>
    <xf numFmtId="4" fontId="27" fillId="37" borderId="123" applyNumberFormat="0" applyProtection="0">
      <alignment vertical="center"/>
    </xf>
    <xf numFmtId="4" fontId="27" fillId="38" borderId="123" applyNumberFormat="0" applyProtection="0">
      <alignment horizontal="left" vertical="center" indent="1"/>
    </xf>
    <xf numFmtId="0" fontId="18" fillId="34" borderId="123" applyNumberFormat="0" applyProtection="0">
      <alignment horizontal="left" vertical="top" indent="1"/>
    </xf>
    <xf numFmtId="4" fontId="47" fillId="51" borderId="123" applyNumberFormat="0" applyProtection="0">
      <alignment horizontal="left" vertical="center" indent="1"/>
    </xf>
    <xf numFmtId="4" fontId="27" fillId="38" borderId="123" applyNumberFormat="0" applyProtection="0">
      <alignment vertical="center"/>
    </xf>
    <xf numFmtId="0" fontId="24" fillId="59" borderId="128" applyNumberFormat="0" applyFont="0" applyAlignment="0" applyProtection="0">
      <protection locked="0"/>
    </xf>
    <xf numFmtId="0" fontId="18" fillId="34" borderId="123" applyNumberFormat="0" applyProtection="0">
      <alignment horizontal="left" vertical="top"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8" fillId="50" borderId="123" applyNumberFormat="0" applyProtection="0">
      <alignment horizontal="left" vertical="top" indent="1"/>
    </xf>
    <xf numFmtId="4" fontId="27" fillId="34" borderId="123" applyNumberForma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50" borderId="123" applyNumberFormat="0" applyProtection="0">
      <alignment horizontal="left" vertical="center" indent="1"/>
    </xf>
    <xf numFmtId="0" fontId="18" fillId="76" borderId="115" applyNumberFormat="0" applyFont="0" applyAlignment="0" applyProtection="0"/>
    <xf numFmtId="4" fontId="51" fillId="35" borderId="123" applyNumberFormat="0" applyProtection="0">
      <alignment vertical="center"/>
    </xf>
    <xf numFmtId="0" fontId="18" fillId="50" borderId="123" applyNumberFormat="0" applyProtection="0">
      <alignment horizontal="left" vertical="center" indent="1"/>
    </xf>
    <xf numFmtId="4" fontId="27" fillId="38" borderId="123" applyNumberFormat="0" applyProtection="0">
      <alignment horizontal="left" vertical="center" indent="1"/>
    </xf>
    <xf numFmtId="0" fontId="18" fillId="54" borderId="123" applyNumberFormat="0" applyProtection="0">
      <alignment horizontal="left" vertical="top" indent="1"/>
    </xf>
    <xf numFmtId="0" fontId="21" fillId="35" borderId="12" applyNumberFormat="0" applyFont="0" applyAlignment="0" applyProtection="0">
      <alignment horizontal="center"/>
      <protection locked="0"/>
    </xf>
    <xf numFmtId="0" fontId="18" fillId="76" borderId="125" applyNumberFormat="0" applyFont="0" applyAlignment="0" applyProtection="0"/>
    <xf numFmtId="0" fontId="18" fillId="76" borderId="125" applyNumberFormat="0" applyFont="0" applyAlignment="0" applyProtection="0"/>
    <xf numFmtId="0" fontId="105" fillId="0" borderId="127" applyNumberFormat="0" applyFill="0" applyAlignment="0" applyProtection="0"/>
    <xf numFmtId="0" fontId="114" fillId="79" borderId="126" applyNumberFormat="0" applyAlignment="0" applyProtection="0"/>
    <xf numFmtId="0" fontId="114" fillId="79" borderId="126" applyNumberFormat="0" applyAlignment="0" applyProtection="0"/>
    <xf numFmtId="4" fontId="47" fillId="45" borderId="123" applyNumberFormat="0" applyProtection="0">
      <alignment horizontal="right" vertical="center"/>
    </xf>
    <xf numFmtId="0" fontId="18" fillId="54" borderId="123" applyNumberFormat="0" applyProtection="0">
      <alignment horizontal="left" vertical="top" indent="1"/>
    </xf>
    <xf numFmtId="0" fontId="110" fillId="77" borderId="124" applyNumberFormat="0" applyAlignment="0" applyProtection="0"/>
    <xf numFmtId="0" fontId="18" fillId="51" borderId="123" applyNumberFormat="0" applyProtection="0">
      <alignment horizontal="left" vertical="center" indent="1"/>
    </xf>
    <xf numFmtId="0" fontId="18" fillId="76" borderId="125" applyNumberFormat="0" applyFont="0" applyAlignment="0" applyProtection="0"/>
    <xf numFmtId="4" fontId="47" fillId="40" borderId="123" applyNumberFormat="0" applyProtection="0">
      <alignment horizontal="right" vertical="center"/>
    </xf>
    <xf numFmtId="0" fontId="27" fillId="38" borderId="123" applyNumberFormat="0" applyProtection="0">
      <alignment horizontal="left" vertical="top" indent="1"/>
    </xf>
    <xf numFmtId="0" fontId="18" fillId="49" borderId="123" applyNumberFormat="0" applyProtection="0">
      <alignment horizontal="left" vertical="top" indent="1"/>
    </xf>
    <xf numFmtId="4" fontId="46" fillId="38" borderId="123" applyNumberFormat="0" applyProtection="0">
      <alignment vertical="center"/>
    </xf>
    <xf numFmtId="0" fontId="18" fillId="51" borderId="123" applyNumberFormat="0" applyProtection="0">
      <alignment horizontal="left" vertical="top" indent="1"/>
    </xf>
    <xf numFmtId="4" fontId="47" fillId="59" borderId="123" applyNumberFormat="0" applyProtection="0">
      <alignment horizontal="left" vertical="center" indent="1"/>
    </xf>
    <xf numFmtId="4" fontId="47" fillId="44" borderId="123" applyNumberFormat="0" applyProtection="0">
      <alignment horizontal="right" vertical="center"/>
    </xf>
    <xf numFmtId="0" fontId="105" fillId="0" borderId="127" applyNumberFormat="0" applyFill="0" applyAlignment="0" applyProtection="0"/>
    <xf numFmtId="0" fontId="18" fillId="84" borderId="123" applyNumberFormat="0" applyProtection="0">
      <alignment horizontal="left" vertical="center" indent="1"/>
    </xf>
    <xf numFmtId="0" fontId="18" fillId="55" borderId="123" applyNumberFormat="0" applyProtection="0">
      <alignment horizontal="left" vertical="top" indent="1"/>
    </xf>
    <xf numFmtId="4" fontId="47" fillId="45" borderId="123" applyNumberFormat="0" applyProtection="0">
      <alignment horizontal="right" vertical="center"/>
    </xf>
    <xf numFmtId="4" fontId="47" fillId="0" borderId="123" applyNumberFormat="0" applyProtection="0">
      <alignment horizontal="righ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84" borderId="123" applyNumberFormat="0" applyProtection="0">
      <alignment horizontal="left" vertical="top" indent="1"/>
    </xf>
    <xf numFmtId="0" fontId="18" fillId="76" borderId="12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center" indent="1"/>
    </xf>
    <xf numFmtId="4" fontId="47" fillId="40" borderId="123" applyNumberFormat="0" applyProtection="0">
      <alignment horizontal="right" vertical="center"/>
    </xf>
    <xf numFmtId="4" fontId="47" fillId="35" borderId="123" applyNumberFormat="0" applyProtection="0">
      <alignment horizontal="left" vertical="center" indent="1"/>
    </xf>
    <xf numFmtId="0" fontId="105" fillId="0" borderId="127" applyNumberFormat="0" applyFill="0" applyAlignment="0" applyProtection="0"/>
    <xf numFmtId="0" fontId="18" fillId="84" borderId="123" applyNumberFormat="0" applyProtection="0">
      <alignment horizontal="left" vertical="top" indent="1"/>
    </xf>
    <xf numFmtId="4" fontId="47" fillId="0" borderId="123" applyNumberFormat="0" applyProtection="0">
      <alignment horizontal="left" vertical="center" indent="1"/>
    </xf>
    <xf numFmtId="0" fontId="18" fillId="85" borderId="123" applyNumberFormat="0" applyProtection="0">
      <alignment horizontal="left" vertical="center" indent="1"/>
    </xf>
    <xf numFmtId="0" fontId="18" fillId="51" borderId="123" applyNumberFormat="0" applyProtection="0">
      <alignment horizontal="left" vertical="top" indent="1"/>
    </xf>
    <xf numFmtId="4" fontId="51" fillId="35" borderId="123" applyNumberFormat="0" applyProtection="0">
      <alignment vertical="center"/>
    </xf>
    <xf numFmtId="4" fontId="47" fillId="45" borderId="123" applyNumberFormat="0" applyProtection="0">
      <alignment horizontal="right" vertical="center"/>
    </xf>
    <xf numFmtId="0" fontId="18" fillId="55" borderId="123" applyNumberFormat="0" applyProtection="0">
      <alignment horizontal="left" vertical="top" indent="1"/>
    </xf>
    <xf numFmtId="0" fontId="102" fillId="79" borderId="124" applyNumberFormat="0" applyAlignment="0" applyProtection="0"/>
    <xf numFmtId="0" fontId="63" fillId="59" borderId="128" applyNumberFormat="0" applyFont="0" applyFill="0" applyAlignment="0" applyProtection="0">
      <protection locked="0"/>
    </xf>
    <xf numFmtId="0" fontId="18" fillId="49" borderId="123" applyNumberFormat="0" applyProtection="0">
      <alignment horizontal="left" vertical="center" indent="1"/>
    </xf>
    <xf numFmtId="0" fontId="105" fillId="0" borderId="127" applyNumberFormat="0" applyFill="0" applyAlignment="0" applyProtection="0"/>
    <xf numFmtId="0" fontId="47" fillId="34" borderId="123" applyNumberFormat="0" applyProtection="0">
      <alignment horizontal="left" vertical="top"/>
    </xf>
    <xf numFmtId="4" fontId="27" fillId="34" borderId="123" applyNumberFormat="0" applyProtection="0"/>
    <xf numFmtId="4" fontId="27" fillId="34" borderId="123" applyNumberFormat="0" applyProtection="0"/>
    <xf numFmtId="0" fontId="114" fillId="79" borderId="126" applyNumberFormat="0" applyAlignment="0" applyProtection="0"/>
    <xf numFmtId="0" fontId="18" fillId="54" borderId="123" applyNumberFormat="0" applyProtection="0">
      <alignment horizontal="left" vertical="center" indent="1"/>
    </xf>
    <xf numFmtId="0" fontId="18" fillId="34"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right" vertical="center"/>
    </xf>
    <xf numFmtId="0" fontId="47" fillId="34" borderId="123" applyNumberFormat="0" applyProtection="0">
      <alignment horizontal="center" vertical="top"/>
    </xf>
    <xf numFmtId="4" fontId="47" fillId="41" borderId="123" applyNumberFormat="0" applyProtection="0">
      <alignment horizontal="right" vertical="center"/>
    </xf>
    <xf numFmtId="4" fontId="47" fillId="35" borderId="123" applyNumberFormat="0" applyProtection="0">
      <alignment horizontal="left" vertical="center" indent="1"/>
    </xf>
    <xf numFmtId="0" fontId="18" fillId="76" borderId="125" applyNumberFormat="0" applyFont="0" applyAlignment="0" applyProtection="0"/>
    <xf numFmtId="0" fontId="18" fillId="50" borderId="123" applyNumberFormat="0" applyProtection="0">
      <alignment horizontal="left" vertical="top" indent="1"/>
    </xf>
    <xf numFmtId="0" fontId="114" fillId="79" borderId="126" applyNumberFormat="0" applyAlignment="0" applyProtection="0"/>
    <xf numFmtId="4" fontId="27" fillId="38" borderId="123" applyNumberFormat="0" applyProtection="0">
      <alignment horizontal="left" vertical="center" indent="1"/>
    </xf>
    <xf numFmtId="0" fontId="105" fillId="0" borderId="127" applyNumberFormat="0" applyFill="0" applyAlignment="0" applyProtection="0"/>
    <xf numFmtId="4" fontId="27" fillId="38" borderId="123" applyNumberFormat="0" applyProtection="0">
      <alignment horizontal="left" vertical="center" indent="1"/>
    </xf>
    <xf numFmtId="0" fontId="18" fillId="34" borderId="123" applyNumberFormat="0" applyProtection="0">
      <alignment horizontal="left" vertical="center" indent="1"/>
    </xf>
    <xf numFmtId="4" fontId="27" fillId="34" borderId="123" applyNumberFormat="0" applyProtection="0"/>
    <xf numFmtId="0" fontId="102" fillId="79" borderId="120" applyNumberFormat="0" applyAlignment="0" applyProtection="0"/>
    <xf numFmtId="0" fontId="110" fillId="77" borderId="120" applyNumberFormat="0" applyAlignment="0" applyProtection="0"/>
    <xf numFmtId="0" fontId="114" fillId="79" borderId="116" applyNumberFormat="0" applyAlignment="0" applyProtection="0"/>
    <xf numFmtId="0" fontId="114" fillId="79" borderId="116" applyNumberFormat="0" applyAlignment="0" applyProtection="0"/>
    <xf numFmtId="0" fontId="102" fillId="79" borderId="124" applyNumberForma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63" fillId="59" borderId="128" applyNumberFormat="0" applyFont="0" applyFill="0" applyAlignment="0" applyProtection="0">
      <protection locked="0"/>
    </xf>
    <xf numFmtId="0" fontId="18" fillId="50" borderId="123" applyNumberFormat="0" applyProtection="0">
      <alignment horizontal="left" vertical="top" indent="1"/>
    </xf>
    <xf numFmtId="0" fontId="18" fillId="76" borderId="125" applyNumberFormat="0" applyFont="0" applyAlignment="0" applyProtection="0"/>
    <xf numFmtId="0" fontId="102" fillId="79" borderId="124" applyNumberFormat="0" applyAlignment="0" applyProtection="0"/>
    <xf numFmtId="0" fontId="18" fillId="49" borderId="123" applyNumberFormat="0" applyProtection="0">
      <alignment horizontal="left" vertical="center" indent="1"/>
    </xf>
    <xf numFmtId="0" fontId="110" fillId="77" borderId="124" applyNumberFormat="0" applyAlignment="0" applyProtection="0"/>
    <xf numFmtId="0" fontId="18" fillId="84" borderId="123" applyNumberFormat="0" applyProtection="0">
      <alignment horizontal="left" vertical="top" indent="1"/>
    </xf>
    <xf numFmtId="4" fontId="47" fillId="35" borderId="123" applyNumberFormat="0" applyProtection="0">
      <alignment horizontal="left" vertical="center" indent="1"/>
    </xf>
    <xf numFmtId="4" fontId="27" fillId="34" borderId="123" applyNumberFormat="0" applyProtection="0"/>
    <xf numFmtId="0" fontId="18" fillId="34" borderId="123" applyNumberFormat="0" applyProtection="0">
      <alignment horizontal="left" vertical="top" indent="1"/>
    </xf>
    <xf numFmtId="0" fontId="18" fillId="49" borderId="123" applyNumberFormat="0" applyProtection="0">
      <alignment horizontal="left" vertical="center" indent="1"/>
    </xf>
    <xf numFmtId="0" fontId="18" fillId="85" borderId="123" applyNumberFormat="0" applyProtection="0">
      <alignment horizontal="left" vertical="center" indent="1"/>
    </xf>
    <xf numFmtId="4" fontId="47" fillId="0" borderId="123" applyNumberFormat="0" applyProtection="0">
      <alignment horizontal="right" vertical="center"/>
    </xf>
    <xf numFmtId="0" fontId="18" fillId="51" borderId="123" applyNumberFormat="0" applyProtection="0">
      <alignment horizontal="left" vertical="top" indent="1"/>
    </xf>
    <xf numFmtId="0" fontId="110" fillId="77" borderId="124" applyNumberFormat="0" applyAlignment="0" applyProtection="0"/>
    <xf numFmtId="0" fontId="18" fillId="76" borderId="125" applyNumberFormat="0" applyFont="0" applyAlignment="0" applyProtection="0"/>
    <xf numFmtId="0" fontId="105" fillId="0" borderId="127" applyNumberFormat="0" applyFill="0" applyAlignment="0" applyProtection="0"/>
    <xf numFmtId="0" fontId="18" fillId="50" borderId="123" applyNumberFormat="0" applyProtection="0">
      <alignment horizontal="left" vertical="center" indent="1"/>
    </xf>
    <xf numFmtId="0" fontId="114" fillId="79" borderId="126" applyNumberFormat="0" applyAlignment="0" applyProtection="0"/>
    <xf numFmtId="0" fontId="114" fillId="79" borderId="126" applyNumberFormat="0" applyAlignment="0" applyProtection="0"/>
    <xf numFmtId="0" fontId="105" fillId="0" borderId="127" applyNumberFormat="0" applyFill="0" applyAlignment="0" applyProtection="0"/>
    <xf numFmtId="0" fontId="105" fillId="0" borderId="127" applyNumberFormat="0" applyFill="0" applyAlignment="0" applyProtection="0"/>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27" fillId="38" borderId="123" applyNumberFormat="0" applyProtection="0">
      <alignment horizontal="left" vertical="center" indent="1"/>
    </xf>
    <xf numFmtId="0" fontId="110" fillId="77" borderId="124" applyNumberFormat="0" applyAlignment="0" applyProtection="0"/>
    <xf numFmtId="0" fontId="18" fillId="51" borderId="123" applyNumberFormat="0" applyProtection="0">
      <alignment horizontal="left" vertical="top" indent="1"/>
    </xf>
    <xf numFmtId="4" fontId="51" fillId="49" borderId="123" applyNumberFormat="0" applyProtection="0">
      <alignment horizontal="right" vertical="center"/>
    </xf>
    <xf numFmtId="0" fontId="18" fillId="76" borderId="115" applyNumberFormat="0" applyFont="0" applyAlignment="0" applyProtection="0"/>
    <xf numFmtId="0" fontId="18" fillId="34" borderId="123" applyNumberFormat="0" applyProtection="0">
      <alignment horizontal="left" vertical="center" indent="1"/>
    </xf>
    <xf numFmtId="0" fontId="18" fillId="54" borderId="123" applyNumberFormat="0" applyProtection="0">
      <alignment horizontal="left" vertical="top" indent="1"/>
    </xf>
    <xf numFmtId="4" fontId="27" fillId="34" borderId="123" applyNumberFormat="0" applyProtection="0"/>
    <xf numFmtId="0" fontId="26" fillId="0" borderId="129">
      <alignment horizontal="left" vertical="center"/>
    </xf>
    <xf numFmtId="0" fontId="26" fillId="0" borderId="113">
      <alignment horizontal="left" vertical="center"/>
    </xf>
    <xf numFmtId="0" fontId="114" fillId="79" borderId="126" applyNumberFormat="0" applyAlignment="0" applyProtection="0"/>
    <xf numFmtId="4" fontId="27" fillId="38" borderId="123" applyNumberFormat="0" applyProtection="0">
      <alignment horizontal="left" vertical="center" indent="1"/>
    </xf>
    <xf numFmtId="0" fontId="18" fillId="51" borderId="123" applyNumberFormat="0" applyProtection="0">
      <alignment horizontal="left" vertical="top" indent="1"/>
    </xf>
    <xf numFmtId="0" fontId="18" fillId="85" borderId="123" applyNumberFormat="0" applyProtection="0">
      <alignment horizontal="left" vertical="top" indent="1"/>
    </xf>
    <xf numFmtId="0" fontId="18" fillId="49" borderId="123" applyNumberFormat="0" applyProtection="0">
      <alignment horizontal="left" vertical="center" indent="1"/>
    </xf>
    <xf numFmtId="4" fontId="47" fillId="47" borderId="123" applyNumberFormat="0" applyProtection="0">
      <alignment horizontal="right" vertical="center"/>
    </xf>
    <xf numFmtId="0" fontId="110" fillId="77" borderId="124" applyNumberFormat="0" applyAlignment="0" applyProtection="0"/>
    <xf numFmtId="4" fontId="47" fillId="44" borderId="123" applyNumberFormat="0" applyProtection="0">
      <alignment horizontal="right" vertical="center"/>
    </xf>
    <xf numFmtId="0" fontId="18" fillId="51" borderId="123" applyNumberFormat="0" applyProtection="0">
      <alignment horizontal="left" vertical="top" indent="1"/>
    </xf>
    <xf numFmtId="0" fontId="18" fillId="76" borderId="125" applyNumberFormat="0" applyFont="0" applyAlignment="0" applyProtection="0"/>
    <xf numFmtId="4" fontId="47" fillId="39" borderId="123" applyNumberFormat="0" applyProtection="0">
      <alignment horizontal="right" vertical="center"/>
    </xf>
    <xf numFmtId="4" fontId="47" fillId="0" borderId="123" applyNumberFormat="0" applyProtection="0">
      <alignment horizontal="right" vertical="center"/>
    </xf>
    <xf numFmtId="0" fontId="18" fillId="76" borderId="125" applyNumberFormat="0" applyFont="0" applyAlignment="0" applyProtection="0"/>
    <xf numFmtId="4" fontId="47" fillId="0" borderId="123" applyNumberFormat="0" applyProtection="0">
      <alignment horizontal="right" vertical="center"/>
    </xf>
    <xf numFmtId="4" fontId="47" fillId="35" borderId="123" applyNumberFormat="0" applyProtection="0">
      <alignment vertical="center"/>
    </xf>
    <xf numFmtId="4" fontId="47" fillId="39" borderId="123" applyNumberFormat="0" applyProtection="0">
      <alignment horizontal="right" vertical="center"/>
    </xf>
    <xf numFmtId="0" fontId="18" fillId="84"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4" fontId="46" fillId="38" borderId="123" applyNumberFormat="0" applyProtection="0">
      <alignment vertical="center"/>
    </xf>
    <xf numFmtId="0" fontId="18" fillId="54" borderId="123" applyNumberFormat="0" applyProtection="0">
      <alignment horizontal="left" vertical="center" indent="1"/>
    </xf>
    <xf numFmtId="0" fontId="18" fillId="85" borderId="123" applyNumberFormat="0" applyProtection="0">
      <alignment horizontal="left" vertical="center" indent="1"/>
    </xf>
    <xf numFmtId="0" fontId="63" fillId="59" borderId="128" applyNumberFormat="0" applyFont="0" applyFill="0" applyAlignment="0" applyProtection="0">
      <protection locked="0"/>
    </xf>
    <xf numFmtId="0" fontId="105" fillId="0" borderId="127" applyNumberFormat="0" applyFill="0" applyAlignment="0" applyProtection="0"/>
    <xf numFmtId="4" fontId="27" fillId="37" borderId="123" applyNumberFormat="0" applyProtection="0">
      <alignment vertical="center"/>
    </xf>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0" fontId="47" fillId="34" borderId="123" applyNumberFormat="0" applyProtection="0">
      <alignment horizontal="left" vertical="top"/>
    </xf>
    <xf numFmtId="0" fontId="18" fillId="76" borderId="115" applyNumberFormat="0" applyFont="0" applyAlignment="0" applyProtection="0"/>
    <xf numFmtId="0" fontId="18" fillId="55" borderId="123" applyNumberFormat="0" applyProtection="0">
      <alignment horizontal="left" vertical="top" indent="1"/>
    </xf>
    <xf numFmtId="4" fontId="47" fillId="39" borderId="123" applyNumberFormat="0" applyProtection="0">
      <alignment horizontal="right" vertical="center"/>
    </xf>
    <xf numFmtId="0" fontId="114" fillId="79" borderId="126" applyNumberFormat="0" applyAlignment="0" applyProtection="0"/>
    <xf numFmtId="0" fontId="18" fillId="85" borderId="123" applyNumberFormat="0" applyProtection="0">
      <alignment horizontal="left" vertical="center" indent="1"/>
    </xf>
    <xf numFmtId="0" fontId="18" fillId="34" borderId="123" applyNumberFormat="0" applyProtection="0">
      <alignment horizontal="left" vertical="top" indent="1"/>
    </xf>
    <xf numFmtId="0" fontId="102" fillId="79" borderId="124" applyNumberFormat="0" applyAlignment="0" applyProtection="0"/>
    <xf numFmtId="0" fontId="18" fillId="54" borderId="123" applyNumberFormat="0" applyProtection="0">
      <alignment horizontal="left" vertical="top" indent="1"/>
    </xf>
    <xf numFmtId="0" fontId="18" fillId="51" borderId="123" applyNumberFormat="0" applyProtection="0">
      <alignment horizontal="left" vertical="center" indent="1"/>
    </xf>
    <xf numFmtId="0" fontId="18" fillId="76" borderId="125" applyNumberFormat="0" applyFont="0" applyAlignment="0" applyProtection="0"/>
    <xf numFmtId="0" fontId="102" fillId="79" borderId="124" applyNumberFormat="0" applyAlignment="0" applyProtection="0"/>
    <xf numFmtId="0" fontId="18" fillId="55" borderId="123" applyNumberFormat="0" applyProtection="0">
      <alignment horizontal="left" vertical="top" indent="1"/>
    </xf>
    <xf numFmtId="0" fontId="102" fillId="79" borderId="124" applyNumberFormat="0" applyAlignment="0" applyProtection="0"/>
    <xf numFmtId="4" fontId="27" fillId="37" borderId="123" applyNumberFormat="0" applyProtection="0">
      <alignment vertical="center"/>
    </xf>
    <xf numFmtId="0" fontId="102" fillId="79" borderId="124" applyNumberFormat="0" applyAlignment="0" applyProtection="0"/>
    <xf numFmtId="0" fontId="18" fillId="51" borderId="123" applyNumberFormat="0" applyProtection="0">
      <alignment horizontal="left" vertical="top" indent="1"/>
    </xf>
    <xf numFmtId="0" fontId="105" fillId="0" borderId="127" applyNumberFormat="0" applyFill="0" applyAlignment="0" applyProtection="0"/>
    <xf numFmtId="4" fontId="47" fillId="43" borderId="123" applyNumberFormat="0" applyProtection="0">
      <alignment horizontal="right" vertical="center"/>
    </xf>
    <xf numFmtId="0" fontId="18" fillId="85" borderId="123" applyNumberFormat="0" applyProtection="0">
      <alignment horizontal="left" vertical="top" indent="1"/>
    </xf>
    <xf numFmtId="0" fontId="18" fillId="34" borderId="123" applyNumberFormat="0" applyProtection="0">
      <alignment horizontal="left" vertical="top" indent="1"/>
    </xf>
    <xf numFmtId="0" fontId="18" fillId="50" borderId="123" applyNumberFormat="0" applyProtection="0">
      <alignment horizontal="left" vertical="center" indent="1"/>
    </xf>
    <xf numFmtId="4" fontId="47" fillId="47" borderId="123" applyNumberFormat="0" applyProtection="0">
      <alignment horizontal="right" vertical="center"/>
    </xf>
    <xf numFmtId="0" fontId="18" fillId="55" borderId="123" applyNumberFormat="0" applyProtection="0">
      <alignment horizontal="left" vertical="center"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0" fontId="18" fillId="54" borderId="123" applyNumberFormat="0" applyProtection="0">
      <alignment horizontal="left" vertical="top" indent="1"/>
    </xf>
    <xf numFmtId="0" fontId="18" fillId="5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8" fillId="54" borderId="123" applyNumberFormat="0" applyProtection="0">
      <alignment horizontal="left" vertical="center" indent="1"/>
    </xf>
    <xf numFmtId="4" fontId="27" fillId="34" borderId="123" applyNumberFormat="0" applyProtection="0"/>
    <xf numFmtId="0" fontId="114" fillId="79" borderId="116" applyNumberFormat="0" applyAlignment="0" applyProtection="0"/>
    <xf numFmtId="4" fontId="47" fillId="39" borderId="123" applyNumberFormat="0" applyProtection="0">
      <alignment horizontal="right" vertical="center"/>
    </xf>
    <xf numFmtId="0" fontId="18" fillId="34"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0" fontId="47" fillId="34" borderId="123" applyNumberFormat="0" applyProtection="0">
      <alignment horizontal="left" vertical="top"/>
    </xf>
    <xf numFmtId="4" fontId="27" fillId="38" borderId="123" applyNumberFormat="0" applyProtection="0">
      <alignment horizontal="left" vertical="center" indent="1"/>
    </xf>
    <xf numFmtId="4" fontId="47" fillId="0" borderId="123" applyNumberFormat="0" applyProtection="0">
      <alignment horizontal="left" vertical="center" indent="1"/>
    </xf>
    <xf numFmtId="0" fontId="18" fillId="55" borderId="123" applyNumberFormat="0" applyProtection="0">
      <alignment horizontal="left" vertical="center" indent="1"/>
    </xf>
    <xf numFmtId="0" fontId="18" fillId="76" borderId="125" applyNumberFormat="0" applyFont="0" applyAlignment="0" applyProtection="0"/>
    <xf numFmtId="0" fontId="18" fillId="55" borderId="123" applyNumberFormat="0" applyProtection="0">
      <alignment horizontal="left" vertical="top" indent="1"/>
    </xf>
    <xf numFmtId="0" fontId="105" fillId="0" borderId="127" applyNumberFormat="0" applyFill="0" applyAlignment="0" applyProtection="0"/>
    <xf numFmtId="0" fontId="18" fillId="55" borderId="123" applyNumberFormat="0" applyProtection="0">
      <alignment horizontal="left" vertical="top" indent="1"/>
    </xf>
    <xf numFmtId="4" fontId="47" fillId="35" borderId="123" applyNumberFormat="0" applyProtection="0">
      <alignment horizontal="left" vertical="center" indent="1"/>
    </xf>
    <xf numFmtId="4" fontId="27" fillId="38" borderId="123" applyNumberFormat="0" applyProtection="0">
      <alignment horizontal="left" vertical="center" indent="1"/>
    </xf>
    <xf numFmtId="0" fontId="114" fillId="79" borderId="126" applyNumberFormat="0" applyAlignment="0" applyProtection="0"/>
    <xf numFmtId="0" fontId="18" fillId="55" borderId="123" applyNumberFormat="0" applyProtection="0">
      <alignment horizontal="left" vertical="center" indent="1"/>
    </xf>
    <xf numFmtId="0" fontId="18" fillId="54" borderId="123" applyNumberFormat="0" applyProtection="0">
      <alignment horizontal="left" vertical="top" indent="1"/>
    </xf>
    <xf numFmtId="4" fontId="51" fillId="35" borderId="123" applyNumberFormat="0" applyProtection="0">
      <alignment vertical="center"/>
    </xf>
    <xf numFmtId="4" fontId="25" fillId="49" borderId="123" applyNumberFormat="0" applyProtection="0">
      <alignment horizontal="right" vertical="center"/>
    </xf>
    <xf numFmtId="0" fontId="27" fillId="38" borderId="123" applyNumberFormat="0" applyProtection="0">
      <alignment horizontal="left" vertical="top" indent="1"/>
    </xf>
    <xf numFmtId="0" fontId="18" fillId="50" borderId="123" applyNumberFormat="0" applyProtection="0">
      <alignment horizontal="left" vertical="center" indent="1"/>
    </xf>
    <xf numFmtId="0" fontId="114" fillId="79" borderId="126" applyNumberFormat="0" applyAlignment="0" applyProtection="0"/>
    <xf numFmtId="4" fontId="47" fillId="0" borderId="123" applyNumberFormat="0" applyProtection="0">
      <alignment horizontal="right" vertical="center"/>
    </xf>
    <xf numFmtId="0" fontId="18" fillId="34" borderId="123" applyNumberFormat="0" applyProtection="0">
      <alignment horizontal="left" vertical="top" indent="1"/>
    </xf>
    <xf numFmtId="0" fontId="18" fillId="84" borderId="123" applyNumberFormat="0" applyProtection="0">
      <alignment horizontal="left" vertical="center" indent="1"/>
    </xf>
    <xf numFmtId="0" fontId="105" fillId="0" borderId="127" applyNumberFormat="0" applyFill="0" applyAlignment="0" applyProtection="0"/>
    <xf numFmtId="0" fontId="18" fillId="50" borderId="123" applyNumberFormat="0" applyProtection="0">
      <alignment horizontal="left" vertical="top" indent="1"/>
    </xf>
    <xf numFmtId="0" fontId="110" fillId="77" borderId="124" applyNumberFormat="0" applyAlignment="0" applyProtection="0"/>
    <xf numFmtId="4" fontId="27" fillId="38" borderId="123" applyNumberFormat="0" applyProtection="0">
      <alignment horizontal="left" vertical="center" indent="1"/>
    </xf>
    <xf numFmtId="4" fontId="47" fillId="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8" fillId="55"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top" indent="1"/>
    </xf>
    <xf numFmtId="4" fontId="25" fillId="49" borderId="123" applyNumberFormat="0" applyProtection="0">
      <alignment horizontal="right" vertical="center"/>
    </xf>
    <xf numFmtId="0" fontId="110" fillId="77" borderId="124" applyNumberFormat="0" applyAlignment="0" applyProtection="0"/>
    <xf numFmtId="0" fontId="18" fillId="49" borderId="123" applyNumberFormat="0" applyProtection="0">
      <alignment horizontal="left" vertical="top" indent="1"/>
    </xf>
    <xf numFmtId="0" fontId="18" fillId="84" borderId="123" applyNumberFormat="0" applyProtection="0">
      <alignment horizontal="left" vertical="top" indent="1"/>
    </xf>
    <xf numFmtId="4" fontId="47" fillId="41" borderId="123" applyNumberFormat="0" applyProtection="0">
      <alignment horizontal="right" vertical="center"/>
    </xf>
    <xf numFmtId="4" fontId="47" fillId="0" borderId="123" applyNumberFormat="0" applyProtection="0">
      <alignment horizontal="right" vertical="center"/>
    </xf>
    <xf numFmtId="0" fontId="114" fillId="79" borderId="126" applyNumberFormat="0" applyAlignment="0" applyProtection="0"/>
    <xf numFmtId="0" fontId="105" fillId="0" borderId="127" applyNumberFormat="0" applyFill="0" applyAlignment="0" applyProtection="0"/>
    <xf numFmtId="4" fontId="47" fillId="46" borderId="123" applyNumberFormat="0" applyProtection="0">
      <alignment horizontal="right" vertical="center"/>
    </xf>
    <xf numFmtId="0" fontId="18" fillId="76" borderId="125" applyNumberFormat="0" applyFont="0" applyAlignment="0" applyProtection="0"/>
    <xf numFmtId="0" fontId="47" fillId="34" borderId="123" applyNumberFormat="0" applyProtection="0">
      <alignment horizontal="left" vertical="top"/>
    </xf>
    <xf numFmtId="4" fontId="47" fillId="46" borderId="123" applyNumberFormat="0" applyProtection="0">
      <alignment horizontal="right" vertical="center"/>
    </xf>
    <xf numFmtId="0" fontId="18" fillId="55" borderId="123" applyNumberFormat="0" applyProtection="0">
      <alignment horizontal="left" vertical="top" indent="1"/>
    </xf>
    <xf numFmtId="0" fontId="18" fillId="51" borderId="123" applyNumberFormat="0" applyProtection="0">
      <alignment horizontal="left" vertical="center" indent="1"/>
    </xf>
    <xf numFmtId="4" fontId="27" fillId="34" borderId="123" applyNumberFormat="0" applyProtection="0"/>
    <xf numFmtId="4" fontId="47" fillId="47" borderId="123" applyNumberFormat="0" applyProtection="0">
      <alignment horizontal="right" vertical="center"/>
    </xf>
    <xf numFmtId="0" fontId="27" fillId="38"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0" fontId="47" fillId="34" borderId="123" applyNumberFormat="0" applyProtection="0">
      <alignment horizontal="left" vertical="top"/>
    </xf>
    <xf numFmtId="0" fontId="27" fillId="38" borderId="123" applyNumberFormat="0" applyProtection="0">
      <alignment horizontal="left" vertical="top" indent="1"/>
    </xf>
    <xf numFmtId="0" fontId="114" fillId="79" borderId="126" applyNumberFormat="0" applyAlignment="0" applyProtection="0"/>
    <xf numFmtId="0" fontId="18" fillId="55" borderId="123" applyNumberFormat="0" applyProtection="0">
      <alignment horizontal="left" vertical="center" indent="1"/>
    </xf>
    <xf numFmtId="4" fontId="27" fillId="34" borderId="130" applyNumberFormat="0" applyProtection="0">
      <alignment vertical="center"/>
    </xf>
    <xf numFmtId="4" fontId="47" fillId="0" borderId="123" applyNumberFormat="0" applyProtection="0">
      <alignment horizontal="right" vertical="center"/>
    </xf>
    <xf numFmtId="0" fontId="18" fillId="76" borderId="125" applyNumberFormat="0" applyFont="0" applyAlignment="0" applyProtection="0"/>
    <xf numFmtId="4" fontId="47" fillId="42" borderId="123" applyNumberFormat="0" applyProtection="0">
      <alignment horizontal="right" vertical="center"/>
    </xf>
    <xf numFmtId="0" fontId="18" fillId="84" borderId="123" applyNumberFormat="0" applyProtection="0">
      <alignment horizontal="left" vertical="center" indent="1"/>
    </xf>
    <xf numFmtId="0" fontId="114" fillId="79" borderId="116" applyNumberFormat="0" applyAlignment="0" applyProtection="0"/>
    <xf numFmtId="4" fontId="27" fillId="34" borderId="123" applyNumberForma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4" fontId="47" fillId="40" borderId="123" applyNumberFormat="0" applyProtection="0">
      <alignment horizontal="right" vertical="center"/>
    </xf>
    <xf numFmtId="4" fontId="46" fillId="38" borderId="123" applyNumberFormat="0" applyProtection="0">
      <alignment vertical="center"/>
    </xf>
    <xf numFmtId="4" fontId="47" fillId="0" borderId="123" applyNumberFormat="0" applyProtection="0">
      <alignment horizontal="left" vertical="center" indent="1"/>
    </xf>
    <xf numFmtId="4" fontId="47" fillId="0" borderId="123" applyNumberFormat="0" applyProtection="0">
      <alignment horizontal="right" vertical="center"/>
    </xf>
    <xf numFmtId="4" fontId="47" fillId="44" borderId="123" applyNumberFormat="0" applyProtection="0">
      <alignment horizontal="right" vertical="center"/>
    </xf>
    <xf numFmtId="0" fontId="18" fillId="49" borderId="123" applyNumberFormat="0" applyProtection="0">
      <alignment horizontal="left" vertical="top" indent="1"/>
    </xf>
    <xf numFmtId="0" fontId="18" fillId="76" borderId="125" applyNumberFormat="0" applyFont="0" applyAlignment="0" applyProtection="0"/>
    <xf numFmtId="0" fontId="18" fillId="34" borderId="123" applyNumberFormat="0" applyProtection="0">
      <alignment horizontal="left" vertical="center" indent="1"/>
    </xf>
    <xf numFmtId="4" fontId="27" fillId="38" borderId="123" applyNumberFormat="0" applyProtection="0">
      <alignment horizontal="left" vertical="center" indent="1"/>
    </xf>
    <xf numFmtId="4" fontId="51" fillId="49" borderId="123" applyNumberFormat="0" applyProtection="0">
      <alignment horizontal="right" vertical="center"/>
    </xf>
    <xf numFmtId="0" fontId="18" fillId="76" borderId="125" applyNumberFormat="0" applyFont="0" applyAlignment="0" applyProtection="0"/>
    <xf numFmtId="0" fontId="18" fillId="34" borderId="123" applyNumberFormat="0" applyProtection="0">
      <alignment horizontal="left" vertical="center" indent="1"/>
    </xf>
    <xf numFmtId="0" fontId="18" fillId="54" borderId="123" applyNumberFormat="0" applyProtection="0">
      <alignment horizontal="left" vertical="center" indent="1"/>
    </xf>
    <xf numFmtId="0" fontId="114" fillId="79" borderId="126" applyNumberFormat="0" applyAlignment="0" applyProtection="0"/>
    <xf numFmtId="0" fontId="18" fillId="49" borderId="123" applyNumberFormat="0" applyProtection="0">
      <alignment horizontal="left" vertical="top" indent="1"/>
    </xf>
    <xf numFmtId="4" fontId="47" fillId="59" borderId="123" applyNumberFormat="0" applyProtection="0">
      <alignment horizontal="left" vertical="center" indent="1"/>
    </xf>
    <xf numFmtId="4" fontId="46" fillId="38" borderId="123" applyNumberFormat="0" applyProtection="0">
      <alignment vertical="center"/>
    </xf>
    <xf numFmtId="0" fontId="102" fillId="79" borderId="124" applyNumberFormat="0" applyAlignment="0" applyProtection="0"/>
    <xf numFmtId="0" fontId="114" fillId="79" borderId="126" applyNumberFormat="0" applyAlignment="0" applyProtection="0"/>
    <xf numFmtId="0" fontId="18" fillId="34" borderId="123" applyNumberFormat="0" applyProtection="0">
      <alignment horizontal="left" vertical="top" indent="1"/>
    </xf>
    <xf numFmtId="4" fontId="47" fillId="42" borderId="123" applyNumberFormat="0" applyProtection="0">
      <alignment horizontal="right" vertical="center"/>
    </xf>
    <xf numFmtId="0" fontId="18" fillId="50" borderId="123" applyNumberFormat="0" applyProtection="0">
      <alignment horizontal="left" vertical="top" indent="1"/>
    </xf>
    <xf numFmtId="4" fontId="47" fillId="0" borderId="123" applyNumberFormat="0" applyProtection="0">
      <alignment horizontal="right" vertical="center"/>
    </xf>
    <xf numFmtId="0" fontId="110" fillId="77" borderId="124" applyNumberFormat="0" applyAlignment="0" applyProtection="0"/>
    <xf numFmtId="0" fontId="24" fillId="59" borderId="128" applyNumberFormat="0" applyFont="0" applyAlignment="0" applyProtection="0">
      <protection locked="0"/>
    </xf>
    <xf numFmtId="0" fontId="18" fillId="34" borderId="123" applyNumberFormat="0" applyProtection="0">
      <alignment horizontal="left" vertical="top" indent="1"/>
    </xf>
    <xf numFmtId="0" fontId="18" fillId="34" borderId="123" applyNumberFormat="0" applyProtection="0">
      <alignment horizontal="left" vertical="center" indent="1"/>
    </xf>
    <xf numFmtId="0" fontId="18" fillId="76" borderId="125" applyNumberFormat="0" applyFont="0" applyAlignment="0" applyProtection="0"/>
    <xf numFmtId="4" fontId="27" fillId="37" borderId="123" applyNumberFormat="0" applyProtection="0">
      <alignment vertical="center"/>
    </xf>
    <xf numFmtId="4" fontId="47" fillId="0" borderId="123" applyNumberFormat="0" applyProtection="0">
      <alignment horizontal="right" vertical="center"/>
    </xf>
    <xf numFmtId="0" fontId="18" fillId="76" borderId="125" applyNumberFormat="0" applyFont="0" applyAlignment="0" applyProtection="0"/>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76" borderId="115" applyNumberFormat="0" applyFont="0" applyAlignment="0" applyProtection="0"/>
    <xf numFmtId="4" fontId="47" fillId="35" borderId="123" applyNumberFormat="0" applyProtection="0">
      <alignment vertical="center"/>
    </xf>
    <xf numFmtId="0" fontId="18" fillId="50" borderId="123" applyNumberFormat="0" applyProtection="0">
      <alignment horizontal="left" vertical="center" indent="1"/>
    </xf>
    <xf numFmtId="4" fontId="46" fillId="38" borderId="123" applyNumberFormat="0" applyProtection="0">
      <alignment vertical="center"/>
    </xf>
    <xf numFmtId="0" fontId="114" fillId="79" borderId="126" applyNumberFormat="0" applyAlignment="0" applyProtection="0"/>
    <xf numFmtId="0" fontId="114" fillId="79" borderId="126" applyNumberFormat="0" applyAlignment="0" applyProtection="0"/>
    <xf numFmtId="4" fontId="47" fillId="0" borderId="123" applyNumberFormat="0" applyProtection="0">
      <alignment horizontal="left" vertical="center" indent="1"/>
    </xf>
    <xf numFmtId="0" fontId="18" fillId="51" borderId="123" applyNumberFormat="0" applyProtection="0">
      <alignment horizontal="left" vertical="center" indent="1"/>
    </xf>
    <xf numFmtId="0" fontId="18" fillId="49" borderId="123" applyNumberFormat="0" applyProtection="0">
      <alignment horizontal="left" vertical="top" indent="1"/>
    </xf>
    <xf numFmtId="4" fontId="47" fillId="47" borderId="123" applyNumberFormat="0" applyProtection="0">
      <alignment horizontal="right" vertical="center"/>
    </xf>
    <xf numFmtId="4" fontId="47" fillId="45" borderId="123" applyNumberFormat="0" applyProtection="0">
      <alignment horizontal="right" vertical="center"/>
    </xf>
    <xf numFmtId="4" fontId="47" fillId="35" borderId="123" applyNumberFormat="0" applyProtection="0">
      <alignment vertical="center"/>
    </xf>
    <xf numFmtId="0" fontId="105" fillId="0" borderId="127" applyNumberFormat="0" applyFill="0" applyAlignment="0" applyProtection="0"/>
    <xf numFmtId="0" fontId="18" fillId="76" borderId="125" applyNumberFormat="0" applyFont="0" applyAlignment="0" applyProtection="0"/>
    <xf numFmtId="4" fontId="51" fillId="35" borderId="123" applyNumberFormat="0" applyProtection="0">
      <alignment vertical="center"/>
    </xf>
    <xf numFmtId="0" fontId="47" fillId="34" borderId="123" applyNumberFormat="0" applyProtection="0">
      <alignment horizontal="left" vertical="top"/>
    </xf>
    <xf numFmtId="4" fontId="27" fillId="37" borderId="123" applyNumberFormat="0" applyProtection="0">
      <alignment vertical="center"/>
    </xf>
    <xf numFmtId="0" fontId="114" fillId="79" borderId="126" applyNumberFormat="0" applyAlignment="0" applyProtection="0"/>
    <xf numFmtId="0" fontId="105" fillId="0" borderId="127" applyNumberFormat="0" applyFill="0" applyAlignment="0" applyProtection="0"/>
    <xf numFmtId="0" fontId="18" fillId="85" borderId="123" applyNumberFormat="0" applyProtection="0">
      <alignment horizontal="left" vertical="top" indent="1"/>
    </xf>
    <xf numFmtId="0" fontId="18" fillId="49" borderId="123" applyNumberFormat="0" applyProtection="0">
      <alignment horizontal="left" vertical="top" indent="1"/>
    </xf>
    <xf numFmtId="0" fontId="114" fillId="79" borderId="126" applyNumberFormat="0" applyAlignment="0" applyProtection="0"/>
    <xf numFmtId="0" fontId="114" fillId="79" borderId="126" applyNumberFormat="0" applyAlignment="0" applyProtection="0"/>
    <xf numFmtId="0" fontId="18" fillId="51" borderId="123" applyNumberFormat="0" applyProtection="0">
      <alignment horizontal="left" vertical="center" indent="1"/>
    </xf>
    <xf numFmtId="0" fontId="114" fillId="79" borderId="126" applyNumberFormat="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0" fontId="18" fillId="50" borderId="123" applyNumberFormat="0" applyProtection="0">
      <alignment horizontal="left" vertical="top" indent="1"/>
    </xf>
    <xf numFmtId="0" fontId="18" fillId="85" borderId="123" applyNumberFormat="0" applyProtection="0">
      <alignment horizontal="left" vertical="top" indent="1"/>
    </xf>
    <xf numFmtId="0" fontId="105" fillId="0" borderId="127" applyNumberFormat="0" applyFill="0" applyAlignment="0" applyProtection="0"/>
    <xf numFmtId="0" fontId="27" fillId="38" borderId="123" applyNumberFormat="0" applyProtection="0">
      <alignment horizontal="left" vertical="top" indent="1"/>
    </xf>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76" borderId="125" applyNumberFormat="0" applyFont="0" applyAlignment="0" applyProtection="0"/>
    <xf numFmtId="0" fontId="18" fillId="50" borderId="123" applyNumberFormat="0" applyProtection="0">
      <alignment horizontal="left" vertical="top" indent="1"/>
    </xf>
    <xf numFmtId="0" fontId="27" fillId="38" borderId="123" applyNumberFormat="0" applyProtection="0">
      <alignment horizontal="left" vertical="top" indent="1"/>
    </xf>
    <xf numFmtId="0" fontId="18" fillId="55" borderId="123" applyNumberFormat="0" applyProtection="0">
      <alignment horizontal="left" vertical="top" indent="1"/>
    </xf>
    <xf numFmtId="0" fontId="18" fillId="85" borderId="123" applyNumberFormat="0" applyProtection="0">
      <alignment horizontal="left" vertical="top" indent="1"/>
    </xf>
    <xf numFmtId="0" fontId="18" fillId="84" borderId="123" applyNumberFormat="0" applyProtection="0">
      <alignment horizontal="left" vertical="center" indent="1"/>
    </xf>
    <xf numFmtId="4" fontId="47" fillId="41" borderId="123" applyNumberFormat="0" applyProtection="0">
      <alignment horizontal="right" vertical="center"/>
    </xf>
    <xf numFmtId="0" fontId="18" fillId="55" borderId="123" applyNumberFormat="0" applyProtection="0">
      <alignment horizontal="left" vertical="center" indent="1"/>
    </xf>
    <xf numFmtId="0" fontId="18" fillId="84" borderId="123" applyNumberFormat="0" applyProtection="0">
      <alignment horizontal="left" vertical="center" indent="1"/>
    </xf>
    <xf numFmtId="0" fontId="47" fillId="34" borderId="123" applyNumberFormat="0" applyProtection="0">
      <alignment horizontal="left" vertical="top"/>
    </xf>
    <xf numFmtId="0" fontId="102" fillId="79" borderId="124" applyNumberFormat="0" applyAlignment="0" applyProtection="0"/>
    <xf numFmtId="0" fontId="18" fillId="54" borderId="123" applyNumberFormat="0" applyProtection="0">
      <alignment horizontal="left" vertical="top" indent="1"/>
    </xf>
    <xf numFmtId="0" fontId="110" fillId="77" borderId="124" applyNumberFormat="0" applyAlignment="0" applyProtection="0"/>
    <xf numFmtId="0" fontId="18" fillId="55" borderId="123" applyNumberFormat="0" applyProtection="0">
      <alignment horizontal="left" vertical="top" indent="1"/>
    </xf>
    <xf numFmtId="4" fontId="47" fillId="46" borderId="123" applyNumberFormat="0" applyProtection="0">
      <alignment horizontal="right" vertical="center"/>
    </xf>
    <xf numFmtId="4" fontId="51" fillId="35" borderId="123" applyNumberFormat="0" applyProtection="0">
      <alignment vertical="center"/>
    </xf>
    <xf numFmtId="0" fontId="18" fillId="55" borderId="123" applyNumberFormat="0" applyProtection="0">
      <alignment horizontal="left" vertical="center" indent="1"/>
    </xf>
    <xf numFmtId="4" fontId="47" fillId="35" borderId="123" applyNumberFormat="0" applyProtection="0">
      <alignment vertical="center"/>
    </xf>
    <xf numFmtId="0" fontId="18" fillId="55" borderId="123" applyNumberFormat="0" applyProtection="0">
      <alignment horizontal="left" vertical="center" indent="1"/>
    </xf>
    <xf numFmtId="0" fontId="18" fillId="50" borderId="123" applyNumberFormat="0" applyProtection="0">
      <alignment horizontal="left" vertical="top" indent="1"/>
    </xf>
    <xf numFmtId="0" fontId="110" fillId="77" borderId="124" applyNumberFormat="0" applyAlignment="0" applyProtection="0"/>
    <xf numFmtId="4" fontId="47" fillId="42" borderId="123" applyNumberFormat="0" applyProtection="0">
      <alignment horizontal="right" vertical="center"/>
    </xf>
    <xf numFmtId="0" fontId="105" fillId="0" borderId="127" applyNumberFormat="0" applyFill="0" applyAlignment="0" applyProtection="0"/>
    <xf numFmtId="0" fontId="18" fillId="50" borderId="123" applyNumberFormat="0" applyProtection="0">
      <alignment horizontal="left" vertical="center" indent="1"/>
    </xf>
    <xf numFmtId="0" fontId="24" fillId="59" borderId="128" applyNumberFormat="0" applyFont="0" applyAlignment="0" applyProtection="0">
      <protection locked="0"/>
    </xf>
    <xf numFmtId="0" fontId="18" fillId="50" borderId="123" applyNumberFormat="0" applyProtection="0">
      <alignment horizontal="left" vertical="center" indent="1"/>
    </xf>
    <xf numFmtId="0" fontId="18" fillId="34" borderId="123" applyNumberFormat="0" applyProtection="0">
      <alignment horizontal="left" vertical="center" indent="1"/>
    </xf>
    <xf numFmtId="0" fontId="110" fillId="77" borderId="120" applyNumberFormat="0" applyAlignment="0" applyProtection="0"/>
    <xf numFmtId="4" fontId="27" fillId="38" borderId="123" applyNumberFormat="0" applyProtection="0">
      <alignmen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55" borderId="123" applyNumberFormat="0" applyProtection="0">
      <alignment horizontal="left" vertical="top" indent="1"/>
    </xf>
    <xf numFmtId="0" fontId="18" fillId="0" borderId="0"/>
    <xf numFmtId="0" fontId="18" fillId="0" borderId="0"/>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0" fontId="18" fillId="0" borderId="0"/>
    <xf numFmtId="0" fontId="102" fillId="79" borderId="120" applyNumberFormat="0" applyAlignment="0" applyProtection="0"/>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4" fontId="27" fillId="34" borderId="77" applyNumberFormat="0" applyProtection="0">
      <alignment vertical="center"/>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0" fillId="77" borderId="120" applyNumberFormat="0" applyAlignment="0" applyProtection="0"/>
    <xf numFmtId="4" fontId="47" fillId="51" borderId="106" applyNumberFormat="0" applyProtection="0">
      <alignment horizontal="left" vertical="center" indent="1"/>
    </xf>
    <xf numFmtId="0" fontId="18" fillId="0" borderId="0"/>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05" fillId="0" borderId="127" applyNumberFormat="0" applyFill="0" applyAlignment="0" applyProtection="0"/>
    <xf numFmtId="0" fontId="110" fillId="77" borderId="120" applyNumberFormat="0" applyAlignment="0" applyProtection="0"/>
    <xf numFmtId="4" fontId="27" fillId="38" borderId="123" applyNumberFormat="0" applyProtection="0">
      <alignment vertical="center"/>
    </xf>
    <xf numFmtId="0" fontId="18" fillId="0" borderId="0"/>
    <xf numFmtId="4" fontId="27" fillId="34" borderId="77" applyNumberFormat="0" applyProtection="0">
      <alignment vertical="center"/>
    </xf>
    <xf numFmtId="0" fontId="18" fillId="0" borderId="0"/>
    <xf numFmtId="0" fontId="18" fillId="0" borderId="0"/>
    <xf numFmtId="0" fontId="18" fillId="0" borderId="0"/>
    <xf numFmtId="0" fontId="18" fillId="0" borderId="0"/>
    <xf numFmtId="0" fontId="102" fillId="79" borderId="120" applyNumberFormat="0" applyAlignment="0" applyProtection="0"/>
    <xf numFmtId="4" fontId="27" fillId="34" borderId="77" applyNumberFormat="0" applyProtection="0">
      <alignment vertical="center"/>
    </xf>
    <xf numFmtId="0" fontId="110" fillId="77" borderId="120" applyNumberFormat="0" applyAlignment="0" applyProtection="0"/>
    <xf numFmtId="0" fontId="18" fillId="0" borderId="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8" fillId="49" borderId="123" applyNumberFormat="0" applyProtection="0">
      <alignment horizontal="left" vertical="center" indent="1"/>
    </xf>
    <xf numFmtId="0" fontId="102" fillId="79" borderId="124" applyNumberFormat="0" applyAlignment="0" applyProtection="0"/>
    <xf numFmtId="0" fontId="18" fillId="76" borderId="115" applyNumberFormat="0" applyFont="0" applyAlignment="0" applyProtection="0"/>
    <xf numFmtId="0" fontId="18" fillId="50" borderId="123" applyNumberFormat="0" applyProtection="0">
      <alignment horizontal="left" vertical="top" indent="1"/>
    </xf>
    <xf numFmtId="0" fontId="18" fillId="76" borderId="125" applyNumberFormat="0" applyFont="0" applyAlignment="0" applyProtection="0"/>
    <xf numFmtId="4" fontId="27" fillId="38" borderId="123" applyNumberFormat="0" applyProtection="0">
      <alignment horizontal="left" vertical="center" indent="1"/>
    </xf>
    <xf numFmtId="0" fontId="110" fillId="77" borderId="124" applyNumberFormat="0" applyAlignment="0" applyProtection="0"/>
    <xf numFmtId="4" fontId="27" fillId="34" borderId="130" applyNumberFormat="0" applyProtection="0">
      <alignment vertical="center"/>
    </xf>
    <xf numFmtId="4" fontId="47" fillId="0" borderId="123" applyNumberFormat="0" applyProtection="0">
      <alignment horizontal="left" vertical="center" indent="1"/>
    </xf>
    <xf numFmtId="0" fontId="114" fillId="79" borderId="126" applyNumberFormat="0" applyAlignment="0" applyProtection="0"/>
    <xf numFmtId="0" fontId="105" fillId="0" borderId="127" applyNumberFormat="0" applyFill="0" applyAlignment="0" applyProtection="0"/>
    <xf numFmtId="4" fontId="47" fillId="51" borderId="123" applyNumberFormat="0" applyProtection="0">
      <alignment horizontal="right" vertical="center"/>
    </xf>
    <xf numFmtId="4" fontId="25" fillId="49" borderId="123" applyNumberFormat="0" applyProtection="0">
      <alignment horizontal="right" vertical="center"/>
    </xf>
    <xf numFmtId="4" fontId="47" fillId="46" borderId="123" applyNumberFormat="0" applyProtection="0">
      <alignment horizontal="right" vertical="center"/>
    </xf>
    <xf numFmtId="0" fontId="102" fillId="79" borderId="124" applyNumberFormat="0" applyAlignment="0" applyProtection="0"/>
    <xf numFmtId="0" fontId="114" fillId="79" borderId="126" applyNumberFormat="0" applyAlignment="0" applyProtection="0"/>
    <xf numFmtId="4" fontId="47" fillId="41" borderId="123" applyNumberFormat="0" applyProtection="0">
      <alignment horizontal="right" vertical="center"/>
    </xf>
    <xf numFmtId="0" fontId="18" fillId="50" borderId="123" applyNumberFormat="0" applyProtection="0">
      <alignment horizontal="left" vertical="center" indent="1"/>
    </xf>
    <xf numFmtId="4" fontId="27" fillId="34" borderId="123" applyNumberFormat="0" applyProtection="0"/>
    <xf numFmtId="0" fontId="18" fillId="76" borderId="125" applyNumberFormat="0" applyFont="0" applyAlignment="0" applyProtection="0"/>
    <xf numFmtId="4" fontId="47" fillId="44" borderId="123" applyNumberFormat="0" applyProtection="0">
      <alignment horizontal="right" vertical="center"/>
    </xf>
    <xf numFmtId="0" fontId="18" fillId="55" borderId="123" applyNumberFormat="0" applyProtection="0">
      <alignment horizontal="left" vertical="center" indent="1"/>
    </xf>
    <xf numFmtId="0" fontId="110" fillId="77" borderId="124" applyNumberFormat="0" applyAlignment="0" applyProtection="0"/>
    <xf numFmtId="0" fontId="18" fillId="85" borderId="123" applyNumberFormat="0" applyProtection="0">
      <alignment horizontal="left" vertical="top" indent="1"/>
    </xf>
    <xf numFmtId="0" fontId="18" fillId="55" borderId="123" applyNumberFormat="0" applyProtection="0">
      <alignment horizontal="left" vertical="center" indent="1"/>
    </xf>
    <xf numFmtId="0" fontId="110" fillId="77" borderId="124" applyNumberFormat="0" applyAlignment="0" applyProtection="0"/>
    <xf numFmtId="4" fontId="47" fillId="0" borderId="123" applyNumberFormat="0" applyProtection="0">
      <alignment horizontal="left" vertical="center" indent="1"/>
    </xf>
    <xf numFmtId="4" fontId="47" fillId="35" borderId="123" applyNumberFormat="0" applyProtection="0">
      <alignment vertical="center"/>
    </xf>
    <xf numFmtId="0" fontId="102" fillId="79" borderId="120" applyNumberFormat="0" applyAlignment="0" applyProtection="0"/>
    <xf numFmtId="0" fontId="110" fillId="77" borderId="120" applyNumberFormat="0" applyAlignment="0" applyProtection="0"/>
    <xf numFmtId="4" fontId="27" fillId="34" borderId="123" applyNumberFormat="0" applyProtection="0"/>
    <xf numFmtId="0" fontId="18" fillId="0" borderId="0" applyFill="0" applyBorder="0" applyProtection="0">
      <alignment horizontal="right"/>
    </xf>
    <xf numFmtId="0" fontId="114" fillId="79" borderId="116" applyNumberFormat="0" applyAlignment="0" applyProtection="0"/>
    <xf numFmtId="4" fontId="47" fillId="42" borderId="123" applyNumberFormat="0" applyProtection="0">
      <alignment horizontal="right" vertical="center"/>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47" fillId="35" borderId="123" applyNumberFormat="0" applyProtection="0">
      <alignment horizontal="left" vertical="top" indent="1"/>
    </xf>
    <xf numFmtId="0" fontId="18" fillId="50" borderId="123" applyNumberFormat="0" applyProtection="0">
      <alignment horizontal="left" vertical="top" indent="1"/>
    </xf>
    <xf numFmtId="0" fontId="110" fillId="77" borderId="124" applyNumberFormat="0" applyAlignment="0" applyProtection="0"/>
    <xf numFmtId="0" fontId="18" fillId="54" borderId="123" applyNumberFormat="0" applyProtection="0">
      <alignment horizontal="left" vertical="center" indent="1"/>
    </xf>
    <xf numFmtId="0" fontId="114" fillId="79" borderId="126" applyNumberFormat="0" applyAlignment="0" applyProtection="0"/>
    <xf numFmtId="0" fontId="18" fillId="85" borderId="123" applyNumberFormat="0" applyProtection="0">
      <alignment horizontal="left" vertical="top" indent="1"/>
    </xf>
    <xf numFmtId="0" fontId="18" fillId="84" borderId="123" applyNumberFormat="0" applyProtection="0">
      <alignment horizontal="left" vertical="center" indent="1"/>
    </xf>
    <xf numFmtId="0" fontId="47" fillId="35" borderId="123" applyNumberFormat="0" applyProtection="0">
      <alignment horizontal="left" vertical="top" indent="1"/>
    </xf>
    <xf numFmtId="0" fontId="26" fillId="0" borderId="129">
      <alignment horizontal="left" vertical="center"/>
    </xf>
    <xf numFmtId="4" fontId="47" fillId="0" borderId="123" applyNumberFormat="0" applyProtection="0">
      <alignment horizontal="left" vertical="center" indent="1"/>
    </xf>
    <xf numFmtId="0" fontId="105" fillId="0" borderId="127" applyNumberFormat="0" applyFill="0" applyAlignment="0" applyProtection="0"/>
    <xf numFmtId="0" fontId="18" fillId="85" borderId="123" applyNumberFormat="0" applyProtection="0">
      <alignment horizontal="left" vertical="center" indent="1"/>
    </xf>
    <xf numFmtId="0" fontId="47" fillId="35" borderId="123" applyNumberFormat="0" applyProtection="0">
      <alignment horizontal="left" vertical="top" indent="1"/>
    </xf>
    <xf numFmtId="4" fontId="47" fillId="43" borderId="123" applyNumberFormat="0" applyProtection="0">
      <alignment horizontal="right" vertical="center"/>
    </xf>
    <xf numFmtId="4" fontId="47" fillId="0" borderId="123" applyNumberFormat="0" applyProtection="0">
      <alignment horizontal="right" vertical="center"/>
    </xf>
    <xf numFmtId="0" fontId="18" fillId="76" borderId="125" applyNumberFormat="0" applyFont="0" applyAlignment="0" applyProtection="0"/>
    <xf numFmtId="0" fontId="18" fillId="51" borderId="123" applyNumberFormat="0" applyProtection="0">
      <alignment horizontal="left" vertical="center" indent="1"/>
    </xf>
    <xf numFmtId="0" fontId="18" fillId="85" borderId="123" applyNumberFormat="0" applyProtection="0">
      <alignment horizontal="left" vertical="center" indent="1"/>
    </xf>
    <xf numFmtId="0" fontId="102" fillId="79" borderId="124" applyNumberFormat="0" applyAlignment="0" applyProtection="0"/>
    <xf numFmtId="4" fontId="47" fillId="43" borderId="123" applyNumberFormat="0" applyProtection="0">
      <alignment horizontal="right" vertical="center"/>
    </xf>
    <xf numFmtId="0" fontId="18" fillId="54" borderId="123" applyNumberFormat="0" applyProtection="0">
      <alignment horizontal="left" vertical="center" indent="1"/>
    </xf>
    <xf numFmtId="0" fontId="18" fillId="49" borderId="123" applyNumberFormat="0" applyProtection="0">
      <alignment horizontal="left" vertical="center" indent="1"/>
    </xf>
    <xf numFmtId="4" fontId="27" fillId="38" borderId="123" applyNumberFormat="0" applyProtection="0">
      <alignment horizontal="left" vertical="center" indent="1"/>
    </xf>
    <xf numFmtId="4" fontId="47" fillId="43" borderId="123" applyNumberFormat="0" applyProtection="0">
      <alignment horizontal="right" vertical="center"/>
    </xf>
    <xf numFmtId="4" fontId="47" fillId="35" borderId="123" applyNumberFormat="0" applyProtection="0">
      <alignment vertical="center"/>
    </xf>
    <xf numFmtId="0" fontId="18" fillId="76" borderId="125" applyNumberFormat="0" applyFont="0" applyAlignment="0" applyProtection="0"/>
    <xf numFmtId="0" fontId="18" fillId="76" borderId="125" applyNumberFormat="0" applyFont="0" applyAlignment="0" applyProtection="0"/>
    <xf numFmtId="4" fontId="46" fillId="38" borderId="123" applyNumberFormat="0" applyProtection="0">
      <alignmen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35" borderId="123" applyNumberFormat="0" applyProtection="0">
      <alignment horizontal="left" vertical="center" indent="1"/>
    </xf>
    <xf numFmtId="0" fontId="18" fillId="76" borderId="115" applyNumberFormat="0" applyFont="0" applyAlignment="0" applyProtection="0"/>
    <xf numFmtId="4" fontId="25" fillId="49" borderId="123" applyNumberFormat="0" applyProtection="0">
      <alignment horizontal="right" vertical="center"/>
    </xf>
    <xf numFmtId="0" fontId="18" fillId="50" borderId="123" applyNumberFormat="0" applyProtection="0">
      <alignment horizontal="left" vertical="top" indent="1"/>
    </xf>
    <xf numFmtId="4" fontId="47" fillId="39" borderId="123" applyNumberFormat="0" applyProtection="0">
      <alignment horizontal="right" vertical="center"/>
    </xf>
    <xf numFmtId="0" fontId="18" fillId="85" borderId="123" applyNumberFormat="0" applyProtection="0">
      <alignment horizontal="left" vertical="top" indent="1"/>
    </xf>
    <xf numFmtId="0" fontId="63" fillId="59" borderId="128" applyNumberFormat="0" applyFont="0" applyFill="0" applyAlignment="0" applyProtection="0">
      <protection locked="0"/>
    </xf>
    <xf numFmtId="0" fontId="18" fillId="34" borderId="123" applyNumberFormat="0" applyProtection="0">
      <alignment horizontal="left" vertical="center" indent="1"/>
    </xf>
    <xf numFmtId="0" fontId="18" fillId="49" borderId="123" applyNumberFormat="0" applyProtection="0">
      <alignment horizontal="left" vertical="center" indent="1"/>
    </xf>
    <xf numFmtId="0" fontId="114" fillId="79" borderId="126" applyNumberFormat="0" applyAlignment="0" applyProtection="0"/>
    <xf numFmtId="4" fontId="27" fillId="38" borderId="123" applyNumberFormat="0" applyProtection="0">
      <alignment horizontal="left" vertical="center" indent="1"/>
    </xf>
    <xf numFmtId="4" fontId="47" fillId="39" borderId="123" applyNumberFormat="0" applyProtection="0">
      <alignment horizontal="right" vertical="center"/>
    </xf>
    <xf numFmtId="0" fontId="110" fillId="77" borderId="124" applyNumberFormat="0" applyAlignment="0" applyProtection="0"/>
    <xf numFmtId="0" fontId="18" fillId="84" borderId="123" applyNumberFormat="0" applyProtection="0">
      <alignment horizontal="left" vertical="top" indent="1"/>
    </xf>
    <xf numFmtId="0" fontId="18" fillId="85" borderId="123" applyNumberFormat="0" applyProtection="0">
      <alignment horizontal="left" vertical="center" indent="1"/>
    </xf>
    <xf numFmtId="0" fontId="114" fillId="79" borderId="126" applyNumberFormat="0" applyAlignment="0" applyProtection="0"/>
    <xf numFmtId="4" fontId="47" fillId="46" borderId="123" applyNumberFormat="0" applyProtection="0">
      <alignment horizontal="right" vertical="center"/>
    </xf>
    <xf numFmtId="0" fontId="18" fillId="34" borderId="123" applyNumberFormat="0" applyProtection="0">
      <alignment horizontal="left" vertical="center" indent="1"/>
    </xf>
    <xf numFmtId="0" fontId="102" fillId="79" borderId="124" applyNumberFormat="0" applyAlignment="0" applyProtection="0"/>
    <xf numFmtId="0" fontId="18" fillId="84" borderId="123" applyNumberFormat="0" applyProtection="0">
      <alignment horizontal="left" vertical="top" indent="1"/>
    </xf>
    <xf numFmtId="4" fontId="47" fillId="51" borderId="123" applyNumberFormat="0" applyProtection="0">
      <alignment horizontal="right" vertical="center"/>
    </xf>
    <xf numFmtId="0" fontId="18" fillId="49" borderId="123" applyNumberFormat="0" applyProtection="0">
      <alignment horizontal="left" vertical="center" indent="1"/>
    </xf>
    <xf numFmtId="0" fontId="18" fillId="50" borderId="123" applyNumberFormat="0" applyProtection="0">
      <alignment horizontal="left" vertical="center" indent="1"/>
    </xf>
    <xf numFmtId="4" fontId="27" fillId="34" borderId="123" applyNumberFormat="0" applyProtection="0"/>
    <xf numFmtId="0" fontId="18" fillId="55" borderId="123" applyNumberFormat="0" applyProtection="0">
      <alignment horizontal="left" vertical="center" indent="1"/>
    </xf>
    <xf numFmtId="4" fontId="47" fillId="0" borderId="123" applyNumberFormat="0" applyProtection="0">
      <alignment horizontal="left" vertical="center" indent="1"/>
    </xf>
    <xf numFmtId="0" fontId="47" fillId="34" borderId="123" applyNumberFormat="0" applyProtection="0">
      <alignment horizontal="left" vertical="top"/>
    </xf>
    <xf numFmtId="4" fontId="47" fillId="40" borderId="123" applyNumberFormat="0" applyProtection="0">
      <alignment horizontal="right" vertical="center"/>
    </xf>
    <xf numFmtId="0" fontId="47" fillId="35" borderId="123" applyNumberFormat="0" applyProtection="0">
      <alignment horizontal="left" vertical="top" indent="1"/>
    </xf>
    <xf numFmtId="0" fontId="18" fillId="76" borderId="125" applyNumberFormat="0" applyFont="0" applyAlignment="0" applyProtection="0"/>
    <xf numFmtId="4" fontId="47" fillId="40" borderId="123" applyNumberFormat="0" applyProtection="0">
      <alignment horizontal="right" vertical="center"/>
    </xf>
    <xf numFmtId="0" fontId="18" fillId="50" borderId="123" applyNumberFormat="0" applyProtection="0">
      <alignment horizontal="left" vertical="center" indent="1"/>
    </xf>
    <xf numFmtId="0" fontId="18" fillId="76" borderId="125" applyNumberFormat="0" applyFont="0" applyAlignment="0" applyProtection="0"/>
    <xf numFmtId="0" fontId="114" fillId="79" borderId="126" applyNumberFormat="0" applyAlignment="0" applyProtection="0"/>
    <xf numFmtId="4" fontId="47" fillId="51" borderId="123" applyNumberFormat="0" applyProtection="0">
      <alignment horizontal="right" vertical="center"/>
    </xf>
    <xf numFmtId="4" fontId="27" fillId="34" borderId="130" applyNumberFormat="0" applyProtection="0">
      <alignment vertical="center"/>
    </xf>
    <xf numFmtId="0" fontId="18" fillId="55" borderId="123" applyNumberFormat="0" applyProtection="0">
      <alignment horizontal="left" vertical="center" indent="1"/>
    </xf>
    <xf numFmtId="0" fontId="102" fillId="79" borderId="120" applyNumberFormat="0" applyAlignment="0" applyProtection="0"/>
    <xf numFmtId="0" fontId="110" fillId="77" borderId="120" applyNumberFormat="0" applyAlignment="0" applyProtection="0"/>
    <xf numFmtId="0" fontId="114" fillId="79" borderId="116" applyNumberFormat="0" applyAlignment="0" applyProtection="0"/>
    <xf numFmtId="4" fontId="47" fillId="0" borderId="123" applyNumberFormat="0" applyProtection="0">
      <alignment horizontal="right" vertical="center"/>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18" fillId="34" borderId="123" applyNumberFormat="0" applyProtection="0">
      <alignment horizontal="left" vertical="center" indent="1"/>
    </xf>
    <xf numFmtId="0" fontId="18" fillId="55" borderId="123" applyNumberFormat="0" applyProtection="0">
      <alignment horizontal="left" vertical="top" indent="1"/>
    </xf>
    <xf numFmtId="0" fontId="18" fillId="76" borderId="125" applyNumberFormat="0" applyFont="0" applyAlignment="0" applyProtection="0"/>
    <xf numFmtId="0" fontId="105" fillId="0" borderId="127" applyNumberFormat="0" applyFill="0" applyAlignment="0" applyProtection="0"/>
    <xf numFmtId="0" fontId="105" fillId="0" borderId="127" applyNumberFormat="0" applyFill="0" applyAlignment="0" applyProtection="0"/>
    <xf numFmtId="0" fontId="63" fillId="59" borderId="128" applyNumberFormat="0" applyFont="0" applyFill="0" applyAlignment="0" applyProtection="0">
      <protection locked="0"/>
    </xf>
    <xf numFmtId="0" fontId="18" fillId="51" borderId="123" applyNumberFormat="0" applyProtection="0">
      <alignment horizontal="left" vertical="top" indent="1"/>
    </xf>
    <xf numFmtId="0" fontId="105" fillId="0" borderId="127" applyNumberFormat="0" applyFill="0" applyAlignment="0" applyProtection="0"/>
    <xf numFmtId="4" fontId="47" fillId="0" borderId="123" applyNumberFormat="0" applyProtection="0">
      <alignment horizontal="left" vertical="center" indent="1"/>
    </xf>
    <xf numFmtId="0" fontId="102" fillId="79" borderId="124" applyNumberFormat="0" applyAlignment="0" applyProtection="0"/>
    <xf numFmtId="0" fontId="102" fillId="79" borderId="124" applyNumberFormat="0" applyAlignment="0" applyProtection="0"/>
    <xf numFmtId="0" fontId="18" fillId="85" borderId="123" applyNumberFormat="0" applyProtection="0">
      <alignment horizontal="left" vertical="top" indent="1"/>
    </xf>
    <xf numFmtId="4" fontId="51" fillId="49" borderId="123" applyNumberFormat="0" applyProtection="0">
      <alignment horizontal="right" vertical="center"/>
    </xf>
    <xf numFmtId="0" fontId="47" fillId="34" borderId="123" applyNumberFormat="0" applyProtection="0">
      <alignment horizontal="left" vertical="top"/>
    </xf>
    <xf numFmtId="4" fontId="47" fillId="0" borderId="123" applyNumberFormat="0" applyProtection="0">
      <alignment horizontal="left" vertical="center" indent="1"/>
    </xf>
    <xf numFmtId="4" fontId="25" fillId="49" borderId="123" applyNumberFormat="0" applyProtection="0">
      <alignment horizontal="right" vertical="center"/>
    </xf>
    <xf numFmtId="0" fontId="18" fillId="84" borderId="123" applyNumberFormat="0" applyProtection="0">
      <alignment horizontal="left" vertical="top" indent="1"/>
    </xf>
    <xf numFmtId="0" fontId="114" fillId="79" borderId="126" applyNumberFormat="0" applyAlignment="0" applyProtection="0"/>
    <xf numFmtId="0" fontId="18" fillId="54" borderId="123" applyNumberFormat="0" applyProtection="0">
      <alignment horizontal="left" vertical="top" indent="1"/>
    </xf>
    <xf numFmtId="4" fontId="51" fillId="49" borderId="123" applyNumberFormat="0" applyProtection="0">
      <alignment horizontal="right" vertical="center"/>
    </xf>
    <xf numFmtId="0" fontId="105" fillId="0" borderId="127" applyNumberFormat="0" applyFill="0" applyAlignment="0" applyProtection="0"/>
    <xf numFmtId="0" fontId="114" fillId="79" borderId="126" applyNumberFormat="0" applyAlignment="0" applyProtection="0"/>
    <xf numFmtId="0" fontId="18" fillId="54" borderId="123" applyNumberFormat="0" applyProtection="0">
      <alignment horizontal="left" vertical="top" indent="1"/>
    </xf>
    <xf numFmtId="0" fontId="18" fillId="50" borderId="123" applyNumberFormat="0" applyProtection="0">
      <alignment horizontal="left" vertical="top" indent="1"/>
    </xf>
    <xf numFmtId="4" fontId="47" fillId="39" borderId="123" applyNumberFormat="0" applyProtection="0">
      <alignment horizontal="right" vertical="center"/>
    </xf>
    <xf numFmtId="0" fontId="102" fillId="79" borderId="124"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46" borderId="123" applyNumberFormat="0" applyProtection="0">
      <alignment horizontal="right" vertical="center"/>
    </xf>
    <xf numFmtId="0" fontId="114" fillId="79" borderId="126" applyNumberFormat="0" applyAlignment="0" applyProtection="0"/>
    <xf numFmtId="0" fontId="27" fillId="38" borderId="123" applyNumberFormat="0" applyProtection="0">
      <alignment horizontal="left" vertical="top" indent="1"/>
    </xf>
    <xf numFmtId="0" fontId="18" fillId="76" borderId="115" applyNumberFormat="0" applyFont="0" applyAlignment="0" applyProtection="0"/>
    <xf numFmtId="0" fontId="18" fillId="34" borderId="123" applyNumberFormat="0" applyProtection="0">
      <alignment horizontal="left" vertical="center" indent="1"/>
    </xf>
    <xf numFmtId="4" fontId="47" fillId="41" borderId="123" applyNumberFormat="0" applyProtection="0">
      <alignment horizontal="right" vertical="center"/>
    </xf>
    <xf numFmtId="0" fontId="18" fillId="50" borderId="123" applyNumberFormat="0" applyProtection="0">
      <alignment horizontal="left" vertical="center" indent="1"/>
    </xf>
    <xf numFmtId="0" fontId="102" fillId="79" borderId="124" applyNumberFormat="0" applyAlignment="0" applyProtection="0"/>
    <xf numFmtId="0" fontId="110" fillId="77" borderId="124" applyNumberFormat="0" applyAlignment="0" applyProtection="0"/>
    <xf numFmtId="4" fontId="47" fillId="45" borderId="123" applyNumberFormat="0" applyProtection="0">
      <alignment horizontal="right" vertical="center"/>
    </xf>
    <xf numFmtId="4" fontId="51" fillId="35" borderId="123" applyNumberFormat="0" applyProtection="0">
      <alignment vertical="center"/>
    </xf>
    <xf numFmtId="0" fontId="18" fillId="84" borderId="123" applyNumberFormat="0" applyProtection="0">
      <alignment horizontal="left" vertical="center" indent="1"/>
    </xf>
    <xf numFmtId="4" fontId="25" fillId="49" borderId="123" applyNumberFormat="0" applyProtection="0">
      <alignment horizontal="right" vertical="center"/>
    </xf>
    <xf numFmtId="0" fontId="114" fillId="79" borderId="126" applyNumberFormat="0" applyAlignment="0" applyProtection="0"/>
    <xf numFmtId="0" fontId="47" fillId="35" borderId="123" applyNumberFormat="0" applyProtection="0">
      <alignment horizontal="left" vertical="top" indent="1"/>
    </xf>
    <xf numFmtId="0" fontId="105" fillId="0" borderId="127" applyNumberFormat="0" applyFill="0" applyAlignment="0" applyProtection="0"/>
    <xf numFmtId="0" fontId="18" fillId="85" borderId="123" applyNumberFormat="0" applyProtection="0">
      <alignment horizontal="left" vertical="top" indent="1"/>
    </xf>
    <xf numFmtId="0" fontId="114" fillId="79" borderId="126" applyNumberFormat="0" applyAlignment="0" applyProtection="0"/>
    <xf numFmtId="4" fontId="47" fillId="47" borderId="123" applyNumberFormat="0" applyProtection="0">
      <alignment horizontal="right" vertical="center"/>
    </xf>
    <xf numFmtId="0" fontId="47" fillId="34" borderId="123" applyNumberFormat="0" applyProtection="0">
      <alignment horizontal="left" vertical="top"/>
    </xf>
    <xf numFmtId="0" fontId="18" fillId="76" borderId="125" applyNumberFormat="0" applyFont="0" applyAlignment="0" applyProtection="0"/>
    <xf numFmtId="0" fontId="18" fillId="34" borderId="123" applyNumberFormat="0" applyProtection="0">
      <alignment horizontal="left" vertical="top" indent="1"/>
    </xf>
    <xf numFmtId="0" fontId="18" fillId="49" borderId="123" applyNumberFormat="0" applyProtection="0">
      <alignment horizontal="left" vertical="top" indent="1"/>
    </xf>
    <xf numFmtId="4" fontId="27" fillId="38" borderId="123" applyNumberFormat="0" applyProtection="0">
      <alignment horizontal="left" vertical="center" indent="1"/>
    </xf>
    <xf numFmtId="4" fontId="51" fillId="35" borderId="123" applyNumberFormat="0" applyProtection="0">
      <alignment vertical="center"/>
    </xf>
    <xf numFmtId="0" fontId="114" fillId="79" borderId="126" applyNumberFormat="0" applyAlignment="0" applyProtection="0"/>
    <xf numFmtId="0" fontId="18" fillId="85" borderId="123" applyNumberFormat="0" applyProtection="0">
      <alignment horizontal="left" vertical="center" indent="1"/>
    </xf>
    <xf numFmtId="0" fontId="18" fillId="84" borderId="123" applyNumberFormat="0" applyProtection="0">
      <alignment horizontal="left" vertical="top" indent="1"/>
    </xf>
    <xf numFmtId="4" fontId="47" fillId="35" borderId="123" applyNumberFormat="0" applyProtection="0">
      <alignment vertical="center"/>
    </xf>
    <xf numFmtId="4" fontId="47" fillId="0" borderId="123" applyNumberFormat="0" applyProtection="0">
      <alignment horizontal="right" vertical="center"/>
    </xf>
    <xf numFmtId="4" fontId="47" fillId="42" borderId="123" applyNumberFormat="0" applyProtection="0">
      <alignment horizontal="right" vertical="center"/>
    </xf>
    <xf numFmtId="0" fontId="105" fillId="0" borderId="127" applyNumberFormat="0" applyFill="0" applyAlignment="0" applyProtection="0"/>
    <xf numFmtId="0" fontId="47" fillId="34" borderId="123" applyNumberFormat="0" applyProtection="0">
      <alignment horizontal="left" vertical="top"/>
    </xf>
    <xf numFmtId="0" fontId="102" fillId="79" borderId="120" applyNumberFormat="0" applyAlignment="0" applyProtection="0"/>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55" borderId="123" applyNumberFormat="0" applyProtection="0">
      <alignment horizontal="left" vertical="center" indent="1"/>
    </xf>
    <xf numFmtId="0" fontId="102" fillId="79" borderId="124" applyNumberFormat="0" applyAlignment="0" applyProtection="0"/>
    <xf numFmtId="4" fontId="47" fillId="51" borderId="123" applyNumberFormat="0" applyProtection="0">
      <alignment horizontal="left" vertical="center" indent="1"/>
    </xf>
    <xf numFmtId="4" fontId="47" fillId="42" borderId="123" applyNumberFormat="0" applyProtection="0">
      <alignment horizontal="right" vertical="center"/>
    </xf>
    <xf numFmtId="4" fontId="47" fillId="43" borderId="123" applyNumberFormat="0" applyProtection="0">
      <alignment horizontal="right" vertical="center"/>
    </xf>
    <xf numFmtId="0" fontId="65" fillId="0" borderId="20" applyNumberFormat="0" applyFont="0" applyFill="0" applyAlignment="0" applyProtection="0"/>
    <xf numFmtId="4" fontId="47" fillId="51" borderId="123" applyNumberFormat="0" applyProtection="0">
      <alignment horizontal="right" vertical="center"/>
    </xf>
    <xf numFmtId="4" fontId="47" fillId="43" borderId="123" applyNumberFormat="0" applyProtection="0">
      <alignment horizontal="right" vertical="center"/>
    </xf>
    <xf numFmtId="0" fontId="18" fillId="50" borderId="123" applyNumberFormat="0" applyProtection="0">
      <alignment horizontal="left" vertical="top" indent="1"/>
    </xf>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18" fillId="34" borderId="123" applyNumberFormat="0" applyProtection="0">
      <alignment horizontal="left" vertical="center" indent="1"/>
    </xf>
    <xf numFmtId="0" fontId="18" fillId="50" borderId="123" applyNumberFormat="0" applyProtection="0">
      <alignment horizontal="left" vertical="top" indent="1"/>
    </xf>
    <xf numFmtId="0" fontId="18" fillId="51" borderId="123" applyNumberFormat="0" applyProtection="0">
      <alignment horizontal="left" vertical="center" indent="1"/>
    </xf>
    <xf numFmtId="4" fontId="47" fillId="41" borderId="123" applyNumberFormat="0" applyProtection="0">
      <alignment horizontal="right" vertical="center"/>
    </xf>
    <xf numFmtId="4" fontId="47" fillId="51" borderId="123" applyNumberFormat="0" applyProtection="0">
      <alignment horizontal="right" vertical="center"/>
    </xf>
    <xf numFmtId="0" fontId="18" fillId="54" borderId="123" applyNumberFormat="0" applyProtection="0">
      <alignment horizontal="left" vertical="top" indent="1"/>
    </xf>
    <xf numFmtId="0" fontId="18" fillId="55" borderId="123" applyNumberFormat="0" applyProtection="0">
      <alignment horizontal="left" vertical="top" indent="1"/>
    </xf>
    <xf numFmtId="0" fontId="18" fillId="34" borderId="123" applyNumberFormat="0" applyProtection="0">
      <alignment horizontal="left" vertical="center" indent="1"/>
    </xf>
    <xf numFmtId="4" fontId="47" fillId="42" borderId="123" applyNumberFormat="0" applyProtection="0">
      <alignment horizontal="right" vertical="center"/>
    </xf>
    <xf numFmtId="0" fontId="18" fillId="55" borderId="123" applyNumberFormat="0" applyProtection="0">
      <alignment horizontal="left" vertical="top" indent="1"/>
    </xf>
    <xf numFmtId="0" fontId="18" fillId="84" borderId="123" applyNumberFormat="0" applyProtection="0">
      <alignment horizontal="left" vertical="top" indent="1"/>
    </xf>
    <xf numFmtId="4" fontId="51" fillId="35" borderId="123" applyNumberFormat="0" applyProtection="0">
      <alignment vertical="center"/>
    </xf>
    <xf numFmtId="0" fontId="18" fillId="34" borderId="123" applyNumberFormat="0" applyProtection="0">
      <alignment horizontal="left" vertical="top" indent="1"/>
    </xf>
    <xf numFmtId="4" fontId="47" fillId="45" borderId="123" applyNumberFormat="0" applyProtection="0">
      <alignment horizontal="right" vertical="center"/>
    </xf>
    <xf numFmtId="0" fontId="114" fillId="79" borderId="116" applyNumberFormat="0" applyAlignment="0" applyProtection="0"/>
    <xf numFmtId="0" fontId="114" fillId="79" borderId="116" applyNumberFormat="0" applyAlignment="0" applyProtection="0"/>
    <xf numFmtId="0" fontId="114" fillId="79" borderId="116" applyNumberFormat="0" applyAlignment="0" applyProtection="0"/>
    <xf numFmtId="4" fontId="47" fillId="40" borderId="123" applyNumberFormat="0" applyProtection="0">
      <alignment horizontal="right" vertical="center"/>
    </xf>
    <xf numFmtId="0" fontId="47" fillId="34" borderId="123" applyNumberFormat="0" applyProtection="0">
      <alignment horizontal="left" vertical="top"/>
    </xf>
    <xf numFmtId="0" fontId="114" fillId="79" borderId="116" applyNumberFormat="0" applyAlignment="0" applyProtection="0"/>
    <xf numFmtId="0" fontId="18" fillId="51" borderId="123" applyNumberFormat="0" applyProtection="0">
      <alignment horizontal="left" vertical="center" indent="1"/>
    </xf>
    <xf numFmtId="4" fontId="27" fillId="38" borderId="123" applyNumberFormat="0" applyProtection="0">
      <alignment horizontal="left" vertical="center" indent="1"/>
    </xf>
    <xf numFmtId="0" fontId="18" fillId="34" borderId="123" applyNumberFormat="0" applyProtection="0">
      <alignment horizontal="left" vertical="center" indent="1"/>
    </xf>
    <xf numFmtId="4" fontId="27" fillId="38" borderId="123" applyNumberFormat="0" applyProtection="0">
      <alignment horizontal="left" vertical="center" indent="1"/>
    </xf>
    <xf numFmtId="0" fontId="47" fillId="34" borderId="123" applyNumberFormat="0" applyProtection="0">
      <alignment horizontal="left" vertical="top"/>
    </xf>
    <xf numFmtId="0" fontId="110" fillId="77" borderId="124" applyNumberFormat="0" applyAlignment="0" applyProtection="0"/>
    <xf numFmtId="4" fontId="46" fillId="38" borderId="123" applyNumberFormat="0" applyProtection="0">
      <alignment vertical="center"/>
    </xf>
    <xf numFmtId="0" fontId="18" fillId="34" borderId="123" applyNumberFormat="0" applyProtection="0">
      <alignment horizontal="left" vertical="center" indent="1"/>
    </xf>
    <xf numFmtId="4" fontId="47" fillId="39" borderId="123" applyNumberFormat="0" applyProtection="0">
      <alignment horizontal="right" vertical="center"/>
    </xf>
    <xf numFmtId="0" fontId="18" fillId="50" borderId="123" applyNumberFormat="0" applyProtection="0">
      <alignment horizontal="left" vertical="top" indent="1"/>
    </xf>
    <xf numFmtId="0" fontId="18" fillId="76" borderId="125" applyNumberFormat="0" applyFont="0" applyAlignment="0" applyProtection="0"/>
    <xf numFmtId="4" fontId="47" fillId="51" borderId="123" applyNumberFormat="0" applyProtection="0">
      <alignment horizontal="left" vertical="center" indent="1"/>
    </xf>
    <xf numFmtId="0" fontId="18" fillId="54" borderId="123" applyNumberFormat="0" applyProtection="0">
      <alignment horizontal="left" vertical="center" indent="1"/>
    </xf>
    <xf numFmtId="0" fontId="110" fillId="77" borderId="124" applyNumberFormat="0" applyAlignment="0" applyProtection="0"/>
    <xf numFmtId="0" fontId="105" fillId="0" borderId="127" applyNumberFormat="0" applyFill="0" applyAlignment="0" applyProtection="0"/>
    <xf numFmtId="4" fontId="47" fillId="47" borderId="123" applyNumberFormat="0" applyProtection="0">
      <alignment horizontal="right" vertical="center"/>
    </xf>
    <xf numFmtId="0" fontId="18" fillId="50" borderId="123" applyNumberFormat="0" applyProtection="0">
      <alignment horizontal="left" vertical="center" indent="1"/>
    </xf>
    <xf numFmtId="0" fontId="102" fillId="79" borderId="124" applyNumberFormat="0" applyAlignment="0" applyProtection="0"/>
    <xf numFmtId="0" fontId="47" fillId="34" borderId="123" applyNumberFormat="0" applyProtection="0">
      <alignment horizontal="left" vertical="top"/>
    </xf>
    <xf numFmtId="0" fontId="18" fillId="49" borderId="123" applyNumberFormat="0" applyProtection="0">
      <alignment horizontal="left" vertical="top" indent="1"/>
    </xf>
    <xf numFmtId="0" fontId="18" fillId="51" borderId="123" applyNumberFormat="0" applyProtection="0">
      <alignment horizontal="left" vertical="top" indent="1"/>
    </xf>
    <xf numFmtId="0" fontId="18" fillId="51" borderId="123" applyNumberFormat="0" applyProtection="0">
      <alignment horizontal="left" vertical="center" indent="1"/>
    </xf>
    <xf numFmtId="0" fontId="18" fillId="50" borderId="123" applyNumberFormat="0" applyProtection="0">
      <alignment horizontal="left" vertical="top" indent="1"/>
    </xf>
    <xf numFmtId="0" fontId="18" fillId="54" borderId="123" applyNumberFormat="0" applyProtection="0">
      <alignment horizontal="left" vertical="center" indent="1"/>
    </xf>
    <xf numFmtId="4" fontId="47" fillId="41" borderId="123" applyNumberFormat="0" applyProtection="0">
      <alignment horizontal="right" vertical="center"/>
    </xf>
    <xf numFmtId="0" fontId="18" fillId="49" borderId="123" applyNumberFormat="0" applyProtection="0">
      <alignment horizontal="left" vertical="top" indent="1"/>
    </xf>
    <xf numFmtId="0" fontId="18" fillId="84" borderId="123" applyNumberFormat="0" applyProtection="0">
      <alignment horizontal="left" vertical="center" indent="1"/>
    </xf>
    <xf numFmtId="0" fontId="18" fillId="76" borderId="125" applyNumberFormat="0" applyFont="0" applyAlignment="0" applyProtection="0"/>
    <xf numFmtId="0" fontId="105" fillId="0" borderId="127" applyNumberFormat="0" applyFill="0" applyAlignment="0" applyProtection="0"/>
    <xf numFmtId="4" fontId="27" fillId="38" borderId="123" applyNumberFormat="0" applyProtection="0">
      <alignment horizontal="left" vertical="center" indent="1"/>
    </xf>
    <xf numFmtId="0" fontId="18" fillId="84" borderId="123" applyNumberFormat="0" applyProtection="0">
      <alignment horizontal="left" vertical="top" indent="1"/>
    </xf>
    <xf numFmtId="0" fontId="114" fillId="79" borderId="116" applyNumberFormat="0" applyAlignment="0" applyProtection="0"/>
    <xf numFmtId="0" fontId="114" fillId="79" borderId="116" applyNumberFormat="0" applyAlignment="0" applyProtection="0"/>
    <xf numFmtId="0" fontId="47" fillId="34" borderId="123" applyNumberFormat="0" applyProtection="0">
      <alignment horizontal="left" vertical="top"/>
    </xf>
    <xf numFmtId="0" fontId="18" fillId="76" borderId="115" applyNumberFormat="0" applyFont="0" applyAlignment="0" applyProtection="0"/>
    <xf numFmtId="0" fontId="18" fillId="55" borderId="123" applyNumberFormat="0" applyProtection="0">
      <alignment horizontal="left" vertical="top" indent="1"/>
    </xf>
    <xf numFmtId="0" fontId="18" fillId="51"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4" fontId="51" fillId="35" borderId="123" applyNumberFormat="0" applyProtection="0">
      <alignment vertical="center"/>
    </xf>
    <xf numFmtId="4" fontId="47" fillId="0" borderId="123" applyNumberFormat="0" applyProtection="0">
      <alignment horizontal="left" vertical="center" indent="1"/>
    </xf>
    <xf numFmtId="0" fontId="18" fillId="76" borderId="125" applyNumberFormat="0" applyFont="0" applyAlignment="0" applyProtection="0"/>
    <xf numFmtId="0" fontId="47" fillId="34" borderId="123" applyNumberFormat="0" applyProtection="0">
      <alignment horizontal="left" vertical="top"/>
    </xf>
    <xf numFmtId="0" fontId="105" fillId="0" borderId="127" applyNumberFormat="0" applyFill="0" applyAlignment="0" applyProtection="0"/>
    <xf numFmtId="0" fontId="18" fillId="49" borderId="123" applyNumberFormat="0" applyProtection="0">
      <alignment horizontal="left" vertical="center" indent="1"/>
    </xf>
    <xf numFmtId="4" fontId="46" fillId="38" borderId="123" applyNumberFormat="0" applyProtection="0">
      <alignment vertical="center"/>
    </xf>
    <xf numFmtId="0" fontId="110" fillId="77" borderId="124" applyNumberFormat="0" applyAlignment="0" applyProtection="0"/>
    <xf numFmtId="0" fontId="102" fillId="79" borderId="124" applyNumberFormat="0" applyAlignment="0" applyProtection="0"/>
    <xf numFmtId="0" fontId="105" fillId="0" borderId="127" applyNumberFormat="0" applyFill="0" applyAlignment="0" applyProtection="0"/>
    <xf numFmtId="0" fontId="26" fillId="0" borderId="122">
      <alignment horizontal="left" vertical="center"/>
    </xf>
    <xf numFmtId="0" fontId="26" fillId="0" borderId="129">
      <alignment horizontal="left" vertical="center"/>
    </xf>
    <xf numFmtId="0" fontId="110" fillId="77" borderId="124" applyNumberFormat="0" applyAlignment="0" applyProtection="0"/>
    <xf numFmtId="0" fontId="18" fillId="85" borderId="123" applyNumberFormat="0" applyProtection="0">
      <alignment horizontal="left" vertical="top" indent="1"/>
    </xf>
    <xf numFmtId="4" fontId="47" fillId="0" borderId="123" applyNumberFormat="0" applyProtection="0">
      <alignment horizontal="left" vertical="center" indent="1"/>
    </xf>
    <xf numFmtId="0" fontId="114" fillId="79" borderId="126" applyNumberFormat="0" applyAlignment="0" applyProtection="0"/>
    <xf numFmtId="0" fontId="18" fillId="49" borderId="123" applyNumberFormat="0" applyProtection="0">
      <alignment horizontal="left" vertical="center" indent="1"/>
    </xf>
    <xf numFmtId="0" fontId="102" fillId="79" borderId="124" applyNumberFormat="0" applyAlignment="0" applyProtection="0"/>
    <xf numFmtId="0" fontId="114" fillId="79" borderId="116" applyNumberFormat="0" applyAlignment="0" applyProtection="0"/>
    <xf numFmtId="0" fontId="114" fillId="79" borderId="116" applyNumberFormat="0" applyAlignment="0" applyProtection="0"/>
    <xf numFmtId="4" fontId="27" fillId="34" borderId="123" applyNumberFormat="0" applyProtection="0"/>
    <xf numFmtId="0" fontId="105" fillId="0" borderId="127" applyNumberFormat="0" applyFill="0" applyAlignment="0" applyProtection="0"/>
    <xf numFmtId="0" fontId="47" fillId="35" borderId="123" applyNumberFormat="0" applyProtection="0">
      <alignment horizontal="left" vertical="top" indent="1"/>
    </xf>
    <xf numFmtId="0" fontId="18" fillId="76" borderId="115" applyNumberFormat="0" applyFont="0" applyAlignment="0" applyProtection="0"/>
    <xf numFmtId="0" fontId="18" fillId="76" borderId="115" applyNumberFormat="0" applyFont="0" applyAlignment="0" applyProtection="0"/>
    <xf numFmtId="0" fontId="18" fillId="76" borderId="115" applyNumberFormat="0" applyFont="0" applyAlignment="0" applyProtection="0"/>
    <xf numFmtId="0" fontId="18" fillId="34" borderId="123" applyNumberFormat="0" applyProtection="0">
      <alignment horizontal="left" vertical="top" indent="1"/>
    </xf>
    <xf numFmtId="4" fontId="47" fillId="51" borderId="123" applyNumberFormat="0" applyProtection="0">
      <alignment horizontal="right" vertical="center"/>
    </xf>
    <xf numFmtId="0" fontId="18" fillId="76" borderId="125" applyNumberFormat="0" applyFont="0" applyAlignment="0" applyProtection="0"/>
    <xf numFmtId="0" fontId="18" fillId="34" borderId="123" applyNumberFormat="0" applyProtection="0">
      <alignment horizontal="left" vertical="top" indent="1"/>
    </xf>
    <xf numFmtId="0" fontId="18" fillId="34" borderId="123" applyNumberFormat="0" applyProtection="0">
      <alignment horizontal="left" vertical="top" indent="1"/>
    </xf>
    <xf numFmtId="0" fontId="114" fillId="79" borderId="126" applyNumberFormat="0" applyAlignment="0" applyProtection="0"/>
    <xf numFmtId="0" fontId="110" fillId="77" borderId="124" applyNumberFormat="0" applyAlignment="0" applyProtection="0"/>
    <xf numFmtId="0" fontId="114" fillId="79" borderId="126" applyNumberFormat="0" applyAlignment="0" applyProtection="0"/>
    <xf numFmtId="0" fontId="18" fillId="34" borderId="123" applyNumberFormat="0" applyProtection="0">
      <alignment horizontal="left" vertical="top" indent="1"/>
    </xf>
    <xf numFmtId="0" fontId="114" fillId="79" borderId="126" applyNumberFormat="0" applyAlignment="0" applyProtection="0"/>
    <xf numFmtId="0" fontId="18" fillId="34" borderId="123" applyNumberFormat="0" applyProtection="0">
      <alignment horizontal="left" vertical="top" indent="1"/>
    </xf>
    <xf numFmtId="4" fontId="47" fillId="0" borderId="123" applyNumberFormat="0" applyProtection="0">
      <alignment horizontal="left" vertical="center" indent="1"/>
    </xf>
    <xf numFmtId="0" fontId="18" fillId="84" borderId="123" applyNumberFormat="0" applyProtection="0">
      <alignment horizontal="left" vertical="center" indent="1"/>
    </xf>
    <xf numFmtId="4" fontId="27" fillId="38" borderId="123" applyNumberFormat="0" applyProtection="0">
      <alignment horizontal="left" vertical="center" indent="1"/>
    </xf>
    <xf numFmtId="0" fontId="18" fillId="84" borderId="123" applyNumberFormat="0" applyProtection="0">
      <alignment horizontal="left" vertical="top" indent="1"/>
    </xf>
    <xf numFmtId="0" fontId="47" fillId="34" borderId="123" applyNumberFormat="0" applyProtection="0">
      <alignment horizontal="center" vertical="top"/>
    </xf>
    <xf numFmtId="0" fontId="110" fillId="77" borderId="124" applyNumberFormat="0" applyAlignment="0" applyProtection="0"/>
    <xf numFmtId="4" fontId="51" fillId="49" borderId="123" applyNumberFormat="0" applyProtection="0">
      <alignment horizontal="right" vertical="center"/>
    </xf>
    <xf numFmtId="0" fontId="114" fillId="79" borderId="126" applyNumberFormat="0" applyAlignment="0" applyProtection="0"/>
    <xf numFmtId="0" fontId="18" fillId="85" borderId="123" applyNumberFormat="0" applyProtection="0">
      <alignment horizontal="left" vertical="center" indent="1"/>
    </xf>
    <xf numFmtId="0" fontId="18" fillId="55" borderId="123" applyNumberFormat="0" applyProtection="0">
      <alignment horizontal="left" vertical="top" indent="1"/>
    </xf>
    <xf numFmtId="0" fontId="18" fillId="49" borderId="123" applyNumberFormat="0" applyProtection="0">
      <alignment horizontal="left" vertical="center" indent="1"/>
    </xf>
    <xf numFmtId="4" fontId="47" fillId="0" borderId="123" applyNumberFormat="0" applyProtection="0">
      <alignment horizontal="left" vertical="center" indent="1"/>
    </xf>
    <xf numFmtId="0" fontId="114" fillId="79" borderId="116" applyNumberFormat="0" applyAlignment="0" applyProtection="0"/>
    <xf numFmtId="0" fontId="114" fillId="79" borderId="116" applyNumberFormat="0" applyAlignment="0" applyProtection="0"/>
    <xf numFmtId="0" fontId="105" fillId="0" borderId="127" applyNumberFormat="0" applyFill="0" applyAlignment="0" applyProtection="0"/>
    <xf numFmtId="0" fontId="18" fillId="76" borderId="115" applyNumberFormat="0" applyFont="0" applyAlignment="0" applyProtection="0"/>
    <xf numFmtId="0" fontId="18" fillId="76" borderId="115" applyNumberFormat="0" applyFont="0" applyAlignment="0" applyProtection="0"/>
    <xf numFmtId="0" fontId="18" fillId="55" borderId="123" applyNumberFormat="0" applyProtection="0">
      <alignment horizontal="left" vertical="top" indent="1"/>
    </xf>
    <xf numFmtId="0" fontId="18" fillId="50" borderId="123" applyNumberFormat="0" applyProtection="0">
      <alignment horizontal="left" vertical="center" indent="1"/>
    </xf>
    <xf numFmtId="4" fontId="27" fillId="37" borderId="123" applyNumberFormat="0" applyProtection="0">
      <alignment vertical="center"/>
    </xf>
    <xf numFmtId="0" fontId="18" fillId="51" borderId="123" applyNumberFormat="0" applyProtection="0">
      <alignment horizontal="left" vertical="center" indent="1"/>
    </xf>
    <xf numFmtId="0" fontId="18" fillId="0" borderId="0" applyFill="0" applyBorder="0" applyProtection="0">
      <alignment horizontal="right"/>
    </xf>
    <xf numFmtId="0" fontId="18" fillId="84" borderId="123" applyNumberFormat="0" applyProtection="0">
      <alignment horizontal="left" vertical="center" indent="1"/>
    </xf>
    <xf numFmtId="4" fontId="27" fillId="37" borderId="123" applyNumberFormat="0" applyProtection="0">
      <alignment vertical="center"/>
    </xf>
    <xf numFmtId="0" fontId="18" fillId="54" borderId="123" applyNumberFormat="0" applyProtection="0">
      <alignment horizontal="left" vertical="center" indent="1"/>
    </xf>
    <xf numFmtId="0" fontId="110" fillId="77" borderId="124" applyNumberFormat="0" applyAlignment="0" applyProtection="0"/>
    <xf numFmtId="0" fontId="18" fillId="84" borderId="123" applyNumberFormat="0" applyProtection="0">
      <alignment horizontal="left" vertical="center" indent="1"/>
    </xf>
    <xf numFmtId="0" fontId="18" fillId="85" borderId="123" applyNumberFormat="0" applyProtection="0">
      <alignment horizontal="left" vertical="top" indent="1"/>
    </xf>
    <xf numFmtId="0" fontId="18" fillId="55" borderId="123" applyNumberFormat="0" applyProtection="0">
      <alignment horizontal="left" vertical="center" indent="1"/>
    </xf>
    <xf numFmtId="0" fontId="18" fillId="54" borderId="123" applyNumberFormat="0" applyProtection="0">
      <alignment horizontal="left" vertical="top" indent="1"/>
    </xf>
    <xf numFmtId="0" fontId="18" fillId="84" borderId="123" applyNumberFormat="0" applyProtection="0">
      <alignment horizontal="left" vertical="center" indent="1"/>
    </xf>
    <xf numFmtId="0" fontId="18" fillId="84" borderId="123" applyNumberFormat="0" applyProtection="0">
      <alignment horizontal="left" vertical="center" indent="1"/>
    </xf>
    <xf numFmtId="0" fontId="18" fillId="55" borderId="123" applyNumberFormat="0" applyProtection="0">
      <alignment horizontal="left" vertical="center" indent="1"/>
    </xf>
    <xf numFmtId="0" fontId="18" fillId="50" borderId="123" applyNumberFormat="0" applyProtection="0">
      <alignment horizontal="left" vertical="center" indent="1"/>
    </xf>
    <xf numFmtId="4" fontId="51" fillId="49" borderId="123" applyNumberFormat="0" applyProtection="0">
      <alignment horizontal="right" vertical="center"/>
    </xf>
    <xf numFmtId="4" fontId="47" fillId="0" borderId="123" applyNumberFormat="0" applyProtection="0">
      <alignment horizontal="right" vertical="center"/>
    </xf>
    <xf numFmtId="4" fontId="47" fillId="59" borderId="123" applyNumberFormat="0" applyProtection="0">
      <alignment horizontal="left" vertical="center" indent="1"/>
    </xf>
    <xf numFmtId="0" fontId="18" fillId="84" borderId="123" applyNumberFormat="0" applyProtection="0">
      <alignment horizontal="left" vertical="top" indent="1"/>
    </xf>
    <xf numFmtId="0" fontId="18" fillId="51" borderId="123" applyNumberFormat="0" applyProtection="0">
      <alignment horizontal="left" vertical="top" indent="1"/>
    </xf>
    <xf numFmtId="0" fontId="63" fillId="59" borderId="128" applyNumberFormat="0" applyFont="0" applyFill="0" applyAlignment="0" applyProtection="0">
      <protection locked="0"/>
    </xf>
    <xf numFmtId="0" fontId="47" fillId="34" borderId="123" applyNumberFormat="0" applyProtection="0">
      <alignment horizontal="center" vertical="top"/>
    </xf>
    <xf numFmtId="0" fontId="114" fillId="79" borderId="126" applyNumberFormat="0" applyAlignment="0" applyProtection="0"/>
    <xf numFmtId="0" fontId="18" fillId="84" borderId="123" applyNumberFormat="0" applyProtection="0">
      <alignment horizontal="left" vertical="center" indent="1"/>
    </xf>
    <xf numFmtId="0" fontId="18" fillId="76" borderId="125" applyNumberFormat="0" applyFont="0" applyAlignment="0" applyProtection="0"/>
    <xf numFmtId="0" fontId="102" fillId="79" borderId="124" applyNumberFormat="0" applyAlignment="0" applyProtection="0"/>
    <xf numFmtId="4" fontId="47" fillId="45" borderId="123" applyNumberFormat="0" applyProtection="0">
      <alignment horizontal="right" vertical="center"/>
    </xf>
    <xf numFmtId="0" fontId="18" fillId="54" borderId="123" applyNumberFormat="0" applyProtection="0">
      <alignment horizontal="left" vertical="center" indent="1"/>
    </xf>
    <xf numFmtId="0" fontId="24" fillId="59" borderId="128" applyNumberFormat="0" applyFont="0" applyAlignment="0" applyProtection="0">
      <protection locked="0"/>
    </xf>
    <xf numFmtId="0" fontId="110" fillId="77" borderId="124" applyNumberFormat="0" applyAlignment="0" applyProtection="0"/>
    <xf numFmtId="0" fontId="18" fillId="51" borderId="123" applyNumberFormat="0" applyProtection="0">
      <alignment horizontal="left" vertical="top" indent="1"/>
    </xf>
    <xf numFmtId="0" fontId="18" fillId="0" borderId="0"/>
    <xf numFmtId="0" fontId="18" fillId="0" borderId="0"/>
    <xf numFmtId="0" fontId="18" fillId="0" borderId="0"/>
    <xf numFmtId="44" fontId="18" fillId="0" borderId="0" applyFont="0" applyFill="0" applyBorder="0" applyAlignment="0" applyProtection="0"/>
    <xf numFmtId="44"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0" fontId="63" fillId="59" borderId="121"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0" fontId="18" fillId="0" borderId="27" applyNumberFormat="0" applyFont="0" applyFill="0" applyAlignment="0" applyProtection="0"/>
    <xf numFmtId="0" fontId="18" fillId="55" borderId="123" applyNumberFormat="0" applyProtection="0">
      <alignment horizontal="left" vertical="center" indent="1"/>
    </xf>
    <xf numFmtId="4" fontId="47" fillId="35" borderId="123" applyNumberFormat="0" applyProtection="0">
      <alignment horizontal="left" vertical="center" indent="1"/>
    </xf>
    <xf numFmtId="0" fontId="105" fillId="0" borderId="127"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37" applyNumberFormat="0" applyFill="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4" fontId="47" fillId="47" borderId="123" applyNumberFormat="0" applyProtection="0">
      <alignment horizontal="right" vertical="center"/>
    </xf>
    <xf numFmtId="0" fontId="18" fillId="49" borderId="123" applyNumberFormat="0" applyProtection="0">
      <alignment horizontal="left" vertical="top" indent="1"/>
    </xf>
    <xf numFmtId="43" fontId="18" fillId="0" borderId="0" applyFont="0" applyFill="0" applyBorder="0" applyAlignment="0" applyProtection="0"/>
    <xf numFmtId="3" fontId="18" fillId="0" borderId="0" applyFont="0" applyFill="0" applyBorder="0" applyAlignment="0" applyProtection="0"/>
    <xf numFmtId="3" fontId="18" fillId="0" borderId="0" applyFill="0" applyBorder="0" applyAlignment="0" applyProtection="0"/>
    <xf numFmtId="3" fontId="18" fillId="0" borderId="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5" fontId="18" fillId="0" borderId="0" applyFill="0" applyBorder="0" applyAlignment="0" applyProtection="0"/>
    <xf numFmtId="179" fontId="18" fillId="0" borderId="0" applyFill="0" applyBorder="0" applyAlignment="0" applyProtection="0"/>
    <xf numFmtId="0" fontId="18" fillId="0" borderId="0" applyFont="0" applyFill="0" applyBorder="0" applyAlignment="0" applyProtection="0"/>
    <xf numFmtId="2"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21" fillId="35" borderId="85" applyNumberFormat="0" applyFont="0" applyAlignment="0" applyProtection="0">
      <alignment horizontal="center"/>
      <protection locked="0"/>
    </xf>
    <xf numFmtId="0" fontId="18" fillId="0" borderId="0"/>
    <xf numFmtId="4" fontId="47" fillId="44" borderId="123" applyNumberFormat="0" applyProtection="0">
      <alignment horizontal="right" vertical="center"/>
    </xf>
    <xf numFmtId="0" fontId="102" fillId="79" borderId="124"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54" borderId="123" applyNumberFormat="0" applyProtection="0">
      <alignment horizontal="left" vertical="top" indent="1"/>
    </xf>
    <xf numFmtId="0" fontId="18" fillId="51" borderId="123" applyNumberFormat="0" applyProtection="0">
      <alignment horizontal="left" vertical="center" indent="1"/>
    </xf>
    <xf numFmtId="0" fontId="18" fillId="49" borderId="123" applyNumberFormat="0" applyProtection="0">
      <alignment horizontal="left" vertical="top" indent="1"/>
    </xf>
    <xf numFmtId="0" fontId="114" fillId="79" borderId="126" applyNumberFormat="0" applyAlignment="0" applyProtection="0"/>
    <xf numFmtId="0" fontId="18" fillId="51" borderId="123" applyNumberFormat="0" applyProtection="0">
      <alignment horizontal="left" vertical="top" indent="1"/>
    </xf>
    <xf numFmtId="0" fontId="114" fillId="79" borderId="126"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8" fillId="50" borderId="123" applyNumberFormat="0" applyProtection="0">
      <alignment horizontal="left" vertical="top"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02" fillId="79" borderId="120" applyNumberFormat="0" applyAlignment="0" applyProtection="0"/>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61" borderId="14" applyNumberFormat="0">
      <protection locked="0"/>
    </xf>
    <xf numFmtId="0" fontId="18" fillId="61" borderId="14" applyNumberFormat="0">
      <protection locked="0"/>
    </xf>
    <xf numFmtId="0" fontId="18" fillId="61" borderId="14" applyNumberFormat="0">
      <protection locked="0"/>
    </xf>
    <xf numFmtId="0" fontId="18" fillId="0" borderId="0">
      <alignment horizontal="left" wrapText="1"/>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10" fillId="77" borderId="120" applyNumberFormat="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0" borderId="0"/>
    <xf numFmtId="44"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18" fillId="50" borderId="123" applyNumberFormat="0" applyProtection="0">
      <alignment horizontal="left" vertical="center" indent="1"/>
    </xf>
    <xf numFmtId="0" fontId="18" fillId="0" borderId="0"/>
    <xf numFmtId="179" fontId="18" fillId="0" borderId="0" applyFill="0" applyBorder="0" applyAlignment="0" applyProtection="0"/>
    <xf numFmtId="179" fontId="18" fillId="0" borderId="0" applyFill="0" applyBorder="0" applyAlignment="0" applyProtection="0"/>
    <xf numFmtId="0" fontId="18" fillId="85" borderId="123" applyNumberFormat="0" applyProtection="0">
      <alignment horizontal="left" vertical="center" indent="1"/>
    </xf>
    <xf numFmtId="4" fontId="47" fillId="40" borderId="123" applyNumberFormat="0" applyProtection="0">
      <alignment horizontal="right" vertical="center"/>
    </xf>
    <xf numFmtId="0" fontId="18" fillId="0" borderId="0"/>
    <xf numFmtId="0" fontId="102" fillId="79" borderId="124" applyNumberFormat="0" applyAlignment="0" applyProtection="0"/>
    <xf numFmtId="37"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179" fontId="18" fillId="0" borderId="0" applyFill="0" applyBorder="0" applyAlignment="0" applyProtection="0"/>
    <xf numFmtId="37" fontId="18" fillId="0" borderId="0" applyFill="0" applyBorder="0" applyAlignment="0" applyProtection="0"/>
    <xf numFmtId="0" fontId="110" fillId="77" borderId="124" applyNumberFormat="0" applyAlignment="0" applyProtection="0"/>
    <xf numFmtId="4" fontId="27" fillId="38" borderId="123" applyNumberFormat="0" applyProtection="0">
      <alignment horizontal="left" vertical="center" indent="1"/>
    </xf>
    <xf numFmtId="0" fontId="18" fillId="49" borderId="123" applyNumberFormat="0" applyProtection="0">
      <alignment horizontal="left" vertical="top" indent="1"/>
    </xf>
    <xf numFmtId="0" fontId="18" fillId="0" borderId="0"/>
    <xf numFmtId="4" fontId="27" fillId="34" borderId="123" applyNumberFormat="0" applyProtection="0"/>
    <xf numFmtId="44" fontId="18" fillId="0" borderId="0" applyFont="0" applyFill="0" applyBorder="0" applyAlignment="0" applyProtection="0"/>
    <xf numFmtId="0" fontId="18" fillId="0" borderId="0"/>
    <xf numFmtId="0" fontId="18" fillId="0" borderId="0"/>
    <xf numFmtId="37" fontId="18" fillId="0" borderId="0" applyFill="0" applyBorder="0" applyAlignment="0" applyProtection="0"/>
    <xf numFmtId="0" fontId="18" fillId="0" borderId="0"/>
    <xf numFmtId="37" fontId="18" fillId="0" borderId="0" applyFill="0" applyBorder="0" applyAlignment="0" applyProtection="0"/>
    <xf numFmtId="0" fontId="18" fillId="0" borderId="0"/>
    <xf numFmtId="0" fontId="18" fillId="0" borderId="0"/>
    <xf numFmtId="179" fontId="18" fillId="0" borderId="0" applyFill="0" applyBorder="0" applyAlignment="0" applyProtection="0"/>
    <xf numFmtId="0" fontId="18" fillId="0" borderId="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179"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0" fontId="18" fillId="0" borderId="0"/>
    <xf numFmtId="0" fontId="18" fillId="0" borderId="0"/>
    <xf numFmtId="179" fontId="18" fillId="0" borderId="0" applyFill="0" applyBorder="0" applyAlignment="0" applyProtection="0"/>
    <xf numFmtId="37" fontId="18" fillId="0" borderId="0" applyFill="0" applyBorder="0" applyAlignment="0" applyProtection="0"/>
    <xf numFmtId="0" fontId="18" fillId="0" borderId="0"/>
    <xf numFmtId="179"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37" fontId="18" fillId="0" borderId="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24" fillId="59" borderId="112" applyNumberFormat="0" applyFont="0" applyAlignment="0" applyProtection="0">
      <protection locked="0"/>
    </xf>
    <xf numFmtId="0" fontId="18" fillId="0" borderId="0" applyFont="0" applyFill="0" applyBorder="0" applyAlignment="0" applyProtection="0"/>
    <xf numFmtId="0" fontId="63" fillId="59" borderId="112" applyNumberFormat="0" applyFont="0" applyFill="0" applyAlignment="0" applyProtection="0">
      <protection locked="0"/>
    </xf>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3" fontId="18" fillId="0" borderId="0" applyFont="0" applyFill="0" applyBorder="0" applyAlignment="0" applyProtection="0"/>
    <xf numFmtId="3" fontId="18" fillId="0" borderId="0" applyFont="0" applyFill="0" applyBorder="0" applyAlignment="0" applyProtection="0"/>
    <xf numFmtId="0" fontId="18" fillId="0" borderId="0" applyFont="0" applyFill="0" applyBorder="0" applyAlignment="0" applyProtection="0"/>
    <xf numFmtId="0" fontId="18" fillId="0" borderId="0"/>
    <xf numFmtId="4" fontId="27" fillId="34" borderId="123" applyNumberFormat="0" applyProtection="0"/>
    <xf numFmtId="4" fontId="47" fillId="43" borderId="123"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8" fillId="0" borderId="0" applyFont="0" applyFill="0" applyBorder="0" applyAlignment="0" applyProtection="0"/>
    <xf numFmtId="4" fontId="25" fillId="49" borderId="106" applyNumberFormat="0" applyProtection="0">
      <alignment horizontal="right" vertical="center"/>
    </xf>
    <xf numFmtId="0" fontId="47" fillId="34" borderId="106" applyNumberFormat="0" applyProtection="0">
      <alignment horizontal="left" vertical="top"/>
    </xf>
    <xf numFmtId="4" fontId="47" fillId="0" borderId="106" applyNumberFormat="0" applyProtection="0">
      <alignment horizontal="left" vertical="center" indent="1"/>
    </xf>
    <xf numFmtId="4" fontId="51" fillId="49" borderId="106" applyNumberFormat="0" applyProtection="0">
      <alignment horizontal="right" vertical="center"/>
    </xf>
    <xf numFmtId="4" fontId="47" fillId="0" borderId="106" applyNumberFormat="0" applyProtection="0">
      <alignment horizontal="right" vertical="center"/>
    </xf>
    <xf numFmtId="0" fontId="47" fillId="35" borderId="106" applyNumberFormat="0" applyProtection="0">
      <alignment horizontal="left" vertical="top" indent="1"/>
    </xf>
    <xf numFmtId="4" fontId="47" fillId="35" borderId="106" applyNumberFormat="0" applyProtection="0">
      <alignment horizontal="left" vertical="center" indent="1"/>
    </xf>
    <xf numFmtId="4" fontId="51" fillId="35" borderId="106" applyNumberFormat="0" applyProtection="0">
      <alignment vertical="center"/>
    </xf>
    <xf numFmtId="4" fontId="47" fillId="35" borderId="106" applyNumberFormat="0" applyProtection="0">
      <alignment vertical="center"/>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5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4"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3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0" borderId="106" applyNumberFormat="0" applyProtection="0">
      <alignment horizontal="left" vertical="top"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center" indent="1"/>
    </xf>
    <xf numFmtId="4" fontId="47" fillId="51" borderId="106" applyNumberFormat="0" applyProtection="0">
      <alignment horizontal="right" vertical="center"/>
    </xf>
    <xf numFmtId="4" fontId="47" fillId="47" borderId="106" applyNumberFormat="0" applyProtection="0">
      <alignment horizontal="right" vertical="center"/>
    </xf>
    <xf numFmtId="4" fontId="47" fillId="46" borderId="106" applyNumberFormat="0" applyProtection="0">
      <alignment horizontal="right" vertical="center"/>
    </xf>
    <xf numFmtId="4" fontId="47" fillId="45" borderId="106" applyNumberFormat="0" applyProtection="0">
      <alignment horizontal="right" vertical="center"/>
    </xf>
    <xf numFmtId="4" fontId="47" fillId="44" borderId="106" applyNumberFormat="0" applyProtection="0">
      <alignment horizontal="right" vertical="center"/>
    </xf>
    <xf numFmtId="4" fontId="47" fillId="43" borderId="106" applyNumberFormat="0" applyProtection="0">
      <alignment horizontal="right" vertical="center"/>
    </xf>
    <xf numFmtId="4" fontId="47" fillId="42" borderId="106" applyNumberFormat="0" applyProtection="0">
      <alignment horizontal="right" vertical="center"/>
    </xf>
    <xf numFmtId="4" fontId="47" fillId="41" borderId="106" applyNumberFormat="0" applyProtection="0">
      <alignment horizontal="right" vertical="center"/>
    </xf>
    <xf numFmtId="4" fontId="47" fillId="40" borderId="106" applyNumberFormat="0" applyProtection="0">
      <alignment horizontal="right" vertical="center"/>
    </xf>
    <xf numFmtId="4" fontId="47" fillId="39" borderId="106" applyNumberFormat="0" applyProtection="0">
      <alignment horizontal="right" vertical="center"/>
    </xf>
    <xf numFmtId="0" fontId="27" fillId="38" borderId="106" applyNumberFormat="0" applyProtection="0">
      <alignment horizontal="left" vertical="top" indent="1"/>
    </xf>
    <xf numFmtId="4" fontId="27" fillId="38" borderId="106" applyNumberFormat="0" applyProtection="0">
      <alignment horizontal="left" vertical="center" indent="1"/>
    </xf>
    <xf numFmtId="4" fontId="46" fillId="38" borderId="106" applyNumberFormat="0" applyProtection="0">
      <alignment vertical="center"/>
    </xf>
    <xf numFmtId="4" fontId="27" fillId="37" borderId="106" applyNumberFormat="0" applyProtection="0">
      <alignment vertical="center"/>
    </xf>
    <xf numFmtId="3" fontId="18" fillId="0" borderId="0" applyFont="0" applyFill="0" applyBorder="0" applyAlignment="0" applyProtection="0"/>
    <xf numFmtId="0" fontId="63" fillId="59" borderId="112" applyNumberFormat="0" applyFont="0" applyFill="0" applyAlignment="0" applyProtection="0">
      <protection locked="0"/>
    </xf>
    <xf numFmtId="0" fontId="18" fillId="0" borderId="0"/>
    <xf numFmtId="0" fontId="18" fillId="0" borderId="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3" fontId="18" fillId="0" borderId="0" applyFont="0" applyFill="0" applyBorder="0" applyAlignment="0" applyProtection="0"/>
    <xf numFmtId="0" fontId="18" fillId="0" borderId="0"/>
    <xf numFmtId="3" fontId="18" fillId="0" borderId="0" applyFont="0" applyFill="0" applyBorder="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4" fontId="47" fillId="46" borderId="123" applyNumberFormat="0" applyProtection="0">
      <alignment horizontal="right" vertical="center"/>
    </xf>
    <xf numFmtId="4" fontId="51" fillId="49" borderId="123" applyNumberFormat="0" applyProtection="0">
      <alignment horizontal="right" vertical="center"/>
    </xf>
    <xf numFmtId="0" fontId="105" fillId="0" borderId="127" applyNumberFormat="0" applyFill="0" applyAlignment="0" applyProtection="0"/>
    <xf numFmtId="0" fontId="114" fillId="79" borderId="126" applyNumberFormat="0" applyAlignment="0" applyProtection="0"/>
    <xf numFmtId="4" fontId="47" fillId="0" borderId="123" applyNumberFormat="0" applyProtection="0">
      <alignment horizontal="right" vertical="center"/>
    </xf>
    <xf numFmtId="4" fontId="25" fillId="49" borderId="123" applyNumberFormat="0" applyProtection="0">
      <alignment horizontal="right" vertical="center"/>
    </xf>
    <xf numFmtId="0" fontId="102" fillId="79" borderId="124" applyNumberFormat="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0" borderId="0"/>
    <xf numFmtId="0" fontId="18" fillId="0" borderId="0"/>
    <xf numFmtId="0" fontId="24" fillId="59" borderId="112" applyNumberFormat="0" applyFont="0" applyAlignment="0" applyProtection="0">
      <protection locked="0"/>
    </xf>
    <xf numFmtId="0" fontId="18" fillId="61" borderId="14" applyNumberFormat="0">
      <protection locked="0"/>
    </xf>
    <xf numFmtId="0" fontId="18" fillId="0" borderId="0" applyFont="0" applyFill="0" applyBorder="0" applyAlignment="0" applyProtection="0"/>
    <xf numFmtId="3" fontId="18" fillId="0" borderId="0" applyFont="0" applyFill="0" applyBorder="0" applyAlignment="0" applyProtection="0"/>
    <xf numFmtId="0" fontId="24" fillId="59" borderId="121" applyNumberFormat="0" applyFont="0" applyAlignment="0" applyProtection="0">
      <protection locked="0"/>
    </xf>
    <xf numFmtId="4" fontId="47" fillId="41" borderId="123" applyNumberFormat="0" applyProtection="0">
      <alignment horizontal="right" vertical="center"/>
    </xf>
    <xf numFmtId="0" fontId="18" fillId="0" borderId="0" applyFont="0" applyFill="0" applyBorder="0" applyAlignment="0" applyProtection="0"/>
    <xf numFmtId="0" fontId="26" fillId="0" borderId="53">
      <alignment horizontal="left" vertical="center"/>
    </xf>
    <xf numFmtId="0" fontId="102" fillId="79" borderId="124" applyNumberFormat="0" applyAlignment="0" applyProtection="0"/>
    <xf numFmtId="0" fontId="102" fillId="79" borderId="124" applyNumberFormat="0" applyAlignment="0" applyProtection="0"/>
    <xf numFmtId="0" fontId="18" fillId="54" borderId="123" applyNumberFormat="0" applyProtection="0">
      <alignment horizontal="left" vertical="top" indent="1"/>
    </xf>
    <xf numFmtId="0" fontId="24" fillId="59" borderId="128" applyNumberFormat="0" applyFont="0" applyAlignment="0" applyProtection="0">
      <protection locked="0"/>
    </xf>
    <xf numFmtId="0" fontId="102" fillId="79" borderId="124" applyNumberFormat="0" applyAlignment="0" applyProtection="0"/>
    <xf numFmtId="0" fontId="110" fillId="77" borderId="124" applyNumberFormat="0" applyAlignment="0" applyProtection="0"/>
    <xf numFmtId="0" fontId="18" fillId="0" borderId="0"/>
    <xf numFmtId="0" fontId="18" fillId="0" borderId="0" applyFont="0" applyFill="0" applyBorder="0" applyAlignment="0" applyProtection="0"/>
    <xf numFmtId="0" fontId="18" fillId="0" borderId="0" applyFont="0" applyFill="0" applyBorder="0" applyAlignment="0" applyProtection="0"/>
    <xf numFmtId="0" fontId="105" fillId="0" borderId="111" applyNumberFormat="0" applyFill="0" applyAlignment="0" applyProtection="0"/>
    <xf numFmtId="0" fontId="105" fillId="0" borderId="111" applyNumberFormat="0" applyFill="0" applyAlignment="0" applyProtection="0"/>
    <xf numFmtId="0"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0" fontId="18" fillId="61" borderId="14" applyNumberFormat="0">
      <protection locked="0"/>
    </xf>
    <xf numFmtId="0" fontId="18" fillId="0" borderId="0" applyFont="0" applyFill="0" applyBorder="0" applyAlignment="0" applyProtection="0"/>
    <xf numFmtId="0" fontId="18" fillId="0" borderId="0"/>
    <xf numFmtId="0" fontId="18" fillId="61" borderId="14" applyNumberFormat="0">
      <protection locked="0"/>
    </xf>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0" borderId="0"/>
    <xf numFmtId="3" fontId="18" fillId="0" borderId="0" applyFont="0" applyFill="0" applyBorder="0" applyAlignment="0" applyProtection="0"/>
    <xf numFmtId="0" fontId="18" fillId="0" borderId="0" applyFont="0" applyFill="0" applyBorder="0" applyAlignment="0" applyProtection="0"/>
    <xf numFmtId="0" fontId="18" fillId="54" borderId="123" applyNumberFormat="0" applyProtection="0">
      <alignment horizontal="left" vertical="top" indent="1"/>
    </xf>
    <xf numFmtId="0" fontId="18" fillId="49" borderId="123" applyNumberFormat="0" applyProtection="0">
      <alignment horizontal="left" vertical="top" indent="1"/>
    </xf>
    <xf numFmtId="0" fontId="18" fillId="54" borderId="123" applyNumberFormat="0" applyProtection="0">
      <alignment horizontal="left" vertical="center" indent="1"/>
    </xf>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85" borderId="123" applyNumberFormat="0" applyProtection="0">
      <alignment horizontal="left" vertical="top" indent="1"/>
    </xf>
    <xf numFmtId="0" fontId="18" fillId="51" borderId="123" applyNumberFormat="0" applyProtection="0">
      <alignment horizontal="left" vertical="center" indent="1"/>
    </xf>
    <xf numFmtId="0" fontId="47" fillId="35" borderId="123" applyNumberFormat="0" applyProtection="0">
      <alignment horizontal="left" vertical="top" indent="1"/>
    </xf>
    <xf numFmtId="0" fontId="18" fillId="51" borderId="123" applyNumberFormat="0" applyProtection="0">
      <alignment horizontal="left" vertical="center" indent="1"/>
    </xf>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top"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34"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top"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54"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top"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5"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top" indent="1"/>
    </xf>
    <xf numFmtId="0" fontId="18" fillId="49" borderId="106" applyNumberFormat="0" applyProtection="0">
      <alignment horizontal="left" vertical="top" indent="1"/>
    </xf>
    <xf numFmtId="0" fontId="18" fillId="49"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4" fontId="25" fillId="49" borderId="106"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10" fillId="77" borderId="124" applyNumberFormat="0" applyAlignment="0" applyProtection="0"/>
    <xf numFmtId="0" fontId="114" fillId="79" borderId="126" applyNumberFormat="0" applyAlignment="0" applyProtection="0"/>
    <xf numFmtId="4" fontId="47" fillId="51" borderId="123" applyNumberFormat="0" applyProtection="0">
      <alignment horizontal="right" vertical="center"/>
    </xf>
    <xf numFmtId="4" fontId="47" fillId="42" borderId="123" applyNumberFormat="0" applyProtection="0">
      <alignment horizontal="right" vertical="center"/>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0" fontId="26" fillId="0" borderId="113">
      <alignment horizontal="left" vertical="center"/>
    </xf>
    <xf numFmtId="4" fontId="27" fillId="34" borderId="114" applyNumberFormat="0" applyProtection="0">
      <alignment vertical="center"/>
    </xf>
    <xf numFmtId="4" fontId="47" fillId="0" borderId="106" applyNumberFormat="0" applyProtection="0">
      <alignment horizontal="right" vertical="center"/>
    </xf>
    <xf numFmtId="0" fontId="18" fillId="51" borderId="106" applyNumberFormat="0" applyProtection="0">
      <alignment horizontal="left" vertical="center" indent="1"/>
    </xf>
    <xf numFmtId="4" fontId="27" fillId="37" borderId="106" applyNumberFormat="0" applyProtection="0">
      <alignment vertical="center"/>
    </xf>
    <xf numFmtId="0" fontId="110" fillId="77" borderId="108" applyNumberFormat="0" applyAlignment="0" applyProtection="0"/>
    <xf numFmtId="0" fontId="24" fillId="59" borderId="112" applyNumberFormat="0" applyFont="0" applyAlignment="0" applyProtection="0">
      <protection locked="0"/>
    </xf>
    <xf numFmtId="0" fontId="102" fillId="79" borderId="108" applyNumberFormat="0" applyAlignment="0" applyProtection="0"/>
    <xf numFmtId="4" fontId="47" fillId="42" borderId="106" applyNumberFormat="0" applyProtection="0">
      <alignment horizontal="right" vertical="center"/>
    </xf>
    <xf numFmtId="0" fontId="18" fillId="51" borderId="106" applyNumberFormat="0" applyProtection="0">
      <alignment horizontal="left" vertical="top" indent="1"/>
    </xf>
    <xf numFmtId="4" fontId="25" fillId="49" borderId="106" applyNumberFormat="0" applyProtection="0">
      <alignment horizontal="right" vertical="center"/>
    </xf>
    <xf numFmtId="0" fontId="114" fillId="79" borderId="110" applyNumberFormat="0" applyAlignment="0" applyProtection="0"/>
    <xf numFmtId="9" fontId="18" fillId="0" borderId="0" applyFont="0" applyFill="0" applyBorder="0" applyAlignment="0" applyProtection="0"/>
    <xf numFmtId="44" fontId="18" fillId="0" borderId="0" applyFont="0" applyFill="0" applyBorder="0" applyProtection="0">
      <alignment horizontal="right"/>
    </xf>
    <xf numFmtId="43" fontId="18" fillId="0" borderId="0" applyFont="0" applyFill="0" applyBorder="0" applyAlignment="0" applyProtection="0"/>
    <xf numFmtId="0" fontId="47" fillId="35" borderId="106" applyNumberFormat="0" applyProtection="0">
      <alignment horizontal="left" vertical="top" indent="1"/>
    </xf>
    <xf numFmtId="0" fontId="18" fillId="34" borderId="106" applyNumberFormat="0" applyProtection="0">
      <alignment horizontal="left" vertical="center" indent="1"/>
    </xf>
    <xf numFmtId="0" fontId="102" fillId="79" borderId="108" applyNumberFormat="0" applyAlignment="0" applyProtection="0"/>
    <xf numFmtId="4" fontId="47" fillId="43" borderId="106" applyNumberFormat="0" applyProtection="0">
      <alignment horizontal="right" vertical="center"/>
    </xf>
    <xf numFmtId="0" fontId="18" fillId="54" borderId="106" applyNumberFormat="0" applyProtection="0">
      <alignment horizontal="left" vertical="center" indent="1"/>
    </xf>
    <xf numFmtId="0" fontId="114" fillId="79" borderId="110" applyNumberFormat="0" applyAlignment="0" applyProtection="0"/>
    <xf numFmtId="4" fontId="25" fillId="49" borderId="106" applyNumberFormat="0" applyProtection="0">
      <alignment horizontal="right" vertical="center"/>
    </xf>
    <xf numFmtId="0" fontId="18" fillId="51" borderId="106" applyNumberFormat="0" applyProtection="0">
      <alignment horizontal="left" vertical="top" indent="1"/>
    </xf>
    <xf numFmtId="4" fontId="47" fillId="39" borderId="106" applyNumberFormat="0" applyProtection="0">
      <alignment horizontal="right" vertical="center"/>
    </xf>
    <xf numFmtId="0" fontId="18" fillId="76" borderId="109" applyNumberFormat="0" applyFont="0" applyAlignment="0" applyProtection="0"/>
    <xf numFmtId="0" fontId="105" fillId="0" borderId="111" applyNumberFormat="0" applyFill="0" applyAlignment="0" applyProtection="0"/>
    <xf numFmtId="0" fontId="27" fillId="38" borderId="106" applyNumberFormat="0" applyProtection="0">
      <alignment horizontal="left" vertical="top" indent="1"/>
    </xf>
    <xf numFmtId="0" fontId="18" fillId="51" borderId="106" applyNumberFormat="0" applyProtection="0">
      <alignment horizontal="left" vertical="center" indent="1"/>
    </xf>
    <xf numFmtId="4" fontId="47" fillId="0" borderId="106" applyNumberFormat="0" applyProtection="0">
      <alignment horizontal="right" vertical="center"/>
    </xf>
    <xf numFmtId="0" fontId="105" fillId="0" borderId="111" applyNumberFormat="0" applyFill="0" applyAlignment="0" applyProtection="0"/>
    <xf numFmtId="0" fontId="18" fillId="76" borderId="109" applyNumberFormat="0" applyFont="0" applyAlignment="0" applyProtection="0"/>
    <xf numFmtId="0" fontId="21" fillId="35" borderId="85" applyNumberFormat="0" applyFont="0" applyAlignment="0" applyProtection="0">
      <alignment horizontal="center"/>
      <protection locked="0"/>
    </xf>
    <xf numFmtId="0" fontId="18" fillId="49" borderId="106" applyNumberFormat="0" applyProtection="0">
      <alignment horizontal="left" vertical="center" indent="1"/>
    </xf>
    <xf numFmtId="4" fontId="47" fillId="51" borderId="106" applyNumberFormat="0" applyProtection="0">
      <alignment horizontal="right" vertical="center"/>
    </xf>
    <xf numFmtId="0" fontId="114" fillId="79" borderId="110" applyNumberFormat="0" applyAlignment="0" applyProtection="0"/>
    <xf numFmtId="0" fontId="114" fillId="79" borderId="110" applyNumberFormat="0" applyAlignment="0" applyProtection="0"/>
    <xf numFmtId="0" fontId="18" fillId="49" borderId="106" applyNumberFormat="0" applyProtection="0">
      <alignment horizontal="left" vertical="center" indent="1"/>
    </xf>
    <xf numFmtId="0" fontId="105" fillId="0" borderId="111" applyNumberFormat="0" applyFill="0" applyAlignment="0" applyProtection="0"/>
    <xf numFmtId="0" fontId="18" fillId="85" borderId="106" applyNumberFormat="0" applyProtection="0">
      <alignment horizontal="left" vertical="center" indent="1"/>
    </xf>
    <xf numFmtId="4" fontId="47" fillId="41" borderId="106" applyNumberFormat="0" applyProtection="0">
      <alignment horizontal="right" vertical="center"/>
    </xf>
    <xf numFmtId="0" fontId="18" fillId="76" borderId="109" applyNumberFormat="0" applyFont="0" applyAlignment="0" applyProtection="0"/>
    <xf numFmtId="4" fontId="46" fillId="38" borderId="106" applyNumberFormat="0" applyProtection="0">
      <alignment vertical="center"/>
    </xf>
    <xf numFmtId="0" fontId="18" fillId="84" borderId="106" applyNumberFormat="0" applyProtection="0">
      <alignment horizontal="left" vertical="top" indent="1"/>
    </xf>
    <xf numFmtId="4" fontId="47" fillId="35" borderId="106" applyNumberFormat="0" applyProtection="0">
      <alignment horizontal="left" vertical="center" indent="1"/>
    </xf>
    <xf numFmtId="0" fontId="105" fillId="0" borderId="111" applyNumberFormat="0" applyFill="0" applyAlignment="0" applyProtection="0"/>
    <xf numFmtId="0" fontId="18" fillId="76" borderId="109" applyNumberFormat="0" applyFont="0" applyAlignment="0" applyProtection="0"/>
    <xf numFmtId="0" fontId="18" fillId="49" borderId="106" applyNumberFormat="0" applyProtection="0">
      <alignment horizontal="left" vertical="top" indent="1"/>
    </xf>
    <xf numFmtId="0" fontId="18" fillId="84" borderId="106" applyNumberFormat="0" applyProtection="0">
      <alignment horizontal="left" vertical="center"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51" borderId="106" applyNumberFormat="0" applyProtection="0">
      <alignment horizontal="right" vertical="center"/>
    </xf>
    <xf numFmtId="0" fontId="18" fillId="85" borderId="106" applyNumberFormat="0" applyProtection="0">
      <alignment horizontal="left" vertical="top" indent="1"/>
    </xf>
    <xf numFmtId="0" fontId="105" fillId="0" borderId="111" applyNumberFormat="0" applyFill="0" applyAlignment="0" applyProtection="0"/>
    <xf numFmtId="0" fontId="24" fillId="59" borderId="112" applyNumberFormat="0" applyFont="0" applyAlignment="0" applyProtection="0">
      <protection locked="0"/>
    </xf>
    <xf numFmtId="4" fontId="47" fillId="43" borderId="106" applyNumberFormat="0" applyProtection="0">
      <alignment horizontal="right" vertical="center"/>
    </xf>
    <xf numFmtId="0" fontId="18" fillId="54" borderId="106" applyNumberFormat="0" applyProtection="0">
      <alignment horizontal="left" vertical="top" indent="1"/>
    </xf>
    <xf numFmtId="0" fontId="18" fillId="76" borderId="109" applyNumberFormat="0" applyFont="0" applyAlignment="0" applyProtection="0"/>
    <xf numFmtId="0" fontId="105" fillId="0" borderId="111" applyNumberFormat="0" applyFill="0" applyAlignment="0" applyProtection="0"/>
    <xf numFmtId="0" fontId="18" fillId="50" borderId="106" applyNumberFormat="0" applyProtection="0">
      <alignment horizontal="left" vertical="top" indent="1"/>
    </xf>
    <xf numFmtId="4" fontId="47" fillId="35" borderId="106" applyNumberFormat="0" applyProtection="0">
      <alignment vertical="center"/>
    </xf>
    <xf numFmtId="0" fontId="105" fillId="0" borderId="111" applyNumberFormat="0" applyFill="0" applyAlignment="0" applyProtection="0"/>
    <xf numFmtId="0" fontId="18" fillId="76" borderId="109" applyNumberFormat="0" applyFont="0" applyAlignment="0" applyProtection="0"/>
    <xf numFmtId="4" fontId="47" fillId="35" borderId="106" applyNumberFormat="0" applyProtection="0">
      <alignment vertical="center"/>
    </xf>
    <xf numFmtId="0" fontId="18" fillId="50" borderId="106" applyNumberFormat="0" applyProtection="0">
      <alignment horizontal="left" vertical="top"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6" borderId="106" applyNumberFormat="0" applyProtection="0">
      <alignment horizontal="right" vertical="center"/>
    </xf>
    <xf numFmtId="0" fontId="18" fillId="54" borderId="106" applyNumberFormat="0" applyProtection="0">
      <alignment horizontal="left" vertical="top" indent="1"/>
    </xf>
    <xf numFmtId="0" fontId="105" fillId="0" borderId="111" applyNumberFormat="0" applyFill="0" applyAlignment="0" applyProtection="0"/>
    <xf numFmtId="0" fontId="63" fillId="59" borderId="112" applyNumberFormat="0" applyFont="0" applyFill="0" applyAlignment="0" applyProtection="0">
      <protection locked="0"/>
    </xf>
    <xf numFmtId="0" fontId="105" fillId="0" borderId="111" applyNumberFormat="0" applyFill="0" applyAlignment="0" applyProtection="0"/>
    <xf numFmtId="0" fontId="18" fillId="85" borderId="106" applyNumberFormat="0" applyProtection="0">
      <alignment horizontal="left" vertical="top" indent="1"/>
    </xf>
    <xf numFmtId="4" fontId="47" fillId="45" borderId="106" applyNumberFormat="0" applyProtection="0">
      <alignment horizontal="right" vertical="center"/>
    </xf>
    <xf numFmtId="0" fontId="110" fillId="77" borderId="108" applyNumberFormat="0" applyAlignment="0" applyProtection="0"/>
    <xf numFmtId="0" fontId="18" fillId="84" borderId="106" applyNumberFormat="0" applyProtection="0">
      <alignment horizontal="left" vertical="center" indent="1"/>
    </xf>
    <xf numFmtId="0" fontId="18" fillId="49" borderId="106" applyNumberFormat="0" applyProtection="0">
      <alignment horizontal="left" vertical="top" indent="1"/>
    </xf>
    <xf numFmtId="4" fontId="47" fillId="35" borderId="106" applyNumberFormat="0" applyProtection="0">
      <alignment horizontal="left" vertical="center" indent="1"/>
    </xf>
    <xf numFmtId="0" fontId="18" fillId="84" borderId="106" applyNumberFormat="0" applyProtection="0">
      <alignment horizontal="left" vertical="top" indent="1"/>
    </xf>
    <xf numFmtId="0" fontId="102" fillId="79" borderId="108" applyNumberFormat="0" applyAlignment="0" applyProtection="0"/>
    <xf numFmtId="4" fontId="47" fillId="44" borderId="106" applyNumberFormat="0" applyProtection="0">
      <alignment horizontal="right" vertical="center"/>
    </xf>
    <xf numFmtId="0" fontId="18" fillId="85" borderId="106" applyNumberFormat="0" applyProtection="0">
      <alignment horizontal="left" vertical="center" indent="1"/>
    </xf>
    <xf numFmtId="0" fontId="114" fillId="79" borderId="110" applyNumberFormat="0" applyAlignment="0" applyProtection="0"/>
    <xf numFmtId="4" fontId="51" fillId="49" borderId="106" applyNumberFormat="0" applyProtection="0">
      <alignment horizontal="right" vertical="center"/>
    </xf>
    <xf numFmtId="0" fontId="18" fillId="51" borderId="106" applyNumberFormat="0" applyProtection="0">
      <alignment horizontal="left" vertical="center" indent="1"/>
    </xf>
    <xf numFmtId="4" fontId="46" fillId="38" borderId="106" applyNumberFormat="0" applyProtection="0">
      <alignment vertical="center"/>
    </xf>
    <xf numFmtId="0" fontId="110" fillId="77" borderId="108" applyNumberFormat="0" applyAlignment="0" applyProtection="0"/>
    <xf numFmtId="0" fontId="102" fillId="79" borderId="108" applyNumberFormat="0" applyAlignment="0" applyProtection="0"/>
    <xf numFmtId="4" fontId="47" fillId="41" borderId="106" applyNumberFormat="0" applyProtection="0">
      <alignment horizontal="right" vertical="center"/>
    </xf>
    <xf numFmtId="0" fontId="18" fillId="51" borderId="106" applyNumberFormat="0" applyProtection="0">
      <alignment horizontal="left" vertical="top" indent="1"/>
    </xf>
    <xf numFmtId="0" fontId="47" fillId="34" borderId="106" applyNumberFormat="0" applyProtection="0">
      <alignment horizontal="left" vertical="top"/>
    </xf>
    <xf numFmtId="0" fontId="114" fillId="79" borderId="110" applyNumberFormat="0" applyAlignment="0" applyProtection="0"/>
    <xf numFmtId="0" fontId="26" fillId="0" borderId="113">
      <alignment horizontal="left" vertical="center"/>
    </xf>
    <xf numFmtId="4" fontId="27" fillId="34" borderId="114" applyNumberFormat="0" applyProtection="0">
      <alignment vertical="center"/>
    </xf>
    <xf numFmtId="0" fontId="26" fillId="0" borderId="113">
      <alignment horizontal="left" vertical="center"/>
    </xf>
    <xf numFmtId="4" fontId="27" fillId="34" borderId="114" applyNumberFormat="0" applyProtection="0">
      <alignment vertical="center"/>
    </xf>
    <xf numFmtId="4" fontId="27" fillId="34" borderId="114" applyNumberFormat="0" applyProtection="0">
      <alignment vertical="center"/>
    </xf>
    <xf numFmtId="4" fontId="47" fillId="0" borderId="106" applyNumberFormat="0" applyProtection="0">
      <alignment horizontal="left" vertical="center" indent="1"/>
    </xf>
    <xf numFmtId="0" fontId="18" fillId="34" borderId="106" applyNumberFormat="0" applyProtection="0">
      <alignment horizontal="left" vertical="top" indent="1"/>
    </xf>
    <xf numFmtId="4" fontId="27" fillId="38" borderId="106" applyNumberFormat="0" applyProtection="0">
      <alignment horizontal="left" vertical="center" indent="1"/>
    </xf>
    <xf numFmtId="0" fontId="110" fillId="77" borderId="108" applyNumberFormat="0" applyAlignment="0" applyProtection="0"/>
    <xf numFmtId="4" fontId="47" fillId="40" borderId="106" applyNumberFormat="0" applyProtection="0">
      <alignment horizontal="right" vertical="center"/>
    </xf>
    <xf numFmtId="0" fontId="18" fillId="34" borderId="106" applyNumberFormat="0" applyProtection="0">
      <alignment horizontal="left" vertical="top" indent="1"/>
    </xf>
    <xf numFmtId="4" fontId="47" fillId="0" borderId="106" applyNumberFormat="0" applyProtection="0">
      <alignment horizontal="left" vertical="center" indent="1"/>
    </xf>
    <xf numFmtId="0" fontId="114" fillId="79" borderId="110" applyNumberFormat="0" applyAlignment="0" applyProtection="0"/>
    <xf numFmtId="0" fontId="105" fillId="0" borderId="111" applyNumberFormat="0" applyFill="0" applyAlignment="0" applyProtection="0"/>
    <xf numFmtId="0" fontId="18" fillId="55" borderId="106" applyNumberFormat="0" applyProtection="0">
      <alignment horizontal="left" vertical="center" indent="1"/>
    </xf>
    <xf numFmtId="4" fontId="47" fillId="46" borderId="106" applyNumberFormat="0" applyProtection="0">
      <alignment horizontal="right" vertical="center"/>
    </xf>
    <xf numFmtId="0" fontId="110" fillId="77" borderId="108" applyNumberFormat="0" applyAlignment="0" applyProtection="0"/>
    <xf numFmtId="0" fontId="18" fillId="50" borderId="106" applyNumberFormat="0" applyProtection="0">
      <alignment horizontal="left" vertical="center" indent="1"/>
    </xf>
    <xf numFmtId="0" fontId="18" fillId="55" borderId="106" applyNumberFormat="0" applyProtection="0">
      <alignment horizontal="left" vertical="top" indent="1"/>
    </xf>
    <xf numFmtId="0" fontId="47" fillId="34" borderId="106" applyNumberFormat="0" applyProtection="0">
      <alignment horizontal="left" vertical="top"/>
    </xf>
    <xf numFmtId="0" fontId="18" fillId="51" borderId="106" applyNumberFormat="0" applyProtection="0">
      <alignment horizontal="left" vertical="top" indent="1"/>
    </xf>
    <xf numFmtId="0" fontId="27" fillId="38" borderId="106" applyNumberFormat="0" applyProtection="0">
      <alignment horizontal="left" vertical="top" indent="1"/>
    </xf>
    <xf numFmtId="0" fontId="18" fillId="76" borderId="109" applyNumberFormat="0" applyFont="0" applyAlignment="0" applyProtection="0"/>
    <xf numFmtId="0" fontId="110" fillId="77" borderId="108" applyNumberFormat="0" applyAlignment="0" applyProtection="0"/>
    <xf numFmtId="0" fontId="105" fillId="0" borderId="111" applyNumberFormat="0" applyFill="0" applyAlignment="0" applyProtection="0"/>
    <xf numFmtId="4" fontId="47" fillId="39" borderId="106" applyNumberFormat="0" applyProtection="0">
      <alignment horizontal="right" vertical="center"/>
    </xf>
    <xf numFmtId="0" fontId="18" fillId="51" borderId="106" applyNumberFormat="0" applyProtection="0">
      <alignment horizontal="left" vertical="center" indent="1"/>
    </xf>
    <xf numFmtId="4" fontId="51" fillId="49" borderId="106" applyNumberFormat="0" applyProtection="0">
      <alignment horizontal="right" vertical="center"/>
    </xf>
    <xf numFmtId="0" fontId="18" fillId="49" borderId="106" applyNumberFormat="0" applyProtection="0">
      <alignment horizontal="left" vertical="center" indent="1"/>
    </xf>
    <xf numFmtId="4" fontId="47" fillId="47" borderId="106" applyNumberFormat="0" applyProtection="0">
      <alignment horizontal="right" vertical="center"/>
    </xf>
    <xf numFmtId="0" fontId="110" fillId="77" borderId="108" applyNumberFormat="0" applyAlignment="0" applyProtection="0"/>
    <xf numFmtId="0" fontId="18" fillId="49" borderId="106" applyNumberFormat="0" applyProtection="0">
      <alignment horizontal="left" vertical="center" indent="1"/>
    </xf>
    <xf numFmtId="0" fontId="18" fillId="54" borderId="106" applyNumberFormat="0" applyProtection="0">
      <alignment horizontal="left" vertical="center" indent="1"/>
    </xf>
    <xf numFmtId="4" fontId="47" fillId="40" borderId="106" applyNumberFormat="0" applyProtection="0">
      <alignment horizontal="right" vertical="center"/>
    </xf>
    <xf numFmtId="0" fontId="18" fillId="76" borderId="109" applyNumberFormat="0" applyFont="0" applyAlignment="0" applyProtection="0"/>
    <xf numFmtId="4" fontId="27" fillId="38" borderId="106" applyNumberFormat="0" applyProtection="0">
      <alignment horizontal="left" vertical="center" indent="1"/>
    </xf>
    <xf numFmtId="0" fontId="18" fillId="34" borderId="106" applyNumberFormat="0" applyProtection="0">
      <alignment horizontal="left" vertical="center" indent="1"/>
    </xf>
    <xf numFmtId="0" fontId="47" fillId="35" borderId="106" applyNumberFormat="0" applyProtection="0">
      <alignment horizontal="left" vertical="top" indent="1"/>
    </xf>
    <xf numFmtId="0" fontId="105" fillId="0" borderId="111" applyNumberFormat="0" applyFill="0" applyAlignment="0" applyProtection="0"/>
    <xf numFmtId="0" fontId="18" fillId="76" borderId="109" applyNumberFormat="0" applyFont="0" applyAlignment="0" applyProtection="0"/>
    <xf numFmtId="0" fontId="18" fillId="55" borderId="106" applyNumberFormat="0" applyProtection="0">
      <alignment horizontal="left" vertical="top" indent="1"/>
    </xf>
    <xf numFmtId="0" fontId="18" fillId="50" borderId="106" applyNumberFormat="0" applyProtection="0">
      <alignment horizontal="left" vertical="center" indent="1"/>
    </xf>
    <xf numFmtId="0" fontId="114" fillId="79" borderId="110" applyNumberFormat="0" applyAlignment="0" applyProtection="0"/>
    <xf numFmtId="0" fontId="114" fillId="79" borderId="110" applyNumberFormat="0" applyAlignment="0" applyProtection="0"/>
    <xf numFmtId="0" fontId="18" fillId="55" borderId="106" applyNumberFormat="0" applyProtection="0">
      <alignment horizontal="left" vertical="center" indent="1"/>
    </xf>
    <xf numFmtId="4" fontId="47" fillId="42" borderId="106" applyNumberFormat="0" applyProtection="0">
      <alignment horizontal="right" vertical="center"/>
    </xf>
    <xf numFmtId="0" fontId="18" fillId="85" borderId="106" applyNumberFormat="0" applyProtection="0">
      <alignment horizontal="left" vertical="center" indent="1"/>
    </xf>
    <xf numFmtId="0" fontId="18" fillId="76" borderId="109" applyNumberFormat="0" applyFont="0" applyAlignment="0" applyProtection="0"/>
    <xf numFmtId="0" fontId="105" fillId="0" borderId="111" applyNumberFormat="0" applyFill="0" applyAlignment="0" applyProtection="0"/>
    <xf numFmtId="4" fontId="27" fillId="37" borderId="106" applyNumberFormat="0" applyProtection="0">
      <alignment vertical="center"/>
    </xf>
    <xf numFmtId="0" fontId="18" fillId="84" borderId="106" applyNumberFormat="0" applyProtection="0">
      <alignment horizontal="left" vertical="top" indent="1"/>
    </xf>
    <xf numFmtId="4" fontId="51" fillId="35" borderId="106" applyNumberFormat="0" applyProtection="0">
      <alignment vertical="center"/>
    </xf>
    <xf numFmtId="0" fontId="105" fillId="0" borderId="111" applyNumberFormat="0" applyFill="0" applyAlignment="0" applyProtection="0"/>
    <xf numFmtId="0" fontId="18" fillId="76" borderId="109" applyNumberFormat="0" applyFont="0" applyAlignment="0" applyProtection="0"/>
    <xf numFmtId="0" fontId="18" fillId="49" borderId="106" applyNumberFormat="0" applyProtection="0">
      <alignment horizontal="left" vertical="top" indent="1"/>
    </xf>
    <xf numFmtId="0" fontId="18" fillId="84" borderId="106" applyNumberFormat="0" applyProtection="0">
      <alignment horizontal="left" vertical="center"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7" borderId="106" applyNumberFormat="0" applyProtection="0">
      <alignment horizontal="right" vertical="center"/>
    </xf>
    <xf numFmtId="0" fontId="18" fillId="85" borderId="106" applyNumberFormat="0" applyProtection="0">
      <alignment horizontal="left" vertical="top" indent="1"/>
    </xf>
    <xf numFmtId="0" fontId="105" fillId="0" borderId="111" applyNumberFormat="0" applyFill="0" applyAlignment="0" applyProtection="0"/>
    <xf numFmtId="0" fontId="105" fillId="0" borderId="111" applyNumberFormat="0" applyFill="0" applyAlignment="0" applyProtection="0"/>
    <xf numFmtId="0" fontId="18" fillId="85" borderId="106" applyNumberFormat="0" applyProtection="0">
      <alignment horizontal="left" vertical="top" indent="1"/>
    </xf>
    <xf numFmtId="4" fontId="47" fillId="44" borderId="106" applyNumberFormat="0" applyProtection="0">
      <alignment horizontal="right" vertical="center"/>
    </xf>
    <xf numFmtId="0" fontId="110" fillId="77" borderId="108" applyNumberFormat="0" applyAlignment="0" applyProtection="0"/>
    <xf numFmtId="0" fontId="63" fillId="59" borderId="112" applyNumberFormat="0" applyFont="0" applyFill="0" applyAlignment="0" applyProtection="0">
      <protection locked="0"/>
    </xf>
    <xf numFmtId="0" fontId="18" fillId="84" borderId="106" applyNumberFormat="0" applyProtection="0">
      <alignment horizontal="left" vertical="center" indent="1"/>
    </xf>
    <xf numFmtId="0" fontId="18" fillId="49" borderId="106" applyNumberFormat="0" applyProtection="0">
      <alignment horizontal="left" vertical="top" indent="1"/>
    </xf>
    <xf numFmtId="0" fontId="105" fillId="0" borderId="111" applyNumberFormat="0" applyFill="0" applyAlignment="0" applyProtection="0"/>
    <xf numFmtId="0" fontId="18" fillId="76" borderId="109" applyNumberFormat="0" applyFont="0" applyAlignment="0" applyProtection="0"/>
    <xf numFmtId="4" fontId="51" fillId="35" borderId="106" applyNumberFormat="0" applyProtection="0">
      <alignment vertical="center"/>
    </xf>
    <xf numFmtId="0" fontId="18" fillId="84" borderId="106" applyNumberFormat="0" applyProtection="0">
      <alignment horizontal="left" vertical="top" indent="1"/>
    </xf>
    <xf numFmtId="0" fontId="114" fillId="79" borderId="110" applyNumberFormat="0" applyAlignment="0" applyProtection="0"/>
    <xf numFmtId="0" fontId="102" fillId="79" borderId="108" applyNumberFormat="0" applyAlignment="0" applyProtection="0"/>
    <xf numFmtId="0" fontId="114" fillId="79" borderId="110" applyNumberFormat="0" applyAlignment="0" applyProtection="0"/>
    <xf numFmtId="4" fontId="47" fillId="45" borderId="106" applyNumberFormat="0" applyProtection="0">
      <alignment horizontal="right" vertical="center"/>
    </xf>
    <xf numFmtId="0" fontId="18" fillId="85" borderId="106" applyNumberFormat="0" applyProtection="0">
      <alignment horizontal="left" vertical="center" indent="1"/>
    </xf>
    <xf numFmtId="0" fontId="105" fillId="0" borderId="111" applyNumberFormat="0" applyFill="0" applyAlignment="0" applyProtection="0"/>
    <xf numFmtId="0" fontId="114" fillId="79" borderId="110" applyNumberFormat="0" applyAlignment="0" applyProtection="0"/>
    <xf numFmtId="0" fontId="21" fillId="35" borderId="85" applyNumberFormat="0" applyFont="0" applyAlignment="0" applyProtection="0">
      <alignment horizontal="center"/>
      <protection locked="0"/>
    </xf>
    <xf numFmtId="43" fontId="18" fillId="0" borderId="0" applyFont="0" applyFill="0" applyBorder="0" applyAlignment="0" applyProtection="0"/>
    <xf numFmtId="44" fontId="18" fillId="0" borderId="0" applyFont="0" applyFill="0" applyBorder="0" applyProtection="0">
      <alignment horizontal="right"/>
    </xf>
    <xf numFmtId="9" fontId="18" fillId="0" borderId="0" applyFont="0" applyFill="0" applyBorder="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27" fillId="34" borderId="106" applyNumberFormat="0" applyProtection="0"/>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0" fontId="18" fillId="55"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4" fontId="25" fillId="49" borderId="106" applyNumberFormat="0" applyProtection="0">
      <alignment horizontal="right" vertical="center"/>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horizontal="left" vertical="center" indent="1"/>
    </xf>
    <xf numFmtId="4" fontId="27" fillId="38" borderId="106" applyNumberFormat="0" applyProtection="0">
      <alignment vertical="center"/>
    </xf>
    <xf numFmtId="4" fontId="27" fillId="34" borderId="106" applyNumberFormat="0" applyProtection="0"/>
    <xf numFmtId="4" fontId="27" fillId="34" borderId="106" applyNumberFormat="0" applyProtection="0"/>
    <xf numFmtId="4" fontId="27" fillId="34" borderId="106" applyNumberFormat="0" applyProtection="0"/>
    <xf numFmtId="4" fontId="27" fillId="34" borderId="106" applyNumberFormat="0" applyProtection="0"/>
    <xf numFmtId="0" fontId="18" fillId="50" borderId="106" applyNumberFormat="0" applyProtection="0">
      <alignment horizontal="left" vertical="center" indent="1"/>
    </xf>
    <xf numFmtId="0" fontId="18" fillId="50" borderId="106" applyNumberFormat="0" applyProtection="0">
      <alignment horizontal="left" vertical="top" indent="1"/>
    </xf>
    <xf numFmtId="0" fontId="18" fillId="34" borderId="106" applyNumberFormat="0" applyProtection="0">
      <alignment horizontal="left" vertical="center" indent="1"/>
    </xf>
    <xf numFmtId="0" fontId="18" fillId="34" borderId="106" applyNumberFormat="0" applyProtection="0">
      <alignment horizontal="left" vertical="top" indent="1"/>
    </xf>
    <xf numFmtId="0" fontId="18" fillId="54" borderId="106" applyNumberFormat="0" applyProtection="0">
      <alignment horizontal="left" vertical="center" indent="1"/>
    </xf>
    <xf numFmtId="0" fontId="18" fillId="54" borderId="106" applyNumberFormat="0" applyProtection="0">
      <alignment horizontal="left" vertical="top" indent="1"/>
    </xf>
    <xf numFmtId="0" fontId="18" fillId="55" borderId="106" applyNumberFormat="0" applyProtection="0">
      <alignment horizontal="left" vertical="center" indent="1"/>
    </xf>
    <xf numFmtId="0" fontId="18" fillId="55" borderId="106" applyNumberFormat="0" applyProtection="0">
      <alignment horizontal="left" vertical="top" indent="1"/>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right" vertical="center"/>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0" borderId="106" applyNumberFormat="0" applyProtection="0">
      <alignment horizontal="left" vertical="center" indent="1"/>
    </xf>
    <xf numFmtId="4" fontId="47" fillId="59" borderId="106" applyNumberFormat="0" applyProtection="0">
      <alignment horizontal="left" vertical="center" indent="1"/>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left" vertical="top"/>
    </xf>
    <xf numFmtId="0" fontId="47" fillId="34" borderId="106" applyNumberFormat="0" applyProtection="0">
      <alignment horizontal="center" vertical="top"/>
    </xf>
    <xf numFmtId="4" fontId="47" fillId="51" borderId="106" applyNumberFormat="0" applyProtection="0">
      <alignment horizontal="left" vertical="center" indent="1"/>
    </xf>
    <xf numFmtId="4" fontId="27" fillId="38" borderId="106" applyNumberFormat="0" applyProtection="0">
      <alignment horizontal="left" vertical="center" indent="1"/>
    </xf>
    <xf numFmtId="4" fontId="47" fillId="0"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top" indent="1"/>
    </xf>
    <xf numFmtId="0" fontId="18" fillId="49" borderId="106" applyNumberFormat="0" applyProtection="0">
      <alignment horizontal="left" vertical="top" indent="1"/>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24" fillId="59" borderId="112" applyNumberFormat="0" applyFont="0" applyAlignment="0" applyProtection="0">
      <protection locked="0"/>
    </xf>
    <xf numFmtId="0" fontId="63" fillId="59" borderId="112" applyNumberFormat="0" applyFont="0" applyFill="0" applyAlignment="0" applyProtection="0">
      <protection locked="0"/>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4" fontId="25" fillId="49" borderId="106" applyNumberFormat="0" applyProtection="0">
      <alignment horizontal="right" vertical="center"/>
    </xf>
    <xf numFmtId="0" fontId="47" fillId="34" borderId="106" applyNumberFormat="0" applyProtection="0">
      <alignment horizontal="left" vertical="top"/>
    </xf>
    <xf numFmtId="4" fontId="47" fillId="0" borderId="106" applyNumberFormat="0" applyProtection="0">
      <alignment horizontal="left" vertical="center" indent="1"/>
    </xf>
    <xf numFmtId="4" fontId="51" fillId="49" borderId="106" applyNumberFormat="0" applyProtection="0">
      <alignment horizontal="right" vertical="center"/>
    </xf>
    <xf numFmtId="4" fontId="47" fillId="0" borderId="106" applyNumberFormat="0" applyProtection="0">
      <alignment horizontal="right" vertical="center"/>
    </xf>
    <xf numFmtId="0" fontId="47" fillId="35" borderId="106" applyNumberFormat="0" applyProtection="0">
      <alignment horizontal="left" vertical="top" indent="1"/>
    </xf>
    <xf numFmtId="4" fontId="47" fillId="35" borderId="106" applyNumberFormat="0" applyProtection="0">
      <alignment horizontal="left" vertical="center" indent="1"/>
    </xf>
    <xf numFmtId="4" fontId="51" fillId="35" borderId="106" applyNumberFormat="0" applyProtection="0">
      <alignment vertical="center"/>
    </xf>
    <xf numFmtId="4" fontId="47" fillId="35" borderId="106" applyNumberFormat="0" applyProtection="0">
      <alignment vertical="center"/>
    </xf>
    <xf numFmtId="0" fontId="18" fillId="49" borderId="106" applyNumberFormat="0" applyProtection="0">
      <alignment horizontal="left" vertical="top" indent="1"/>
    </xf>
    <xf numFmtId="0" fontId="18" fillId="49" borderId="106" applyNumberFormat="0" applyProtection="0">
      <alignment horizontal="left" vertical="top" indent="1"/>
    </xf>
    <xf numFmtId="0" fontId="18" fillId="55" borderId="106" applyNumberFormat="0" applyProtection="0">
      <alignment horizontal="left" vertical="top"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center"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4" borderId="106" applyNumberFormat="0" applyProtection="0">
      <alignment horizontal="left" vertical="top"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center"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34" borderId="106" applyNumberFormat="0" applyProtection="0">
      <alignment horizontal="left" vertical="top"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center"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50" borderId="106" applyNumberFormat="0" applyProtection="0">
      <alignment horizontal="left" vertical="top"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center" indent="1"/>
    </xf>
    <xf numFmtId="4" fontId="47" fillId="51" borderId="106" applyNumberFormat="0" applyProtection="0">
      <alignment horizontal="right" vertical="center"/>
    </xf>
    <xf numFmtId="4" fontId="47" fillId="47" borderId="106" applyNumberFormat="0" applyProtection="0">
      <alignment horizontal="right" vertical="center"/>
    </xf>
    <xf numFmtId="4" fontId="47" fillId="46" borderId="106" applyNumberFormat="0" applyProtection="0">
      <alignment horizontal="right" vertical="center"/>
    </xf>
    <xf numFmtId="4" fontId="47" fillId="45" borderId="106" applyNumberFormat="0" applyProtection="0">
      <alignment horizontal="right" vertical="center"/>
    </xf>
    <xf numFmtId="4" fontId="47" fillId="44" borderId="106" applyNumberFormat="0" applyProtection="0">
      <alignment horizontal="right" vertical="center"/>
    </xf>
    <xf numFmtId="4" fontId="47" fillId="43" borderId="106" applyNumberFormat="0" applyProtection="0">
      <alignment horizontal="right" vertical="center"/>
    </xf>
    <xf numFmtId="4" fontId="47" fillId="42" borderId="106" applyNumberFormat="0" applyProtection="0">
      <alignment horizontal="right" vertical="center"/>
    </xf>
    <xf numFmtId="4" fontId="47" fillId="41" borderId="106" applyNumberFormat="0" applyProtection="0">
      <alignment horizontal="right" vertical="center"/>
    </xf>
    <xf numFmtId="4" fontId="47" fillId="40" borderId="106" applyNumberFormat="0" applyProtection="0">
      <alignment horizontal="right" vertical="center"/>
    </xf>
    <xf numFmtId="4" fontId="47" fillId="39" borderId="106" applyNumberFormat="0" applyProtection="0">
      <alignment horizontal="right" vertical="center"/>
    </xf>
    <xf numFmtId="0" fontId="27" fillId="38" borderId="106" applyNumberFormat="0" applyProtection="0">
      <alignment horizontal="left" vertical="top" indent="1"/>
    </xf>
    <xf numFmtId="4" fontId="27" fillId="38" borderId="106" applyNumberFormat="0" applyProtection="0">
      <alignment horizontal="left" vertical="center" indent="1"/>
    </xf>
    <xf numFmtId="4" fontId="46" fillId="38" borderId="106" applyNumberFormat="0" applyProtection="0">
      <alignment vertical="center"/>
    </xf>
    <xf numFmtId="4" fontId="27" fillId="37" borderId="106" applyNumberFormat="0" applyProtection="0">
      <alignment vertical="center"/>
    </xf>
    <xf numFmtId="0" fontId="63" fillId="59" borderId="112" applyNumberFormat="0" applyFont="0" applyFill="0" applyAlignment="0" applyProtection="0">
      <protection locked="0"/>
    </xf>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24" fillId="59" borderId="112" applyNumberFormat="0" applyFont="0" applyAlignment="0" applyProtection="0">
      <protection locked="0"/>
    </xf>
    <xf numFmtId="0" fontId="105" fillId="0" borderId="111" applyNumberFormat="0" applyFill="0" applyAlignment="0" applyProtection="0"/>
    <xf numFmtId="0" fontId="105" fillId="0" borderId="111" applyNumberFormat="0" applyFill="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02" fillId="79"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10" fillId="77" borderId="108" applyNumberForma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8" fillId="76" borderId="109" applyNumberFormat="0" applyFon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0" fontId="114" fillId="79" borderId="110" applyNumberFormat="0" applyAlignment="0" applyProtection="0"/>
    <xf numFmtId="4" fontId="27" fillId="37" borderId="106" applyNumberFormat="0" applyProtection="0">
      <alignment vertical="center"/>
    </xf>
    <xf numFmtId="4" fontId="46" fillId="38" borderId="106" applyNumberFormat="0" applyProtection="0">
      <alignment vertical="center"/>
    </xf>
    <xf numFmtId="4" fontId="27" fillId="38" borderId="106" applyNumberFormat="0" applyProtection="0">
      <alignment horizontal="left" vertical="center" indent="1"/>
    </xf>
    <xf numFmtId="0" fontId="27" fillId="38" borderId="106" applyNumberFormat="0" applyProtection="0">
      <alignment horizontal="left" vertical="top" indent="1"/>
    </xf>
    <xf numFmtId="4" fontId="47" fillId="39" borderId="106" applyNumberFormat="0" applyProtection="0">
      <alignment horizontal="right" vertical="center"/>
    </xf>
    <xf numFmtId="4" fontId="47" fillId="40" borderId="106" applyNumberFormat="0" applyProtection="0">
      <alignment horizontal="right" vertical="center"/>
    </xf>
    <xf numFmtId="4" fontId="47" fillId="41" borderId="106" applyNumberFormat="0" applyProtection="0">
      <alignment horizontal="right" vertical="center"/>
    </xf>
    <xf numFmtId="4" fontId="47" fillId="42" borderId="106" applyNumberFormat="0" applyProtection="0">
      <alignment horizontal="right" vertical="center"/>
    </xf>
    <xf numFmtId="4" fontId="47" fillId="43" borderId="106" applyNumberFormat="0" applyProtection="0">
      <alignment horizontal="right" vertical="center"/>
    </xf>
    <xf numFmtId="4" fontId="47" fillId="44" borderId="106" applyNumberFormat="0" applyProtection="0">
      <alignment horizontal="right" vertical="center"/>
    </xf>
    <xf numFmtId="4" fontId="47" fillId="45" borderId="106" applyNumberFormat="0" applyProtection="0">
      <alignment horizontal="right" vertical="center"/>
    </xf>
    <xf numFmtId="4" fontId="47" fillId="46" borderId="106" applyNumberFormat="0" applyProtection="0">
      <alignment horizontal="right" vertical="center"/>
    </xf>
    <xf numFmtId="4" fontId="47" fillId="47" borderId="106" applyNumberFormat="0" applyProtection="0">
      <alignment horizontal="right" vertical="center"/>
    </xf>
    <xf numFmtId="4" fontId="47" fillId="51" borderId="106" applyNumberFormat="0" applyProtection="0">
      <alignment horizontal="right" vertical="center"/>
    </xf>
    <xf numFmtId="0" fontId="18" fillId="50" borderId="106" applyNumberFormat="0" applyProtection="0">
      <alignment horizontal="left" vertical="center" indent="1"/>
    </xf>
    <xf numFmtId="0" fontId="18" fillId="84" borderId="106" applyNumberFormat="0" applyProtection="0">
      <alignment horizontal="left" vertical="center" indent="1"/>
    </xf>
    <xf numFmtId="0" fontId="18" fillId="84" borderId="106" applyNumberFormat="0" applyProtection="0">
      <alignment horizontal="left" vertical="center" indent="1"/>
    </xf>
    <xf numFmtId="0" fontId="18" fillId="50" borderId="106" applyNumberFormat="0" applyProtection="0">
      <alignment horizontal="left" vertical="top" indent="1"/>
    </xf>
    <xf numFmtId="0" fontId="18" fillId="84" borderId="106" applyNumberFormat="0" applyProtection="0">
      <alignment horizontal="left" vertical="top" indent="1"/>
    </xf>
    <xf numFmtId="0" fontId="18" fillId="84" borderId="106" applyNumberFormat="0" applyProtection="0">
      <alignment horizontal="left" vertical="top" indent="1"/>
    </xf>
    <xf numFmtId="0" fontId="18" fillId="34" borderId="106" applyNumberFormat="0" applyProtection="0">
      <alignment horizontal="left" vertical="center" indent="1"/>
    </xf>
    <xf numFmtId="0" fontId="18" fillId="51" borderId="106" applyNumberFormat="0" applyProtection="0">
      <alignment horizontal="left" vertical="center" indent="1"/>
    </xf>
    <xf numFmtId="0" fontId="18" fillId="51" borderId="106" applyNumberFormat="0" applyProtection="0">
      <alignment horizontal="left" vertical="center" indent="1"/>
    </xf>
    <xf numFmtId="0" fontId="18" fillId="34" borderId="106" applyNumberFormat="0" applyProtection="0">
      <alignment horizontal="left" vertical="top" indent="1"/>
    </xf>
    <xf numFmtId="0" fontId="18" fillId="51" borderId="106" applyNumberFormat="0" applyProtection="0">
      <alignment horizontal="left" vertical="top" indent="1"/>
    </xf>
    <xf numFmtId="0" fontId="18" fillId="51" borderId="106" applyNumberFormat="0" applyProtection="0">
      <alignment horizontal="left" vertical="top" indent="1"/>
    </xf>
    <xf numFmtId="0" fontId="18" fillId="54" borderId="106" applyNumberFormat="0" applyProtection="0">
      <alignment horizontal="left" vertical="center" indent="1"/>
    </xf>
    <xf numFmtId="0" fontId="18" fillId="85" borderId="106" applyNumberFormat="0" applyProtection="0">
      <alignment horizontal="left" vertical="center" indent="1"/>
    </xf>
    <xf numFmtId="0" fontId="18" fillId="85" borderId="106" applyNumberFormat="0" applyProtection="0">
      <alignment horizontal="left" vertical="center" indent="1"/>
    </xf>
    <xf numFmtId="0" fontId="18" fillId="54" borderId="106" applyNumberFormat="0" applyProtection="0">
      <alignment horizontal="left" vertical="top" indent="1"/>
    </xf>
    <xf numFmtId="0" fontId="18" fillId="85" borderId="106" applyNumberFormat="0" applyProtection="0">
      <alignment horizontal="left" vertical="top" indent="1"/>
    </xf>
    <xf numFmtId="0" fontId="18" fillId="85" borderId="106" applyNumberFormat="0" applyProtection="0">
      <alignment horizontal="left" vertical="top" indent="1"/>
    </xf>
    <xf numFmtId="0" fontId="18" fillId="55" borderId="106" applyNumberFormat="0" applyProtection="0">
      <alignment horizontal="left" vertical="center" indent="1"/>
    </xf>
    <xf numFmtId="0" fontId="18" fillId="49" borderId="106" applyNumberFormat="0" applyProtection="0">
      <alignment horizontal="left" vertical="center" indent="1"/>
    </xf>
    <xf numFmtId="0" fontId="18" fillId="49" borderId="106" applyNumberFormat="0" applyProtection="0">
      <alignment horizontal="left" vertical="center" indent="1"/>
    </xf>
    <xf numFmtId="0" fontId="18" fillId="55" borderId="106" applyNumberFormat="0" applyProtection="0">
      <alignment horizontal="left" vertical="top" indent="1"/>
    </xf>
    <xf numFmtId="0" fontId="18" fillId="49" borderId="106" applyNumberFormat="0" applyProtection="0">
      <alignment horizontal="left" vertical="top" indent="1"/>
    </xf>
    <xf numFmtId="0" fontId="18" fillId="49" borderId="106" applyNumberFormat="0" applyProtection="0">
      <alignment horizontal="left" vertical="top" indent="1"/>
    </xf>
    <xf numFmtId="4" fontId="47" fillId="35" borderId="106" applyNumberFormat="0" applyProtection="0">
      <alignment vertical="center"/>
    </xf>
    <xf numFmtId="4" fontId="51" fillId="35" borderId="106" applyNumberFormat="0" applyProtection="0">
      <alignment vertical="center"/>
    </xf>
    <xf numFmtId="4" fontId="47" fillId="35" borderId="106" applyNumberFormat="0" applyProtection="0">
      <alignment horizontal="left" vertical="center" indent="1"/>
    </xf>
    <xf numFmtId="0" fontId="47" fillId="35" borderId="106" applyNumberFormat="0" applyProtection="0">
      <alignment horizontal="left" vertical="top" indent="1"/>
    </xf>
    <xf numFmtId="4" fontId="47" fillId="0" borderId="106" applyNumberFormat="0" applyProtection="0">
      <alignment horizontal="right" vertical="center"/>
    </xf>
    <xf numFmtId="4" fontId="51" fillId="49" borderId="106" applyNumberFormat="0" applyProtection="0">
      <alignment horizontal="right" vertical="center"/>
    </xf>
    <xf numFmtId="4" fontId="47" fillId="0" borderId="106" applyNumberFormat="0" applyProtection="0">
      <alignment horizontal="left" vertical="center" indent="1"/>
    </xf>
    <xf numFmtId="0" fontId="47" fillId="34" borderId="106" applyNumberFormat="0" applyProtection="0">
      <alignment horizontal="left" vertical="top"/>
    </xf>
    <xf numFmtId="4" fontId="25" fillId="49" borderId="106" applyNumberFormat="0" applyProtection="0">
      <alignment horizontal="right" vertical="center"/>
    </xf>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0" fontId="105" fillId="0" borderId="111" applyNumberFormat="0" applyFill="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12" fontId="26" fillId="36" borderId="20">
      <alignment horizontal="left"/>
    </xf>
    <xf numFmtId="0" fontId="18" fillId="54" borderId="123" applyNumberFormat="0" applyProtection="0">
      <alignment horizontal="left" vertical="top" indent="1"/>
    </xf>
    <xf numFmtId="0" fontId="18" fillId="55" borderId="123" applyNumberFormat="0" applyProtection="0">
      <alignment horizontal="left" vertical="center" indent="1"/>
    </xf>
    <xf numFmtId="0" fontId="18" fillId="55" borderId="123" applyNumberFormat="0" applyProtection="0">
      <alignment horizontal="left" vertical="top" indent="1"/>
    </xf>
    <xf numFmtId="4" fontId="47" fillId="0" borderId="123" applyNumberFormat="0" applyProtection="0">
      <alignment horizontal="right" vertical="center"/>
    </xf>
    <xf numFmtId="4" fontId="47" fillId="0" borderId="123" applyNumberFormat="0" applyProtection="0">
      <alignment horizontal="right" vertical="center"/>
    </xf>
    <xf numFmtId="4" fontId="47" fillId="0" borderId="123" applyNumberFormat="0" applyProtection="0">
      <alignment horizontal="left" vertical="center" indent="1"/>
    </xf>
    <xf numFmtId="0" fontId="47" fillId="34" borderId="123" applyNumberFormat="0" applyProtection="0">
      <alignment horizontal="left" vertical="top"/>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27" fillId="37"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46" fillId="38" borderId="117" applyNumberFormat="0" applyProtection="0">
      <alignment vertical="center"/>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vertical="center"/>
    </xf>
    <xf numFmtId="4" fontId="27" fillId="38" borderId="117" applyNumberFormat="0" applyProtection="0">
      <alignment vertical="center"/>
    </xf>
    <xf numFmtId="4" fontId="27" fillId="38" borderId="117" applyNumberFormat="0" applyProtection="0">
      <alignment vertical="center"/>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4" fontId="27" fillId="38" borderId="117" applyNumberFormat="0" applyProtection="0">
      <alignment horizontal="left" vertical="center"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0" fontId="27" fillId="38" borderId="117" applyNumberFormat="0" applyProtection="0">
      <alignment horizontal="left" vertical="top" indent="1"/>
    </xf>
    <xf numFmtId="4" fontId="27" fillId="34" borderId="117" applyNumberFormat="0" applyProtection="0"/>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7" applyNumberFormat="0" applyProtection="0"/>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27" fillId="34" borderId="118" applyNumberFormat="0" applyProtection="0">
      <alignmen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39"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0"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1"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2"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3"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4"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5"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6"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47"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4" fontId="47" fillId="51" borderId="117" applyNumberFormat="0" applyProtection="0">
      <alignment horizontal="right" vertical="center"/>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84"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center"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84"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50" borderId="117" applyNumberFormat="0" applyProtection="0">
      <alignment horizontal="left" vertical="top"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51"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center"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51"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34" borderId="117" applyNumberFormat="0" applyProtection="0">
      <alignment horizontal="left" vertical="top"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85"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center"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85"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4" borderId="117" applyNumberFormat="0" applyProtection="0">
      <alignment horizontal="left" vertical="top"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49"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center"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49"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0" fontId="18" fillId="55" borderId="117" applyNumberFormat="0" applyProtection="0">
      <alignment horizontal="left" vertical="top" indent="1"/>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47"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51" fillId="35" borderId="117" applyNumberFormat="0" applyProtection="0">
      <alignment vertical="center"/>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4" fontId="47" fillId="35" borderId="117" applyNumberFormat="0" applyProtection="0">
      <alignment horizontal="left" vertical="center"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0" fontId="47" fillId="35" borderId="117" applyNumberFormat="0" applyProtection="0">
      <alignment horizontal="left" vertical="top" indent="1"/>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47" fillId="0"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51" fillId="49" borderId="117" applyNumberFormat="0" applyProtection="0">
      <alignment horizontal="right" vertical="center"/>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59" borderId="117" applyNumberFormat="0" applyProtection="0">
      <alignment horizontal="left" vertical="center" indent="1"/>
    </xf>
    <xf numFmtId="4" fontId="47" fillId="59" borderId="117" applyNumberFormat="0" applyProtection="0">
      <alignment horizontal="left" vertical="center" indent="1"/>
    </xf>
    <xf numFmtId="4" fontId="47" fillId="59"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0" borderId="117" applyNumberFormat="0" applyProtection="0">
      <alignment horizontal="left" vertical="center" indent="1"/>
    </xf>
    <xf numFmtId="4" fontId="47" fillId="51" borderId="117" applyNumberFormat="0" applyProtection="0">
      <alignment horizontal="left" vertical="center" indent="1"/>
    </xf>
    <xf numFmtId="4" fontId="47" fillId="51" borderId="117" applyNumberFormat="0" applyProtection="0">
      <alignment horizontal="left" vertical="center" indent="1"/>
    </xf>
    <xf numFmtId="4" fontId="47" fillId="51" borderId="117" applyNumberFormat="0" applyProtection="0">
      <alignment horizontal="left" vertical="center" indent="1"/>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center" vertical="top"/>
    </xf>
    <xf numFmtId="0" fontId="47" fillId="34" borderId="117" applyNumberFormat="0" applyProtection="0">
      <alignment horizontal="center" vertical="top"/>
    </xf>
    <xf numFmtId="0" fontId="47" fillId="34" borderId="117" applyNumberFormat="0" applyProtection="0">
      <alignment horizontal="center"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0" fontId="47" fillId="34" borderId="117" applyNumberFormat="0" applyProtection="0">
      <alignment horizontal="left" vertical="top"/>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4" fontId="25" fillId="49" borderId="117" applyNumberFormat="0" applyProtection="0">
      <alignment horizontal="right" vertical="center"/>
    </xf>
    <xf numFmtId="176" fontId="18" fillId="0" borderId="16">
      <alignment horizontal="justify" vertical="top" wrapText="1"/>
    </xf>
    <xf numFmtId="4" fontId="47" fillId="42" borderId="123" applyNumberFormat="0" applyProtection="0">
      <alignment horizontal="right" vertical="center"/>
    </xf>
    <xf numFmtId="4" fontId="47" fillId="43" borderId="123" applyNumberFormat="0" applyProtection="0">
      <alignment horizontal="right" vertical="center"/>
    </xf>
    <xf numFmtId="4" fontId="47" fillId="44" borderId="123" applyNumberFormat="0" applyProtection="0">
      <alignment horizontal="right" vertical="center"/>
    </xf>
    <xf numFmtId="4" fontId="47" fillId="47" borderId="123" applyNumberFormat="0" applyProtection="0">
      <alignment horizontal="right" vertical="center"/>
    </xf>
    <xf numFmtId="4" fontId="27" fillId="38" borderId="123" applyNumberFormat="0" applyProtection="0">
      <alignment horizontal="left" vertical="center" indent="1"/>
    </xf>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8" fillId="54" borderId="123" applyNumberFormat="0" applyProtection="0">
      <alignment horizontal="left" vertical="center" indent="1"/>
    </xf>
    <xf numFmtId="4" fontId="47" fillId="0" borderId="123" applyNumberFormat="0" applyProtection="0">
      <alignment horizontal="right" vertical="center"/>
    </xf>
    <xf numFmtId="4" fontId="47" fillId="0" borderId="123" applyNumberFormat="0" applyProtection="0">
      <alignment horizontal="right" vertical="center"/>
    </xf>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105" fillId="0" borderId="119" applyNumberFormat="0" applyFill="0" applyAlignment="0" applyProtection="0"/>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24" fillId="59" borderId="33" applyNumberFormat="0" applyFont="0" applyAlignment="0" applyProtection="0">
      <protection locked="0"/>
    </xf>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9"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201"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201"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4" fontId="27" fillId="38" borderId="123" applyNumberFormat="0" applyProtection="0">
      <alignment horizontal="left" vertical="center" indent="1"/>
    </xf>
    <xf numFmtId="4" fontId="47" fillId="0" borderId="123" applyNumberFormat="0" applyProtection="0">
      <alignment horizontal="right" vertical="center"/>
    </xf>
    <xf numFmtId="0" fontId="18" fillId="54" borderId="123" applyNumberFormat="0" applyProtection="0">
      <alignment horizontal="left" vertical="center" indent="1"/>
    </xf>
    <xf numFmtId="0" fontId="47" fillId="35" borderId="123" applyNumberFormat="0" applyProtection="0">
      <alignment horizontal="left" vertical="top" indent="1"/>
    </xf>
    <xf numFmtId="4" fontId="47" fillId="51" borderId="123" applyNumberFormat="0" applyProtection="0">
      <alignment horizontal="right" vertical="center"/>
    </xf>
    <xf numFmtId="0" fontId="26" fillId="0" borderId="122">
      <alignment horizontal="left" vertical="center"/>
    </xf>
    <xf numFmtId="0" fontId="110" fillId="77" borderId="120" applyNumberFormat="0" applyAlignment="0" applyProtection="0"/>
    <xf numFmtId="0" fontId="24" fillId="59" borderId="121" applyNumberFormat="0" applyFont="0" applyAlignment="0" applyProtection="0">
      <protection locked="0"/>
    </xf>
    <xf numFmtId="0" fontId="102" fillId="79" borderId="120" applyNumberFormat="0" applyAlignment="0" applyProtection="0"/>
    <xf numFmtId="0" fontId="18" fillId="50" borderId="123" applyNumberFormat="0" applyProtection="0">
      <alignment horizontal="left" vertical="center" indent="1"/>
    </xf>
    <xf numFmtId="0" fontId="102" fillId="79" borderId="120" applyNumberFormat="0" applyAlignment="0" applyProtection="0"/>
    <xf numFmtId="0" fontId="18" fillId="54" borderId="123" applyNumberFormat="0" applyProtection="0">
      <alignment horizontal="left" vertical="center" indent="1"/>
    </xf>
    <xf numFmtId="0" fontId="102" fillId="79" borderId="120" applyNumberFormat="0" applyAlignment="0" applyProtection="0"/>
    <xf numFmtId="0" fontId="24" fillId="59" borderId="121" applyNumberFormat="0" applyFont="0" applyAlignment="0" applyProtection="0">
      <protection locked="0"/>
    </xf>
    <xf numFmtId="0" fontId="47" fillId="34" borderId="123" applyNumberFormat="0" applyProtection="0">
      <alignment horizontal="left" vertical="top"/>
    </xf>
    <xf numFmtId="0" fontId="102" fillId="79" borderId="120" applyNumberFormat="0" applyAlignment="0" applyProtection="0"/>
    <xf numFmtId="0" fontId="63" fillId="59" borderId="121" applyNumberFormat="0" applyFont="0" applyFill="0" applyAlignment="0" applyProtection="0">
      <protection locked="0"/>
    </xf>
    <xf numFmtId="4" fontId="47" fillId="0" borderId="123" applyNumberFormat="0" applyProtection="0">
      <alignment horizontal="right" vertical="center"/>
    </xf>
    <xf numFmtId="0" fontId="110" fillId="77" borderId="120" applyNumberFormat="0" applyAlignment="0" applyProtection="0"/>
    <xf numFmtId="0" fontId="102" fillId="79" borderId="120" applyNumberFormat="0" applyAlignment="0" applyProtection="0"/>
    <xf numFmtId="0" fontId="110" fillId="77" borderId="120" applyNumberFormat="0" applyAlignment="0" applyProtection="0"/>
    <xf numFmtId="0" fontId="102" fillId="79" borderId="120" applyNumberFormat="0" applyAlignment="0" applyProtection="0"/>
    <xf numFmtId="0" fontId="26" fillId="0" borderId="122">
      <alignment horizontal="left" vertical="center"/>
    </xf>
    <xf numFmtId="0" fontId="26" fillId="0" borderId="122">
      <alignment horizontal="left" vertical="center"/>
    </xf>
    <xf numFmtId="0" fontId="110" fillId="77" borderId="120" applyNumberFormat="0" applyAlignment="0" applyProtection="0"/>
    <xf numFmtId="0" fontId="18" fillId="54" borderId="123" applyNumberFormat="0" applyProtection="0">
      <alignment horizontal="left" vertical="center" indent="1"/>
    </xf>
    <xf numFmtId="0" fontId="110" fillId="77" borderId="120" applyNumberFormat="0" applyAlignment="0" applyProtection="0"/>
    <xf numFmtId="0" fontId="110" fillId="77" borderId="120" applyNumberFormat="0" applyAlignment="0" applyProtection="0"/>
    <xf numFmtId="4" fontId="47" fillId="0" borderId="123" applyNumberFormat="0" applyProtection="0">
      <alignment horizontal="left" vertical="center" indent="1"/>
    </xf>
    <xf numFmtId="0" fontId="110" fillId="77" borderId="120" applyNumberFormat="0" applyAlignment="0" applyProtection="0"/>
    <xf numFmtId="0" fontId="102" fillId="79" borderId="120" applyNumberFormat="0" applyAlignment="0" applyProtection="0"/>
    <xf numFmtId="0" fontId="110" fillId="77" borderId="120" applyNumberFormat="0" applyAlignment="0" applyProtection="0"/>
    <xf numFmtId="0" fontId="63" fillId="59" borderId="121" applyNumberFormat="0" applyFont="0" applyFill="0" applyAlignment="0" applyProtection="0">
      <protection locked="0"/>
    </xf>
    <xf numFmtId="0" fontId="18" fillId="54" borderId="123" applyNumberFormat="0" applyProtection="0">
      <alignment horizontal="left" vertical="top" indent="1"/>
    </xf>
    <xf numFmtId="0" fontId="102" fillId="79" borderId="120" applyNumberFormat="0" applyAlignment="0" applyProtection="0"/>
    <xf numFmtId="4" fontId="47" fillId="0" borderId="123" applyNumberFormat="0" applyProtection="0">
      <alignment horizontal="right" vertical="center"/>
    </xf>
    <xf numFmtId="4" fontId="47" fillId="0" borderId="123" applyNumberFormat="0" applyProtection="0">
      <alignment horizontal="left" vertical="center" indent="1"/>
    </xf>
    <xf numFmtId="0" fontId="18" fillId="34" borderId="123" applyNumberFormat="0" applyProtection="0">
      <alignment horizontal="left" vertical="center" indent="1"/>
    </xf>
    <xf numFmtId="0" fontId="47" fillId="34" borderId="123" applyNumberFormat="0" applyProtection="0">
      <alignment horizontal="left" vertical="top"/>
    </xf>
    <xf numFmtId="0" fontId="47" fillId="34" borderId="123" applyNumberFormat="0" applyProtection="0">
      <alignment horizontal="left" vertical="top"/>
    </xf>
    <xf numFmtId="0" fontId="47" fillId="34" borderId="123" applyNumberFormat="0" applyProtection="0">
      <alignment horizontal="left" vertical="top"/>
    </xf>
    <xf numFmtId="4" fontId="47" fillId="0" borderId="123" applyNumberFormat="0" applyProtection="0">
      <alignment horizontal="left" vertical="center"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47" fillId="34" borderId="123" applyNumberFormat="0" applyProtection="0">
      <alignment horizontal="left" vertical="top"/>
    </xf>
    <xf numFmtId="0" fontId="18" fillId="54" borderId="123" applyNumberFormat="0" applyProtection="0">
      <alignment horizontal="left" vertical="top" indent="1"/>
    </xf>
    <xf numFmtId="0" fontId="24" fillId="59" borderId="121" applyNumberFormat="0" applyFont="0" applyAlignment="0" applyProtection="0">
      <protection locked="0"/>
    </xf>
    <xf numFmtId="0" fontId="63" fillId="59" borderId="121" applyNumberFormat="0" applyFont="0" applyFill="0" applyAlignment="0" applyProtection="0">
      <protection locked="0"/>
    </xf>
    <xf numFmtId="0" fontId="18" fillId="0" borderId="0" applyFill="0" applyBorder="0" applyProtection="0">
      <alignment horizontal="right"/>
    </xf>
    <xf numFmtId="0" fontId="63" fillId="59" borderId="121" applyNumberFormat="0" applyFont="0" applyFill="0" applyAlignment="0" applyProtection="0">
      <protection locked="0"/>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24" fillId="59" borderId="121" applyNumberFormat="0" applyFont="0" applyAlignment="0" applyProtection="0">
      <protection locked="0"/>
    </xf>
    <xf numFmtId="4" fontId="51" fillId="49" borderId="123" applyNumberFormat="0" applyProtection="0">
      <alignment horizontal="right" vertical="center"/>
    </xf>
    <xf numFmtId="0" fontId="18" fillId="54" borderId="123" applyNumberFormat="0" applyProtection="0">
      <alignment horizontal="left" vertical="center" indent="1"/>
    </xf>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02" fillId="79"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110" fillId="77" borderId="120" applyNumberFormat="0" applyAlignment="0" applyProtection="0"/>
    <xf numFmtId="0" fontId="47" fillId="35" borderId="123" applyNumberFormat="0" applyProtection="0">
      <alignment horizontal="left" vertical="top" indent="1"/>
    </xf>
    <xf numFmtId="0" fontId="18" fillId="34" borderId="123" applyNumberFormat="0" applyProtection="0">
      <alignment horizontal="left" vertical="top" indent="1"/>
    </xf>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0" fontId="105" fillId="0" borderId="127" applyNumberFormat="0" applyFill="0" applyAlignment="0" applyProtection="0"/>
    <xf numFmtId="49" fontId="1" fillId="0" borderId="0" applyAlignment="0">
      <alignment horizontal="center"/>
    </xf>
    <xf numFmtId="2" fontId="1" fillId="0" borderId="0"/>
    <xf numFmtId="0" fontId="18" fillId="0" borderId="0" applyFill="0" applyBorder="0" applyProtection="0">
      <alignment horizontal="right"/>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63" fillId="59" borderId="148" applyNumberFormat="0" applyFont="0" applyFill="0" applyAlignment="0" applyProtection="0">
      <protection locked="0"/>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76" borderId="151" applyNumberFormat="0" applyFont="0" applyAlignment="0" applyProtection="0"/>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10" fillId="77" borderId="149" applyNumberFormat="0" applyAlignment="0" applyProtection="0"/>
    <xf numFmtId="0" fontId="18" fillId="0" borderId="0" applyFill="0" applyBorder="0" applyProtection="0">
      <alignment horizontal="right"/>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26" fillId="0" borderId="150">
      <alignment horizontal="left" vertical="center"/>
    </xf>
    <xf numFmtId="0" fontId="18" fillId="0" borderId="0" applyFill="0" applyBorder="0" applyProtection="0">
      <alignment horizontal="right"/>
    </xf>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02" fillId="79" borderId="149" applyNumberFormat="0" applyAlignment="0" applyProtection="0"/>
    <xf numFmtId="0" fontId="18" fillId="0" borderId="0" applyFill="0" applyBorder="0" applyProtection="0">
      <alignment horizontal="right"/>
    </xf>
    <xf numFmtId="0" fontId="18" fillId="0" borderId="139" applyNumberFormat="0" applyFill="0" applyAlignment="0" applyProtection="0"/>
    <xf numFmtId="0" fontId="18" fillId="0" borderId="139" applyNumberFormat="0" applyFill="0" applyAlignment="0" applyProtection="0"/>
    <xf numFmtId="0" fontId="18" fillId="0" borderId="0" applyFill="0" applyBorder="0" applyProtection="0">
      <alignment horizontal="right"/>
    </xf>
    <xf numFmtId="0" fontId="18" fillId="0" borderId="0" applyFill="0" applyBorder="0" applyProtection="0">
      <alignment horizontal="right"/>
    </xf>
    <xf numFmtId="0" fontId="26" fillId="0" borderId="129">
      <alignment horizontal="left" vertical="center"/>
    </xf>
    <xf numFmtId="0" fontId="18" fillId="0" borderId="0" applyFill="0" applyBorder="0" applyProtection="0">
      <alignment horizontal="right"/>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21" fillId="35" borderId="140" applyNumberFormat="0" applyFont="0" applyAlignment="0" applyProtection="0">
      <alignment horizontal="center"/>
      <protection locked="0"/>
    </xf>
    <xf numFmtId="0" fontId="18" fillId="0" borderId="0" applyFill="0" applyBorder="0" applyProtection="0">
      <alignment horizontal="right"/>
    </xf>
    <xf numFmtId="37" fontId="30" fillId="0" borderId="0"/>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63" fillId="59" borderId="33" applyNumberFormat="0" applyFont="0" applyFill="0" applyAlignment="0" applyProtection="0">
      <protection locked="0"/>
    </xf>
    <xf numFmtId="0" fontId="18" fillId="0" borderId="0" applyFill="0" applyBorder="0" applyProtection="0">
      <alignment horizontal="right"/>
    </xf>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0" fontId="114" fillId="79" borderId="141" applyNumberFormat="0" applyAlignment="0" applyProtection="0"/>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27" fillId="37"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46" fillId="38" borderId="142" applyNumberFormat="0" applyProtection="0">
      <alignment vertical="center"/>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vertical="center"/>
    </xf>
    <xf numFmtId="4" fontId="27" fillId="38" borderId="142" applyNumberFormat="0" applyProtection="0">
      <alignment vertical="center"/>
    </xf>
    <xf numFmtId="4" fontId="27" fillId="38" borderId="142" applyNumberFormat="0" applyProtection="0">
      <alignment vertical="center"/>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4" fontId="27" fillId="38" borderId="142" applyNumberFormat="0" applyProtection="0">
      <alignment horizontal="left" vertical="center"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0" fontId="27" fillId="38" borderId="142" applyNumberFormat="0" applyProtection="0">
      <alignment horizontal="left" vertical="top" indent="1"/>
    </xf>
    <xf numFmtId="4" fontId="27" fillId="34" borderId="142" applyNumberFormat="0" applyProtection="0"/>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2" applyNumberFormat="0" applyProtection="0"/>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27" fillId="34" borderId="143" applyNumberFormat="0" applyProtection="0">
      <alignmen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39"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0"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1"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2"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3"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4"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5"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6"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47"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4" fontId="47" fillId="51" borderId="142" applyNumberFormat="0" applyProtection="0">
      <alignment horizontal="right" vertical="center"/>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84"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50" borderId="142" applyNumberFormat="0" applyProtection="0">
      <alignment horizontal="left" vertical="top"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51"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center"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34" borderId="142" applyNumberFormat="0" applyProtection="0">
      <alignment horizontal="left" vertical="top"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center"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85"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4" borderId="142" applyNumberFormat="0" applyProtection="0">
      <alignment horizontal="left" vertical="top"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49"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center"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49"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0" fontId="18" fillId="55" borderId="142" applyNumberFormat="0" applyProtection="0">
      <alignment horizontal="left" vertical="top" indent="1"/>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47"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51" fillId="35" borderId="142" applyNumberFormat="0" applyProtection="0">
      <alignment vertical="center"/>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4" fontId="47" fillId="35" borderId="142" applyNumberFormat="0" applyProtection="0">
      <alignment horizontal="left" vertical="center"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0" fontId="47" fillId="35" borderId="142" applyNumberFormat="0" applyProtection="0">
      <alignment horizontal="left" vertical="top" indent="1"/>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59" borderId="144"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51" fillId="49" borderId="142" applyNumberFormat="0" applyProtection="0">
      <alignment horizontal="right" vertical="center"/>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59" borderId="142" applyNumberFormat="0" applyProtection="0">
      <alignment horizontal="left" vertical="center" indent="1"/>
    </xf>
    <xf numFmtId="4" fontId="47" fillId="59" borderId="142" applyNumberFormat="0" applyProtection="0">
      <alignment horizontal="left" vertical="center" indent="1"/>
    </xf>
    <xf numFmtId="4" fontId="47" fillId="59"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0" borderId="142" applyNumberFormat="0" applyProtection="0">
      <alignment horizontal="left" vertical="center" indent="1"/>
    </xf>
    <xf numFmtId="4" fontId="47" fillId="51" borderId="142" applyNumberFormat="0" applyProtection="0">
      <alignment horizontal="left" vertical="center" indent="1"/>
    </xf>
    <xf numFmtId="4" fontId="47" fillId="51" borderId="142" applyNumberFormat="0" applyProtection="0">
      <alignment horizontal="left" vertical="center" indent="1"/>
    </xf>
    <xf numFmtId="4" fontId="47" fillId="51" borderId="142" applyNumberFormat="0" applyProtection="0">
      <alignment horizontal="left" vertical="center" indent="1"/>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center" vertical="top"/>
    </xf>
    <xf numFmtId="0" fontId="47" fillId="34" borderId="142" applyNumberFormat="0" applyProtection="0">
      <alignment horizontal="center" vertical="top"/>
    </xf>
    <xf numFmtId="0" fontId="47" fillId="34" borderId="142" applyNumberFormat="0" applyProtection="0">
      <alignment horizontal="center"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4" fontId="25" fillId="49" borderId="142" applyNumberFormat="0" applyProtection="0">
      <alignment horizontal="right" vertical="center"/>
    </xf>
    <xf numFmtId="176" fontId="18" fillId="0" borderId="145">
      <alignment horizontal="justify" vertical="top" wrapText="1"/>
    </xf>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35" fillId="0" borderId="147"/>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18" fillId="0" borderId="0" applyFill="0" applyBorder="0" applyProtection="0">
      <alignment horizontal="right"/>
    </xf>
    <xf numFmtId="0" fontId="47" fillId="0" borderId="0">
      <alignment vertical="top"/>
    </xf>
    <xf numFmtId="0" fontId="141" fillId="0" borderId="0"/>
    <xf numFmtId="43" fontId="141" fillId="0" borderId="0" applyFont="0" applyFill="0" applyBorder="0" applyAlignment="0" applyProtection="0"/>
    <xf numFmtId="0" fontId="18" fillId="0" borderId="0" applyFill="0" applyBorder="0" applyProtection="0">
      <alignment horizontal="right"/>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6" fillId="0" borderId="32">
      <alignment horizontal="left" vertical="center"/>
    </xf>
    <xf numFmtId="4" fontId="27" fillId="34" borderId="36" applyNumberFormat="0" applyProtection="0">
      <alignment vertical="center"/>
    </xf>
    <xf numFmtId="4" fontId="47" fillId="0" borderId="160" applyNumberFormat="0" applyProtection="0">
      <alignment horizontal="right" vertical="center"/>
    </xf>
    <xf numFmtId="0" fontId="18" fillId="51" borderId="160" applyNumberFormat="0" applyProtection="0">
      <alignment horizontal="left" vertical="center" indent="1"/>
    </xf>
    <xf numFmtId="4" fontId="27" fillId="37" borderId="160" applyNumberFormat="0" applyProtection="0">
      <alignmen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4" fontId="47" fillId="42" borderId="160" applyNumberFormat="0" applyProtection="0">
      <alignment horizontal="right" vertical="center"/>
    </xf>
    <xf numFmtId="0" fontId="18" fillId="51" borderId="160" applyNumberFormat="0" applyProtection="0">
      <alignment horizontal="left" vertical="top" indent="1"/>
    </xf>
    <xf numFmtId="4" fontId="25" fillId="49" borderId="160" applyNumberFormat="0" applyProtection="0">
      <alignment horizontal="right" vertical="center"/>
    </xf>
    <xf numFmtId="0" fontId="114" fillId="79" borderId="163" applyNumberFormat="0" applyAlignment="0" applyProtection="0"/>
    <xf numFmtId="0" fontId="47" fillId="35" borderId="160" applyNumberFormat="0" applyProtection="0">
      <alignment horizontal="left" vertical="top" indent="1"/>
    </xf>
    <xf numFmtId="0" fontId="18" fillId="34" borderId="160" applyNumberFormat="0" applyProtection="0">
      <alignment horizontal="left" vertical="center" indent="1"/>
    </xf>
    <xf numFmtId="0" fontId="102" fillId="79" borderId="161" applyNumberFormat="0" applyAlignment="0" applyProtection="0"/>
    <xf numFmtId="4" fontId="47" fillId="43" borderId="160" applyNumberFormat="0" applyProtection="0">
      <alignment horizontal="right" vertical="center"/>
    </xf>
    <xf numFmtId="0" fontId="18" fillId="54" borderId="160" applyNumberFormat="0" applyProtection="0">
      <alignment horizontal="left" vertical="center" indent="1"/>
    </xf>
    <xf numFmtId="0" fontId="114" fillId="79" borderId="163" applyNumberFormat="0" applyAlignment="0" applyProtection="0"/>
    <xf numFmtId="4" fontId="25" fillId="49" borderId="160" applyNumberFormat="0" applyProtection="0">
      <alignment horizontal="right" vertical="center"/>
    </xf>
    <xf numFmtId="0" fontId="18" fillId="51" borderId="160" applyNumberFormat="0" applyProtection="0">
      <alignment horizontal="left" vertical="top" indent="1"/>
    </xf>
    <xf numFmtId="4" fontId="47" fillId="39" borderId="160" applyNumberFormat="0" applyProtection="0">
      <alignment horizontal="right" vertical="center"/>
    </xf>
    <xf numFmtId="0" fontId="18" fillId="76" borderId="162" applyNumberFormat="0" applyFont="0" applyAlignment="0" applyProtection="0"/>
    <xf numFmtId="0" fontId="105" fillId="0" borderId="164" applyNumberFormat="0" applyFill="0" applyAlignment="0" applyProtection="0"/>
    <xf numFmtId="0" fontId="27" fillId="38" borderId="160" applyNumberFormat="0" applyProtection="0">
      <alignment horizontal="left" vertical="top" indent="1"/>
    </xf>
    <xf numFmtId="0" fontId="18" fillId="51" borderId="160" applyNumberFormat="0" applyProtection="0">
      <alignment horizontal="left" vertical="center" indent="1"/>
    </xf>
    <xf numFmtId="4" fontId="47" fillId="0" borderId="160" applyNumberFormat="0" applyProtection="0">
      <alignment horizontal="righ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center" indent="1"/>
    </xf>
    <xf numFmtId="4" fontId="47" fillId="51" borderId="160"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8" fillId="49" borderId="160" applyNumberFormat="0" applyProtection="0">
      <alignment horizontal="left" vertical="center" indent="1"/>
    </xf>
    <xf numFmtId="0" fontId="105" fillId="0" borderId="164" applyNumberFormat="0" applyFill="0" applyAlignment="0" applyProtection="0"/>
    <xf numFmtId="0" fontId="18" fillId="85" borderId="160" applyNumberFormat="0" applyProtection="0">
      <alignment horizontal="left" vertical="center" indent="1"/>
    </xf>
    <xf numFmtId="4" fontId="47" fillId="41" borderId="160" applyNumberFormat="0" applyProtection="0">
      <alignment horizontal="right" vertical="center"/>
    </xf>
    <xf numFmtId="0" fontId="18" fillId="76" borderId="162" applyNumberFormat="0" applyFont="0" applyAlignment="0" applyProtection="0"/>
    <xf numFmtId="4" fontId="46" fillId="38" borderId="160" applyNumberFormat="0" applyProtection="0">
      <alignment vertical="center"/>
    </xf>
    <xf numFmtId="0" fontId="18" fillId="84" borderId="160" applyNumberFormat="0" applyProtection="0">
      <alignment horizontal="left" vertical="top" indent="1"/>
    </xf>
    <xf numFmtId="4" fontId="47" fillId="35" borderId="160" applyNumberFormat="0" applyProtection="0">
      <alignment horizontal="left" vertical="center" indent="1"/>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51"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24" fillId="59" borderId="165" applyNumberFormat="0" applyFont="0" applyAlignment="0" applyProtection="0">
      <protection locked="0"/>
    </xf>
    <xf numFmtId="4" fontId="47" fillId="43" borderId="160" applyNumberFormat="0" applyProtection="0">
      <alignment horizontal="right" vertical="center"/>
    </xf>
    <xf numFmtId="0" fontId="18" fillId="54" borderId="160" applyNumberFormat="0" applyProtection="0">
      <alignment horizontal="left" vertical="top" indent="1"/>
    </xf>
    <xf numFmtId="0" fontId="18" fillId="76" borderId="162" applyNumberFormat="0" applyFont="0" applyAlignment="0" applyProtection="0"/>
    <xf numFmtId="0" fontId="105" fillId="0" borderId="164" applyNumberFormat="0" applyFill="0" applyAlignment="0" applyProtection="0"/>
    <xf numFmtId="0" fontId="18" fillId="50" borderId="160" applyNumberFormat="0" applyProtection="0">
      <alignment horizontal="left" vertical="top" indent="1"/>
    </xf>
    <xf numFmtId="4" fontId="47"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4" fontId="47" fillId="35" borderId="160" applyNumberFormat="0" applyProtection="0">
      <alignment vertical="center"/>
    </xf>
    <xf numFmtId="0" fontId="18" fillId="50"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6" borderId="160" applyNumberFormat="0" applyProtection="0">
      <alignment horizontal="right" vertical="center"/>
    </xf>
    <xf numFmtId="0" fontId="18" fillId="54" borderId="160" applyNumberFormat="0" applyProtection="0">
      <alignment horizontal="left" vertical="top" indent="1"/>
    </xf>
    <xf numFmtId="0" fontId="105" fillId="0" borderId="164" applyNumberFormat="0" applyFill="0" applyAlignment="0" applyProtection="0"/>
    <xf numFmtId="0" fontId="63" fillId="59" borderId="165" applyNumberFormat="0" applyFont="0" applyFill="0" applyAlignment="0" applyProtection="0">
      <protection locked="0"/>
    </xf>
    <xf numFmtId="0" fontId="105" fillId="0" borderId="164" applyNumberFormat="0" applyFill="0" applyAlignment="0" applyProtection="0"/>
    <xf numFmtId="0" fontId="18" fillId="85" borderId="160" applyNumberFormat="0" applyProtection="0">
      <alignment horizontal="left" vertical="top" indent="1"/>
    </xf>
    <xf numFmtId="4" fontId="47" fillId="45" borderId="160" applyNumberFormat="0" applyProtection="0">
      <alignment horizontal="right" vertical="center"/>
    </xf>
    <xf numFmtId="0" fontId="110" fillId="77" borderId="161" applyNumberFormat="0" applyAlignment="0" applyProtection="0"/>
    <xf numFmtId="0" fontId="18" fillId="84" borderId="160" applyNumberFormat="0" applyProtection="0">
      <alignment horizontal="left" vertical="center" indent="1"/>
    </xf>
    <xf numFmtId="0" fontId="18" fillId="49" borderId="160" applyNumberFormat="0" applyProtection="0">
      <alignment horizontal="left" vertical="top" indent="1"/>
    </xf>
    <xf numFmtId="4" fontId="47" fillId="35" borderId="160" applyNumberFormat="0" applyProtection="0">
      <alignment horizontal="left" vertical="center" indent="1"/>
    </xf>
    <xf numFmtId="0" fontId="18" fillId="84" borderId="160" applyNumberFormat="0" applyProtection="0">
      <alignment horizontal="left" vertical="top" indent="1"/>
    </xf>
    <xf numFmtId="0" fontId="102" fillId="79" borderId="161" applyNumberFormat="0" applyAlignment="0" applyProtection="0"/>
    <xf numFmtId="4" fontId="47" fillId="44" borderId="160" applyNumberFormat="0" applyProtection="0">
      <alignment horizontal="right" vertical="center"/>
    </xf>
    <xf numFmtId="0" fontId="18" fillId="85" borderId="160" applyNumberFormat="0" applyProtection="0">
      <alignment horizontal="left" vertical="center" indent="1"/>
    </xf>
    <xf numFmtId="0" fontId="114" fillId="79" borderId="163" applyNumberFormat="0" applyAlignment="0" applyProtection="0"/>
    <xf numFmtId="4" fontId="51" fillId="49" borderId="160" applyNumberFormat="0" applyProtection="0">
      <alignment horizontal="right" vertical="center"/>
    </xf>
    <xf numFmtId="0" fontId="18" fillId="51" borderId="160" applyNumberFormat="0" applyProtection="0">
      <alignment horizontal="left" vertical="center" indent="1"/>
    </xf>
    <xf numFmtId="4" fontId="46" fillId="38" borderId="160" applyNumberFormat="0" applyProtection="0">
      <alignment vertical="center"/>
    </xf>
    <xf numFmtId="0" fontId="110" fillId="77" borderId="161" applyNumberFormat="0" applyAlignment="0" applyProtection="0"/>
    <xf numFmtId="0" fontId="102" fillId="79" borderId="161" applyNumberFormat="0" applyAlignment="0" applyProtection="0"/>
    <xf numFmtId="4" fontId="47" fillId="41" borderId="160" applyNumberFormat="0" applyProtection="0">
      <alignment horizontal="right" vertical="center"/>
    </xf>
    <xf numFmtId="0" fontId="18" fillId="51" borderId="160" applyNumberFormat="0" applyProtection="0">
      <alignment horizontal="left" vertical="top" indent="1"/>
    </xf>
    <xf numFmtId="0" fontId="47" fillId="34" borderId="160" applyNumberFormat="0" applyProtection="0">
      <alignment horizontal="left" vertical="top"/>
    </xf>
    <xf numFmtId="0" fontId="114" fillId="79" borderId="163" applyNumberFormat="0" applyAlignment="0" applyProtection="0"/>
    <xf numFmtId="0" fontId="26" fillId="0" borderId="32">
      <alignment horizontal="left" vertical="center"/>
    </xf>
    <xf numFmtId="4" fontId="27" fillId="34" borderId="36" applyNumberFormat="0" applyProtection="0">
      <alignment vertical="center"/>
    </xf>
    <xf numFmtId="0" fontId="26" fillId="0" borderId="32">
      <alignment horizontal="left" vertical="center"/>
    </xf>
    <xf numFmtId="4" fontId="27" fillId="34" borderId="36" applyNumberFormat="0" applyProtection="0">
      <alignment vertical="center"/>
    </xf>
    <xf numFmtId="4" fontId="27" fillId="34" borderId="36" applyNumberFormat="0" applyProtection="0">
      <alignment vertical="center"/>
    </xf>
    <xf numFmtId="4" fontId="47" fillId="0" borderId="160" applyNumberFormat="0" applyProtection="0">
      <alignment horizontal="left" vertical="center" indent="1"/>
    </xf>
    <xf numFmtId="0" fontId="18" fillId="34" borderId="160" applyNumberFormat="0" applyProtection="0">
      <alignment horizontal="left" vertical="top" indent="1"/>
    </xf>
    <xf numFmtId="4" fontId="27" fillId="38" borderId="160" applyNumberFormat="0" applyProtection="0">
      <alignment horizontal="left" vertical="center" indent="1"/>
    </xf>
    <xf numFmtId="0" fontId="110" fillId="77" borderId="161" applyNumberFormat="0" applyAlignment="0" applyProtection="0"/>
    <xf numFmtId="4" fontId="47" fillId="40" borderId="160" applyNumberFormat="0" applyProtection="0">
      <alignment horizontal="right" vertical="center"/>
    </xf>
    <xf numFmtId="0" fontId="18" fillId="34" borderId="160" applyNumberFormat="0" applyProtection="0">
      <alignment horizontal="left" vertical="top" indent="1"/>
    </xf>
    <xf numFmtId="4" fontId="47" fillId="0" borderId="160" applyNumberFormat="0" applyProtection="0">
      <alignment horizontal="left" vertical="center" indent="1"/>
    </xf>
    <xf numFmtId="0" fontId="114" fillId="79" borderId="163" applyNumberFormat="0" applyAlignment="0" applyProtection="0"/>
    <xf numFmtId="0" fontId="105" fillId="0" borderId="164" applyNumberFormat="0" applyFill="0" applyAlignment="0" applyProtection="0"/>
    <xf numFmtId="0" fontId="18" fillId="55" borderId="160" applyNumberFormat="0" applyProtection="0">
      <alignment horizontal="left" vertical="center" indent="1"/>
    </xf>
    <xf numFmtId="4" fontId="47" fillId="46" borderId="160" applyNumberFormat="0" applyProtection="0">
      <alignment horizontal="right" vertical="center"/>
    </xf>
    <xf numFmtId="0" fontId="110" fillId="77" borderId="161" applyNumberFormat="0" applyAlignment="0" applyProtection="0"/>
    <xf numFmtId="0" fontId="18" fillId="50" borderId="160" applyNumberFormat="0" applyProtection="0">
      <alignment horizontal="left" vertical="center" indent="1"/>
    </xf>
    <xf numFmtId="0" fontId="18" fillId="55" borderId="160" applyNumberFormat="0" applyProtection="0">
      <alignment horizontal="left" vertical="top" indent="1"/>
    </xf>
    <xf numFmtId="0" fontId="47" fillId="34" borderId="160" applyNumberFormat="0" applyProtection="0">
      <alignment horizontal="left" vertical="top"/>
    </xf>
    <xf numFmtId="0" fontId="18" fillId="51" borderId="160" applyNumberFormat="0" applyProtection="0">
      <alignment horizontal="left" vertical="top" indent="1"/>
    </xf>
    <xf numFmtId="0" fontId="27" fillId="38" borderId="160" applyNumberFormat="0" applyProtection="0">
      <alignment horizontal="left" vertical="top" indent="1"/>
    </xf>
    <xf numFmtId="0" fontId="18" fillId="76" borderId="162" applyNumberFormat="0" applyFont="0" applyAlignment="0" applyProtection="0"/>
    <xf numFmtId="0" fontId="110" fillId="77" borderId="161" applyNumberFormat="0" applyAlignment="0" applyProtection="0"/>
    <xf numFmtId="0" fontId="105" fillId="0" borderId="164" applyNumberFormat="0" applyFill="0" applyAlignment="0" applyProtection="0"/>
    <xf numFmtId="4" fontId="47" fillId="39" borderId="160" applyNumberFormat="0" applyProtection="0">
      <alignment horizontal="right" vertical="center"/>
    </xf>
    <xf numFmtId="0" fontId="18" fillId="51" borderId="160" applyNumberFormat="0" applyProtection="0">
      <alignment horizontal="left" vertical="center" indent="1"/>
    </xf>
    <xf numFmtId="4" fontId="51" fillId="49" borderId="160" applyNumberFormat="0" applyProtection="0">
      <alignment horizontal="right" vertical="center"/>
    </xf>
    <xf numFmtId="0" fontId="18" fillId="49" borderId="160" applyNumberFormat="0" applyProtection="0">
      <alignment horizontal="left" vertical="center" indent="1"/>
    </xf>
    <xf numFmtId="4" fontId="47" fillId="47" borderId="160" applyNumberFormat="0" applyProtection="0">
      <alignment horizontal="right" vertical="center"/>
    </xf>
    <xf numFmtId="0" fontId="110" fillId="77" borderId="161" applyNumberFormat="0" applyAlignment="0" applyProtection="0"/>
    <xf numFmtId="0" fontId="18" fillId="49" borderId="160" applyNumberFormat="0" applyProtection="0">
      <alignment horizontal="left" vertical="center" indent="1"/>
    </xf>
    <xf numFmtId="0" fontId="18" fillId="54" borderId="160" applyNumberFormat="0" applyProtection="0">
      <alignment horizontal="left" vertical="center" indent="1"/>
    </xf>
    <xf numFmtId="4" fontId="47" fillId="40" borderId="160" applyNumberFormat="0" applyProtection="0">
      <alignment horizontal="right" vertical="center"/>
    </xf>
    <xf numFmtId="0" fontId="18" fillId="76" borderId="162" applyNumberFormat="0" applyFont="0" applyAlignment="0" applyProtection="0"/>
    <xf numFmtId="4" fontId="27" fillId="38" borderId="160" applyNumberFormat="0" applyProtection="0">
      <alignment horizontal="left" vertical="center" indent="1"/>
    </xf>
    <xf numFmtId="0" fontId="18" fillId="34" borderId="160" applyNumberFormat="0" applyProtection="0">
      <alignment horizontal="left" vertical="center" indent="1"/>
    </xf>
    <xf numFmtId="0" fontId="47" fillId="35"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0" fontId="18" fillId="55" borderId="160" applyNumberFormat="0" applyProtection="0">
      <alignment horizontal="left" vertical="top" indent="1"/>
    </xf>
    <xf numFmtId="0" fontId="18" fillId="50" borderId="160"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60" applyNumberFormat="0" applyProtection="0">
      <alignment horizontal="left" vertical="center" indent="1"/>
    </xf>
    <xf numFmtId="4" fontId="47" fillId="42" borderId="160" applyNumberFormat="0" applyProtection="0">
      <alignment horizontal="right" vertical="center"/>
    </xf>
    <xf numFmtId="0" fontId="18" fillId="85" borderId="160" applyNumberFormat="0" applyProtection="0">
      <alignment horizontal="left" vertical="center" indent="1"/>
    </xf>
    <xf numFmtId="0" fontId="18" fillId="76" borderId="162" applyNumberFormat="0" applyFont="0" applyAlignment="0" applyProtection="0"/>
    <xf numFmtId="0" fontId="105" fillId="0" borderId="164" applyNumberFormat="0" applyFill="0" applyAlignment="0" applyProtection="0"/>
    <xf numFmtId="4" fontId="27" fillId="37" borderId="160" applyNumberFormat="0" applyProtection="0">
      <alignment vertical="center"/>
    </xf>
    <xf numFmtId="0" fontId="18" fillId="84" borderId="160" applyNumberFormat="0" applyProtection="0">
      <alignment horizontal="left" vertical="top" indent="1"/>
    </xf>
    <xf numFmtId="4" fontId="51"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7"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8" fillId="85" borderId="160" applyNumberFormat="0" applyProtection="0">
      <alignment horizontal="left" vertical="top" indent="1"/>
    </xf>
    <xf numFmtId="4" fontId="47" fillId="44" borderId="160" applyNumberFormat="0" applyProtection="0">
      <alignment horizontal="right" vertical="center"/>
    </xf>
    <xf numFmtId="0" fontId="110" fillId="77" borderId="161" applyNumberFormat="0" applyAlignment="0" applyProtection="0"/>
    <xf numFmtId="0" fontId="63" fillId="59" borderId="165" applyNumberFormat="0" applyFont="0" applyFill="0" applyAlignment="0" applyProtection="0">
      <protection locked="0"/>
    </xf>
    <xf numFmtId="0" fontId="18" fillId="84" borderId="160" applyNumberFormat="0" applyProtection="0">
      <alignment horizontal="left" vertical="center" indent="1"/>
    </xf>
    <xf numFmtId="0" fontId="18" fillId="49"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4" fontId="51" fillId="35" borderId="160" applyNumberFormat="0" applyProtection="0">
      <alignment vertical="center"/>
    </xf>
    <xf numFmtId="0" fontId="18" fillId="84"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5" borderId="160" applyNumberFormat="0" applyProtection="0">
      <alignment horizontal="right" vertical="center"/>
    </xf>
    <xf numFmtId="0" fontId="18" fillId="85" borderId="160" applyNumberFormat="0" applyProtection="0">
      <alignment horizontal="left" vertical="center" indent="1"/>
    </xf>
    <xf numFmtId="0" fontId="105" fillId="0" borderId="164" applyNumberFormat="0" applyFill="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27" fillId="48" borderId="166" applyNumberFormat="0" applyProtection="0">
      <alignment horizontal="left" vertical="center" indent="1"/>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7" fillId="34" borderId="36" applyNumberFormat="0" applyProtection="0">
      <alignment vertical="center"/>
    </xf>
    <xf numFmtId="0" fontId="102" fillId="79" borderId="161" applyNumberFormat="0" applyAlignment="0" applyProtection="0"/>
    <xf numFmtId="4" fontId="27" fillId="34" borderId="36" applyNumberFormat="0" applyProtection="0">
      <alignment vertical="center"/>
    </xf>
    <xf numFmtId="0" fontId="63" fillId="59" borderId="165" applyNumberFormat="0" applyFont="0" applyFill="0" applyAlignment="0" applyProtection="0">
      <protection locked="0"/>
    </xf>
    <xf numFmtId="0" fontId="18" fillId="51" borderId="142" applyNumberFormat="0" applyProtection="0">
      <alignment horizontal="left" vertical="center" indent="1"/>
    </xf>
    <xf numFmtId="0" fontId="110" fillId="77" borderId="161" applyNumberFormat="0" applyAlignment="0" applyProtection="0"/>
    <xf numFmtId="0" fontId="18" fillId="0" borderId="139" applyNumberFormat="0" applyFill="0" applyAlignment="0" applyProtection="0"/>
    <xf numFmtId="4" fontId="47" fillId="0" borderId="142" applyNumberFormat="0" applyProtection="0">
      <alignment horizontal="right" vertical="center"/>
    </xf>
    <xf numFmtId="4" fontId="47" fillId="0" borderId="142" applyNumberFormat="0" applyProtection="0">
      <alignment horizontal="left" vertical="center" indent="1"/>
    </xf>
    <xf numFmtId="0" fontId="18" fillId="54" borderId="142" applyNumberFormat="0" applyProtection="0">
      <alignment horizontal="left" vertical="top" indent="1"/>
    </xf>
    <xf numFmtId="4" fontId="27" fillId="38"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4" fontId="47" fillId="35" borderId="142" applyNumberFormat="0" applyProtection="0">
      <alignment horizontal="left" vertical="center" indent="1"/>
    </xf>
    <xf numFmtId="0" fontId="18" fillId="50" borderId="142" applyNumberFormat="0" applyProtection="0">
      <alignment horizontal="left" vertical="center" indent="1"/>
    </xf>
    <xf numFmtId="4" fontId="27" fillId="38" borderId="142" applyNumberFormat="0" applyProtection="0">
      <alignment horizontal="left" vertical="center" indent="1"/>
    </xf>
    <xf numFmtId="0" fontId="18" fillId="51" borderId="142" applyNumberFormat="0" applyProtection="0">
      <alignment horizontal="left" vertical="top" indent="1"/>
    </xf>
    <xf numFmtId="0" fontId="21" fillId="35" borderId="140" applyNumberFormat="0" applyFont="0" applyAlignment="0" applyProtection="0">
      <alignment horizontal="center"/>
      <protection locked="0"/>
    </xf>
    <xf numFmtId="4" fontId="47" fillId="44" borderId="142" applyNumberFormat="0" applyProtection="0">
      <alignment horizontal="right" vertical="center"/>
    </xf>
    <xf numFmtId="0" fontId="18" fillId="34" borderId="142" applyNumberFormat="0" applyProtection="0">
      <alignment horizontal="left" vertical="top" indent="1"/>
    </xf>
    <xf numFmtId="0" fontId="18" fillId="85" borderId="142" applyNumberFormat="0" applyProtection="0">
      <alignment horizontal="left" vertical="center" indent="1"/>
    </xf>
    <xf numFmtId="0" fontId="18" fillId="85" borderId="142" applyNumberFormat="0" applyProtection="0">
      <alignment horizontal="left" vertical="center" indent="1"/>
    </xf>
    <xf numFmtId="0" fontId="18" fillId="50" borderId="142" applyNumberFormat="0" applyProtection="0">
      <alignment horizontal="left" vertical="top" indent="1"/>
    </xf>
    <xf numFmtId="4" fontId="47" fillId="43" borderId="142" applyNumberFormat="0" applyProtection="0">
      <alignment horizontal="right" vertical="center"/>
    </xf>
    <xf numFmtId="0" fontId="18" fillId="54" borderId="142" applyNumberFormat="0" applyProtection="0">
      <alignment horizontal="left" vertical="center" indent="1"/>
    </xf>
    <xf numFmtId="0" fontId="105" fillId="0" borderId="146" applyNumberFormat="0" applyFill="0" applyAlignment="0" applyProtection="0"/>
    <xf numFmtId="0" fontId="105" fillId="0" borderId="146" applyNumberFormat="0" applyFill="0" applyAlignment="0" applyProtection="0"/>
    <xf numFmtId="4" fontId="47" fillId="45" borderId="142" applyNumberFormat="0" applyProtection="0">
      <alignment horizontal="right" vertical="center"/>
    </xf>
    <xf numFmtId="0" fontId="102" fillId="79" borderId="149" applyNumberFormat="0" applyAlignment="0" applyProtection="0"/>
    <xf numFmtId="4" fontId="47" fillId="0" borderId="142" applyNumberFormat="0" applyProtection="0">
      <alignment horizontal="right" vertical="center"/>
    </xf>
    <xf numFmtId="0" fontId="18" fillId="34" borderId="142" applyNumberFormat="0" applyProtection="0">
      <alignment horizontal="left" vertical="top" indent="1"/>
    </xf>
    <xf numFmtId="0" fontId="18" fillId="84" borderId="142" applyNumberFormat="0" applyProtection="0">
      <alignment horizontal="left" vertical="center" indent="1"/>
    </xf>
    <xf numFmtId="0" fontId="18" fillId="34" borderId="142" applyNumberFormat="0" applyProtection="0">
      <alignment horizontal="left" vertical="center" indent="1"/>
    </xf>
    <xf numFmtId="0" fontId="18" fillId="50" borderId="142" applyNumberFormat="0" applyProtection="0">
      <alignment horizontal="left" vertical="center" indent="1"/>
    </xf>
    <xf numFmtId="0" fontId="18" fillId="50" borderId="142" applyNumberFormat="0" applyProtection="0">
      <alignment horizontal="left" vertical="top" indent="1"/>
    </xf>
    <xf numFmtId="0" fontId="110" fillId="77" borderId="149" applyNumberFormat="0" applyAlignment="0" applyProtection="0"/>
    <xf numFmtId="4" fontId="47" fillId="41" borderId="142" applyNumberFormat="0" applyProtection="0">
      <alignment horizontal="right" vertical="center"/>
    </xf>
    <xf numFmtId="0" fontId="105" fillId="0" borderId="146" applyNumberFormat="0" applyFill="0" applyAlignment="0" applyProtection="0"/>
    <xf numFmtId="0" fontId="18" fillId="50" borderId="142" applyNumberFormat="0" applyProtection="0">
      <alignment horizontal="left" vertical="center" indent="1"/>
    </xf>
    <xf numFmtId="4" fontId="27" fillId="37" borderId="142" applyNumberFormat="0" applyProtection="0">
      <alignment vertical="center"/>
    </xf>
    <xf numFmtId="0" fontId="18" fillId="85" borderId="142" applyNumberFormat="0" applyProtection="0">
      <alignment horizontal="left" vertical="center" indent="1"/>
    </xf>
    <xf numFmtId="4" fontId="47" fillId="51" borderId="142" applyNumberFormat="0" applyProtection="0">
      <alignment horizontal="right" vertical="center"/>
    </xf>
    <xf numFmtId="4" fontId="47" fillId="35" borderId="142" applyNumberFormat="0" applyProtection="0">
      <alignment horizontal="left" vertical="center" indent="1"/>
    </xf>
    <xf numFmtId="0" fontId="18" fillId="84" borderId="142" applyNumberFormat="0" applyProtection="0">
      <alignment horizontal="left" vertical="top" indent="1"/>
    </xf>
    <xf numFmtId="0" fontId="114" fillId="79" borderId="141" applyNumberFormat="0" applyAlignment="0" applyProtection="0"/>
    <xf numFmtId="0" fontId="24" fillId="59" borderId="148" applyNumberFormat="0" applyFont="0" applyAlignment="0" applyProtection="0">
      <protection locked="0"/>
    </xf>
    <xf numFmtId="4" fontId="47" fillId="40" borderId="142" applyNumberFormat="0" applyProtection="0">
      <alignment horizontal="right" vertical="center"/>
    </xf>
    <xf numFmtId="0" fontId="18" fillId="54" borderId="142" applyNumberFormat="0" applyProtection="0">
      <alignment horizontal="left" vertical="center" indent="1"/>
    </xf>
    <xf numFmtId="0" fontId="105" fillId="0" borderId="146" applyNumberFormat="0" applyFill="0" applyAlignment="0" applyProtection="0"/>
    <xf numFmtId="0" fontId="18" fillId="51" borderId="142" applyNumberFormat="0" applyProtection="0">
      <alignment horizontal="left" vertical="top" indent="1"/>
    </xf>
    <xf numFmtId="0" fontId="110" fillId="77" borderId="149" applyNumberFormat="0" applyAlignment="0" applyProtection="0"/>
    <xf numFmtId="4" fontId="47" fillId="0" borderId="142" applyNumberFormat="0" applyProtection="0">
      <alignment horizontal="right" vertical="center"/>
    </xf>
    <xf numFmtId="0" fontId="47" fillId="34" borderId="142" applyNumberFormat="0" applyProtection="0">
      <alignment horizontal="left" vertical="top"/>
    </xf>
    <xf numFmtId="0" fontId="18" fillId="54" borderId="142" applyNumberFormat="0" applyProtection="0">
      <alignment horizontal="left" vertical="center" indent="1"/>
    </xf>
    <xf numFmtId="4" fontId="47" fillId="44" borderId="142" applyNumberFormat="0" applyProtection="0">
      <alignment horizontal="right" vertical="center"/>
    </xf>
    <xf numFmtId="0" fontId="114" fillId="79" borderId="141" applyNumberFormat="0" applyAlignment="0" applyProtection="0"/>
    <xf numFmtId="0" fontId="18" fillId="49" borderId="142" applyNumberFormat="0" applyProtection="0">
      <alignment horizontal="left" vertical="top" indent="1"/>
    </xf>
    <xf numFmtId="4" fontId="47" fillId="40" borderId="142" applyNumberFormat="0" applyProtection="0">
      <alignment horizontal="right" vertical="center"/>
    </xf>
    <xf numFmtId="0" fontId="114" fillId="79" borderId="141" applyNumberFormat="0" applyAlignment="0" applyProtection="0"/>
    <xf numFmtId="4" fontId="51" fillId="49" borderId="142" applyNumberFormat="0" applyProtection="0">
      <alignment horizontal="right" vertical="center"/>
    </xf>
    <xf numFmtId="4" fontId="47" fillId="35" borderId="142" applyNumberFormat="0" applyProtection="0">
      <alignment vertical="center"/>
    </xf>
    <xf numFmtId="0" fontId="18" fillId="84" borderId="142" applyNumberFormat="0" applyProtection="0">
      <alignment horizontal="left" vertical="top" indent="1"/>
    </xf>
    <xf numFmtId="4" fontId="25" fillId="49" borderId="142" applyNumberFormat="0" applyProtection="0">
      <alignment horizontal="right" vertical="center"/>
    </xf>
    <xf numFmtId="4" fontId="47" fillId="35" borderId="142" applyNumberFormat="0" applyProtection="0">
      <alignment vertical="center"/>
    </xf>
    <xf numFmtId="0" fontId="18" fillId="50"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4" fontId="47" fillId="46" borderId="142" applyNumberFormat="0" applyProtection="0">
      <alignment horizontal="right" vertical="center"/>
    </xf>
    <xf numFmtId="0" fontId="18" fillId="54" borderId="142" applyNumberFormat="0" applyProtection="0">
      <alignment horizontal="left" vertical="top" indent="1"/>
    </xf>
    <xf numFmtId="0" fontId="105" fillId="0" borderId="146" applyNumberFormat="0" applyFill="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4" fontId="27" fillId="38" borderId="142" applyNumberFormat="0" applyProtection="0">
      <alignment horizontal="left" vertical="center" indent="1"/>
    </xf>
    <xf numFmtId="0" fontId="18" fillId="55" borderId="142" applyNumberFormat="0" applyProtection="0">
      <alignment horizontal="left" vertical="top" indent="1"/>
    </xf>
    <xf numFmtId="0" fontId="18" fillId="50" borderId="142" applyNumberFormat="0" applyProtection="0">
      <alignment horizontal="left" vertical="top" indent="1"/>
    </xf>
    <xf numFmtId="4" fontId="47" fillId="47" borderId="142" applyNumberFormat="0" applyProtection="0">
      <alignment horizontal="right" vertical="center"/>
    </xf>
    <xf numFmtId="0" fontId="102" fillId="79" borderId="149" applyNumberFormat="0" applyAlignment="0" applyProtection="0"/>
    <xf numFmtId="0" fontId="18" fillId="49" borderId="142" applyNumberFormat="0" applyProtection="0">
      <alignment horizontal="left" vertical="center" indent="1"/>
    </xf>
    <xf numFmtId="0" fontId="105" fillId="0" borderId="146" applyNumberFormat="0" applyFill="0" applyAlignment="0" applyProtection="0"/>
    <xf numFmtId="0" fontId="18" fillId="54" borderId="142" applyNumberFormat="0" applyProtection="0">
      <alignment horizontal="left" vertical="center" indent="1"/>
    </xf>
    <xf numFmtId="0" fontId="18" fillId="55" borderId="142" applyNumberFormat="0" applyProtection="0">
      <alignment horizontal="left" vertical="top" indent="1"/>
    </xf>
    <xf numFmtId="0" fontId="114" fillId="79" borderId="141" applyNumberFormat="0" applyAlignment="0" applyProtection="0"/>
    <xf numFmtId="4" fontId="47" fillId="0" borderId="142" applyNumberFormat="0" applyProtection="0">
      <alignment horizontal="left" vertical="center" indent="1"/>
    </xf>
    <xf numFmtId="0" fontId="18" fillId="49" borderId="142" applyNumberFormat="0" applyProtection="0">
      <alignment horizontal="left" vertical="center" indent="1"/>
    </xf>
    <xf numFmtId="0" fontId="18" fillId="76" borderId="151" applyNumberFormat="0" applyFont="0" applyAlignment="0" applyProtection="0"/>
    <xf numFmtId="0" fontId="18" fillId="34" borderId="142" applyNumberFormat="0" applyProtection="0">
      <alignment horizontal="left" vertical="center" indent="1"/>
    </xf>
    <xf numFmtId="0" fontId="27" fillId="38" borderId="142" applyNumberFormat="0" applyProtection="0">
      <alignment horizontal="left" vertical="top" indent="1"/>
    </xf>
    <xf numFmtId="0" fontId="18" fillId="76" borderId="151" applyNumberFormat="0" applyFont="0" applyAlignment="0" applyProtection="0"/>
    <xf numFmtId="0" fontId="18" fillId="51" borderId="142" applyNumberFormat="0" applyProtection="0">
      <alignment horizontal="left" vertical="center" indent="1"/>
    </xf>
    <xf numFmtId="4" fontId="47" fillId="0" borderId="142" applyNumberFormat="0" applyProtection="0">
      <alignment horizontal="left" vertical="center" indent="1"/>
    </xf>
    <xf numFmtId="0" fontId="18" fillId="49" borderId="142" applyNumberFormat="0" applyProtection="0">
      <alignment horizontal="left" vertical="top" indent="1"/>
    </xf>
    <xf numFmtId="0" fontId="18" fillId="54" borderId="142" applyNumberFormat="0" applyProtection="0">
      <alignment horizontal="left" vertical="top" indent="1"/>
    </xf>
    <xf numFmtId="0" fontId="114" fillId="79" borderId="141" applyNumberFormat="0" applyAlignment="0" applyProtection="0"/>
    <xf numFmtId="0" fontId="105" fillId="0" borderId="146" applyNumberFormat="0" applyFill="0" applyAlignment="0" applyProtection="0"/>
    <xf numFmtId="0" fontId="18" fillId="85" borderId="142" applyNumberFormat="0" applyProtection="0">
      <alignment horizontal="left" vertical="top" indent="1"/>
    </xf>
    <xf numFmtId="4" fontId="47" fillId="45" borderId="142" applyNumberFormat="0" applyProtection="0">
      <alignment horizontal="right" vertical="center"/>
    </xf>
    <xf numFmtId="0" fontId="110" fillId="77" borderId="149" applyNumberFormat="0" applyAlignment="0" applyProtection="0"/>
    <xf numFmtId="0" fontId="18" fillId="84" borderId="142" applyNumberFormat="0" applyProtection="0">
      <alignment horizontal="left" vertical="center" indent="1"/>
    </xf>
    <xf numFmtId="0" fontId="18" fillId="49" borderId="142" applyNumberFormat="0" applyProtection="0">
      <alignment horizontal="left" vertical="top" indent="1"/>
    </xf>
    <xf numFmtId="0" fontId="18" fillId="55" borderId="142" applyNumberFormat="0" applyProtection="0">
      <alignment horizontal="left" vertical="center" indent="1"/>
    </xf>
    <xf numFmtId="0" fontId="47" fillId="34" borderId="142" applyNumberFormat="0" applyProtection="0">
      <alignment horizontal="left" vertical="top"/>
    </xf>
    <xf numFmtId="0" fontId="18" fillId="54" borderId="142" applyNumberFormat="0" applyProtection="0">
      <alignment horizontal="left" vertical="top" indent="1"/>
    </xf>
    <xf numFmtId="4" fontId="47" fillId="44" borderId="142" applyNumberFormat="0" applyProtection="0">
      <alignment horizontal="right" vertical="center"/>
    </xf>
    <xf numFmtId="4" fontId="47" fillId="0" borderId="142" applyNumberFormat="0" applyProtection="0">
      <alignment horizontal="right" vertical="center"/>
    </xf>
    <xf numFmtId="0" fontId="18" fillId="51" borderId="142" applyNumberFormat="0" applyProtection="0">
      <alignment horizontal="left" vertical="center" indent="1"/>
    </xf>
    <xf numFmtId="4" fontId="27" fillId="37" borderId="142" applyNumberFormat="0" applyProtection="0">
      <alignment vertical="center"/>
    </xf>
    <xf numFmtId="0" fontId="105" fillId="0" borderId="146" applyNumberFormat="0" applyFill="0" applyAlignment="0" applyProtection="0"/>
    <xf numFmtId="0" fontId="27" fillId="38" borderId="142" applyNumberFormat="0" applyProtection="0">
      <alignment horizontal="left" vertical="top" indent="1"/>
    </xf>
    <xf numFmtId="0" fontId="18" fillId="51" borderId="142" applyNumberFormat="0" applyProtection="0">
      <alignment horizontal="left" vertical="top" indent="1"/>
    </xf>
    <xf numFmtId="0" fontId="47" fillId="34" borderId="142" applyNumberFormat="0" applyProtection="0">
      <alignment horizontal="left" vertical="top"/>
    </xf>
    <xf numFmtId="0" fontId="18" fillId="85"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left" vertical="center" indent="1"/>
    </xf>
    <xf numFmtId="4" fontId="25" fillId="49" borderId="142" applyNumberFormat="0" applyProtection="0">
      <alignment horizontal="right" vertical="center"/>
    </xf>
    <xf numFmtId="0" fontId="18" fillId="54" borderId="142" applyNumberFormat="0" applyProtection="0">
      <alignment horizontal="left" vertical="center" indent="1"/>
    </xf>
    <xf numFmtId="4" fontId="47" fillId="46" borderId="142" applyNumberFormat="0" applyProtection="0">
      <alignment horizontal="right" vertical="center"/>
    </xf>
    <xf numFmtId="0" fontId="18" fillId="85" borderId="142" applyNumberFormat="0" applyProtection="0">
      <alignment horizontal="left" vertical="center" indent="1"/>
    </xf>
    <xf numFmtId="0" fontId="114" fillId="79" borderId="141" applyNumberFormat="0" applyAlignment="0" applyProtection="0"/>
    <xf numFmtId="4" fontId="27" fillId="38" borderId="142" applyNumberFormat="0" applyProtection="0">
      <alignment horizontal="left" vertical="center" indent="1"/>
    </xf>
    <xf numFmtId="0" fontId="18" fillId="55" borderId="142" applyNumberFormat="0" applyProtection="0">
      <alignment horizontal="left" vertical="center" indent="1"/>
    </xf>
    <xf numFmtId="4" fontId="46" fillId="38" borderId="142" applyNumberFormat="0" applyProtection="0">
      <alignment vertical="center"/>
    </xf>
    <xf numFmtId="0" fontId="114" fillId="79" borderId="141" applyNumberFormat="0" applyAlignment="0" applyProtection="0"/>
    <xf numFmtId="0" fontId="105" fillId="0" borderId="146" applyNumberFormat="0" applyFill="0" applyAlignment="0" applyProtection="0"/>
    <xf numFmtId="4" fontId="47" fillId="39" borderId="142" applyNumberFormat="0" applyProtection="0">
      <alignment horizontal="right" vertical="center"/>
    </xf>
    <xf numFmtId="4" fontId="27" fillId="34" borderId="143" applyNumberFormat="0" applyProtection="0">
      <alignment vertical="center"/>
    </xf>
    <xf numFmtId="4" fontId="47" fillId="35" borderId="142" applyNumberFormat="0" applyProtection="0">
      <alignment horizontal="left" vertical="center" indent="1"/>
    </xf>
    <xf numFmtId="0" fontId="18" fillId="84" borderId="142" applyNumberFormat="0" applyProtection="0">
      <alignment horizontal="left" vertical="top" indent="1"/>
    </xf>
    <xf numFmtId="0" fontId="18" fillId="85" borderId="142" applyNumberFormat="0" applyProtection="0">
      <alignment horizontal="left" vertical="center" indent="1"/>
    </xf>
    <xf numFmtId="0" fontId="18" fillId="49" borderId="142" applyNumberFormat="0" applyProtection="0">
      <alignment horizontal="left" vertical="center" indent="1"/>
    </xf>
    <xf numFmtId="0" fontId="114" fillId="79" borderId="141" applyNumberFormat="0" applyAlignment="0" applyProtection="0"/>
    <xf numFmtId="0" fontId="102" fillId="79" borderId="149" applyNumberFormat="0" applyAlignment="0" applyProtection="0"/>
    <xf numFmtId="0" fontId="18" fillId="76" borderId="151" applyNumberFormat="0" applyFont="0" applyAlignment="0" applyProtection="0"/>
    <xf numFmtId="0" fontId="102" fillId="79" borderId="149" applyNumberFormat="0" applyAlignment="0" applyProtection="0"/>
    <xf numFmtId="4" fontId="27" fillId="37" borderId="142" applyNumberFormat="0" applyProtection="0">
      <alignment vertical="center"/>
    </xf>
    <xf numFmtId="4" fontId="27" fillId="38" borderId="142" applyNumberFormat="0" applyProtection="0">
      <alignment horizontal="left" vertical="center" indent="1"/>
    </xf>
    <xf numFmtId="0" fontId="18" fillId="34" borderId="142" applyNumberFormat="0" applyProtection="0">
      <alignment horizontal="left" vertical="top" indent="1"/>
    </xf>
    <xf numFmtId="4" fontId="47" fillId="51" borderId="142" applyNumberFormat="0" applyProtection="0">
      <alignment horizontal="left" vertical="center" indent="1"/>
    </xf>
    <xf numFmtId="4" fontId="27" fillId="38" borderId="142" applyNumberFormat="0" applyProtection="0">
      <alignment vertical="center"/>
    </xf>
    <xf numFmtId="0" fontId="24" fillId="59" borderId="148" applyNumberFormat="0" applyFont="0" applyAlignment="0" applyProtection="0">
      <protection locked="0"/>
    </xf>
    <xf numFmtId="0" fontId="18" fillId="34" borderId="142" applyNumberFormat="0" applyProtection="0">
      <alignment horizontal="left" vertical="top"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50" borderId="142" applyNumberFormat="0" applyProtection="0">
      <alignment horizontal="left" vertical="top" indent="1"/>
    </xf>
    <xf numFmtId="4" fontId="27" fillId="34" borderId="142" applyNumberForma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50" borderId="142" applyNumberFormat="0" applyProtection="0">
      <alignment horizontal="left" vertical="center" indent="1"/>
    </xf>
    <xf numFmtId="0" fontId="18" fillId="76" borderId="162" applyNumberFormat="0" applyFont="0" applyAlignment="0" applyProtection="0"/>
    <xf numFmtId="4" fontId="51" fillId="35" borderId="142" applyNumberFormat="0" applyProtection="0">
      <alignment vertical="center"/>
    </xf>
    <xf numFmtId="0" fontId="18" fillId="50" borderId="142" applyNumberFormat="0" applyProtection="0">
      <alignment horizontal="left" vertical="center" indent="1"/>
    </xf>
    <xf numFmtId="4" fontId="27" fillId="38" borderId="142" applyNumberFormat="0" applyProtection="0">
      <alignment horizontal="left" vertical="center" indent="1"/>
    </xf>
    <xf numFmtId="0" fontId="18" fillId="54" borderId="142" applyNumberFormat="0" applyProtection="0">
      <alignment horizontal="left" vertical="top" indent="1"/>
    </xf>
    <xf numFmtId="0" fontId="21" fillId="35" borderId="140" applyNumberFormat="0" applyFont="0" applyAlignment="0" applyProtection="0">
      <alignment horizontal="center"/>
      <protection locked="0"/>
    </xf>
    <xf numFmtId="0" fontId="18" fillId="76" borderId="151" applyNumberFormat="0" applyFont="0" applyAlignment="0" applyProtection="0"/>
    <xf numFmtId="0" fontId="18" fillId="76" borderId="151" applyNumberFormat="0" applyFont="0" applyAlignment="0" applyProtection="0"/>
    <xf numFmtId="0" fontId="105" fillId="0" borderId="146" applyNumberFormat="0" applyFill="0" applyAlignment="0" applyProtection="0"/>
    <xf numFmtId="0" fontId="114" fillId="79" borderId="141" applyNumberFormat="0" applyAlignment="0" applyProtection="0"/>
    <xf numFmtId="0" fontId="114" fillId="79" borderId="141" applyNumberFormat="0" applyAlignment="0" applyProtection="0"/>
    <xf numFmtId="4" fontId="47" fillId="45" borderId="142" applyNumberFormat="0" applyProtection="0">
      <alignment horizontal="right" vertical="center"/>
    </xf>
    <xf numFmtId="0" fontId="18" fillId="54" borderId="142" applyNumberFormat="0" applyProtection="0">
      <alignment horizontal="left" vertical="top" indent="1"/>
    </xf>
    <xf numFmtId="0" fontId="110" fillId="77" borderId="149" applyNumberFormat="0" applyAlignment="0" applyProtection="0"/>
    <xf numFmtId="0" fontId="18" fillId="51" borderId="142" applyNumberFormat="0" applyProtection="0">
      <alignment horizontal="left" vertical="center" indent="1"/>
    </xf>
    <xf numFmtId="0" fontId="18" fillId="76" borderId="151" applyNumberFormat="0" applyFont="0" applyAlignment="0" applyProtection="0"/>
    <xf numFmtId="4" fontId="47" fillId="40" borderId="142" applyNumberFormat="0" applyProtection="0">
      <alignment horizontal="right" vertical="center"/>
    </xf>
    <xf numFmtId="0" fontId="27" fillId="38" borderId="142" applyNumberFormat="0" applyProtection="0">
      <alignment horizontal="left" vertical="top" indent="1"/>
    </xf>
    <xf numFmtId="0" fontId="18" fillId="49" borderId="142" applyNumberFormat="0" applyProtection="0">
      <alignment horizontal="left" vertical="top" indent="1"/>
    </xf>
    <xf numFmtId="4" fontId="46" fillId="38" borderId="142" applyNumberFormat="0" applyProtection="0">
      <alignment vertical="center"/>
    </xf>
    <xf numFmtId="0" fontId="18" fillId="51" borderId="142" applyNumberFormat="0" applyProtection="0">
      <alignment horizontal="left" vertical="top" indent="1"/>
    </xf>
    <xf numFmtId="4" fontId="47" fillId="59" borderId="142" applyNumberFormat="0" applyProtection="0">
      <alignment horizontal="left" vertical="center" indent="1"/>
    </xf>
    <xf numFmtId="4" fontId="47" fillId="44" borderId="142" applyNumberFormat="0" applyProtection="0">
      <alignment horizontal="right" vertical="center"/>
    </xf>
    <xf numFmtId="0" fontId="105" fillId="0" borderId="146" applyNumberFormat="0" applyFill="0" applyAlignment="0" applyProtection="0"/>
    <xf numFmtId="0" fontId="18" fillId="84" borderId="142" applyNumberFormat="0" applyProtection="0">
      <alignment horizontal="left" vertical="center" indent="1"/>
    </xf>
    <xf numFmtId="0" fontId="18" fillId="55" borderId="142" applyNumberFormat="0" applyProtection="0">
      <alignment horizontal="left" vertical="top" indent="1"/>
    </xf>
    <xf numFmtId="4" fontId="47" fillId="45" borderId="142" applyNumberFormat="0" applyProtection="0">
      <alignment horizontal="right" vertical="center"/>
    </xf>
    <xf numFmtId="4" fontId="47" fillId="0" borderId="142"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42" applyNumberFormat="0" applyProtection="0">
      <alignment horizontal="left" vertical="top" indent="1"/>
    </xf>
    <xf numFmtId="0" fontId="18" fillId="76" borderId="151"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center" indent="1"/>
    </xf>
    <xf numFmtId="4" fontId="47" fillId="40" borderId="142" applyNumberFormat="0" applyProtection="0">
      <alignment horizontal="right" vertical="center"/>
    </xf>
    <xf numFmtId="4" fontId="47" fillId="35" borderId="142" applyNumberFormat="0" applyProtection="0">
      <alignment horizontal="left" vertical="center" indent="1"/>
    </xf>
    <xf numFmtId="0" fontId="105" fillId="0" borderId="146" applyNumberFormat="0" applyFill="0" applyAlignment="0" applyProtection="0"/>
    <xf numFmtId="0" fontId="18" fillId="84" borderId="142" applyNumberFormat="0" applyProtection="0">
      <alignment horizontal="left" vertical="top" indent="1"/>
    </xf>
    <xf numFmtId="4" fontId="47" fillId="0" borderId="142" applyNumberFormat="0" applyProtection="0">
      <alignment horizontal="left" vertical="center" indent="1"/>
    </xf>
    <xf numFmtId="0" fontId="18" fillId="85" borderId="142" applyNumberFormat="0" applyProtection="0">
      <alignment horizontal="left" vertical="center" indent="1"/>
    </xf>
    <xf numFmtId="0" fontId="18" fillId="51" borderId="142" applyNumberFormat="0" applyProtection="0">
      <alignment horizontal="left" vertical="top" indent="1"/>
    </xf>
    <xf numFmtId="4" fontId="51" fillId="35" borderId="142" applyNumberFormat="0" applyProtection="0">
      <alignment vertical="center"/>
    </xf>
    <xf numFmtId="4" fontId="47" fillId="45" borderId="142" applyNumberFormat="0" applyProtection="0">
      <alignment horizontal="right" vertical="center"/>
    </xf>
    <xf numFmtId="0" fontId="18" fillId="55" borderId="142" applyNumberFormat="0" applyProtection="0">
      <alignment horizontal="left" vertical="top" indent="1"/>
    </xf>
    <xf numFmtId="0" fontId="102" fillId="79" borderId="149" applyNumberFormat="0" applyAlignment="0" applyProtection="0"/>
    <xf numFmtId="0" fontId="63" fillId="59" borderId="148" applyNumberFormat="0" applyFont="0" applyFill="0" applyAlignment="0" applyProtection="0">
      <protection locked="0"/>
    </xf>
    <xf numFmtId="0" fontId="18" fillId="49" borderId="142" applyNumberFormat="0" applyProtection="0">
      <alignment horizontal="left" vertical="center" indent="1"/>
    </xf>
    <xf numFmtId="0" fontId="105" fillId="0" borderId="146" applyNumberFormat="0" applyFill="0" applyAlignment="0" applyProtection="0"/>
    <xf numFmtId="0" fontId="47" fillId="34" borderId="142" applyNumberFormat="0" applyProtection="0">
      <alignment horizontal="left" vertical="top"/>
    </xf>
    <xf numFmtId="4" fontId="27" fillId="34" borderId="142" applyNumberFormat="0" applyProtection="0"/>
    <xf numFmtId="4" fontId="27" fillId="34" borderId="142" applyNumberFormat="0" applyProtection="0"/>
    <xf numFmtId="0" fontId="114" fillId="79" borderId="141" applyNumberFormat="0" applyAlignment="0" applyProtection="0"/>
    <xf numFmtId="0" fontId="18" fillId="54" borderId="142" applyNumberFormat="0" applyProtection="0">
      <alignment horizontal="left" vertical="center" indent="1"/>
    </xf>
    <xf numFmtId="0" fontId="18" fillId="34"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right" vertical="center"/>
    </xf>
    <xf numFmtId="0" fontId="47" fillId="34" borderId="142" applyNumberFormat="0" applyProtection="0">
      <alignment horizontal="center" vertical="top"/>
    </xf>
    <xf numFmtId="4" fontId="47" fillId="41" borderId="142" applyNumberFormat="0" applyProtection="0">
      <alignment horizontal="right" vertical="center"/>
    </xf>
    <xf numFmtId="4" fontId="47" fillId="35" borderId="142" applyNumberFormat="0" applyProtection="0">
      <alignment horizontal="left" vertical="center" indent="1"/>
    </xf>
    <xf numFmtId="0" fontId="18" fillId="76" borderId="151" applyNumberFormat="0" applyFont="0" applyAlignment="0" applyProtection="0"/>
    <xf numFmtId="0" fontId="18" fillId="50" borderId="142" applyNumberFormat="0" applyProtection="0">
      <alignment horizontal="left" vertical="top" indent="1"/>
    </xf>
    <xf numFmtId="0" fontId="114" fillId="79" borderId="141" applyNumberFormat="0" applyAlignment="0" applyProtection="0"/>
    <xf numFmtId="4" fontId="27" fillId="38" borderId="142" applyNumberFormat="0" applyProtection="0">
      <alignment horizontal="left" vertical="center" indent="1"/>
    </xf>
    <xf numFmtId="0" fontId="105" fillId="0" borderId="146" applyNumberFormat="0" applyFill="0" applyAlignment="0" applyProtection="0"/>
    <xf numFmtId="4" fontId="27" fillId="38" borderId="142" applyNumberFormat="0" applyProtection="0">
      <alignment horizontal="left" vertical="center" indent="1"/>
    </xf>
    <xf numFmtId="0" fontId="18" fillId="34" borderId="142" applyNumberFormat="0" applyProtection="0">
      <alignment horizontal="left" vertical="center" indent="1"/>
    </xf>
    <xf numFmtId="4" fontId="27" fillId="34" borderId="142" applyNumberFormat="0" applyProtection="0"/>
    <xf numFmtId="0" fontId="102" fillId="79" borderId="161" applyNumberFormat="0" applyAlignment="0" applyProtection="0"/>
    <xf numFmtId="0" fontId="110" fillId="77" borderId="161"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49" applyNumberForma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63" fillId="59" borderId="148" applyNumberFormat="0" applyFont="0" applyFill="0" applyAlignment="0" applyProtection="0">
      <protection locked="0"/>
    </xf>
    <xf numFmtId="0" fontId="18" fillId="50" borderId="142" applyNumberFormat="0" applyProtection="0">
      <alignment horizontal="left" vertical="top" indent="1"/>
    </xf>
    <xf numFmtId="0" fontId="18" fillId="76" borderId="151" applyNumberFormat="0" applyFont="0" applyAlignment="0" applyProtection="0"/>
    <xf numFmtId="0" fontId="102" fillId="79" borderId="149" applyNumberFormat="0" applyAlignment="0" applyProtection="0"/>
    <xf numFmtId="0" fontId="18" fillId="49" borderId="142" applyNumberFormat="0" applyProtection="0">
      <alignment horizontal="left" vertical="center" indent="1"/>
    </xf>
    <xf numFmtId="0" fontId="110" fillId="77" borderId="149" applyNumberFormat="0" applyAlignment="0" applyProtection="0"/>
    <xf numFmtId="0" fontId="18" fillId="84" borderId="142" applyNumberFormat="0" applyProtection="0">
      <alignment horizontal="left" vertical="top" indent="1"/>
    </xf>
    <xf numFmtId="4" fontId="47" fillId="35" borderId="142" applyNumberFormat="0" applyProtection="0">
      <alignment horizontal="left" vertical="center" indent="1"/>
    </xf>
    <xf numFmtId="4" fontId="27" fillId="34" borderId="142" applyNumberFormat="0" applyProtection="0"/>
    <xf numFmtId="0" fontId="18" fillId="34" borderId="142" applyNumberFormat="0" applyProtection="0">
      <alignment horizontal="left" vertical="top" indent="1"/>
    </xf>
    <xf numFmtId="0" fontId="18" fillId="49" borderId="142" applyNumberFormat="0" applyProtection="0">
      <alignment horizontal="left" vertical="center" indent="1"/>
    </xf>
    <xf numFmtId="0" fontId="18" fillId="85" borderId="142" applyNumberFormat="0" applyProtection="0">
      <alignment horizontal="left" vertical="center" indent="1"/>
    </xf>
    <xf numFmtId="4" fontId="47" fillId="0" borderId="142" applyNumberFormat="0" applyProtection="0">
      <alignment horizontal="right" vertical="center"/>
    </xf>
    <xf numFmtId="0" fontId="18" fillId="51" borderId="142" applyNumberFormat="0" applyProtection="0">
      <alignment horizontal="left" vertical="top" indent="1"/>
    </xf>
    <xf numFmtId="0" fontId="110" fillId="77" borderId="149" applyNumberFormat="0" applyAlignment="0" applyProtection="0"/>
    <xf numFmtId="0" fontId="18" fillId="76" borderId="151" applyNumberFormat="0" applyFont="0" applyAlignment="0" applyProtection="0"/>
    <xf numFmtId="0" fontId="105" fillId="0" borderId="146" applyNumberFormat="0" applyFill="0" applyAlignment="0" applyProtection="0"/>
    <xf numFmtId="0" fontId="18" fillId="50" borderId="142" applyNumberFormat="0" applyProtection="0">
      <alignment horizontal="left" vertical="center" indent="1"/>
    </xf>
    <xf numFmtId="0" fontId="114" fillId="79" borderId="141" applyNumberFormat="0" applyAlignment="0" applyProtection="0"/>
    <xf numFmtId="0" fontId="114" fillId="79" borderId="141" applyNumberFormat="0" applyAlignment="0" applyProtection="0"/>
    <xf numFmtId="0" fontId="105" fillId="0" borderId="146" applyNumberFormat="0" applyFill="0" applyAlignment="0" applyProtection="0"/>
    <xf numFmtId="0" fontId="105" fillId="0" borderId="146" applyNumberFormat="0" applyFill="0" applyAlignment="0" applyProtection="0"/>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8" borderId="142" applyNumberFormat="0" applyProtection="0">
      <alignment horizontal="left" vertical="center" indent="1"/>
    </xf>
    <xf numFmtId="0" fontId="110" fillId="77" borderId="149" applyNumberFormat="0" applyAlignment="0" applyProtection="0"/>
    <xf numFmtId="0" fontId="18" fillId="51" borderId="142" applyNumberFormat="0" applyProtection="0">
      <alignment horizontal="left" vertical="top" indent="1"/>
    </xf>
    <xf numFmtId="4" fontId="51" fillId="49" borderId="142" applyNumberFormat="0" applyProtection="0">
      <alignment horizontal="right" vertical="center"/>
    </xf>
    <xf numFmtId="0" fontId="18" fillId="76" borderId="162" applyNumberFormat="0" applyFont="0" applyAlignment="0" applyProtection="0"/>
    <xf numFmtId="0" fontId="18" fillId="34" borderId="142" applyNumberFormat="0" applyProtection="0">
      <alignment horizontal="left" vertical="center" indent="1"/>
    </xf>
    <xf numFmtId="0" fontId="18" fillId="54" borderId="142" applyNumberFormat="0" applyProtection="0">
      <alignment horizontal="left" vertical="top" indent="1"/>
    </xf>
    <xf numFmtId="4" fontId="27" fillId="34" borderId="142" applyNumberFormat="0" applyProtection="0"/>
    <xf numFmtId="0" fontId="26" fillId="0" borderId="150">
      <alignment horizontal="left" vertical="center"/>
    </xf>
    <xf numFmtId="0" fontId="26" fillId="0" borderId="32">
      <alignment horizontal="left" vertical="center"/>
    </xf>
    <xf numFmtId="0" fontId="114" fillId="79" borderId="141" applyNumberFormat="0" applyAlignment="0" applyProtection="0"/>
    <xf numFmtId="4" fontId="27" fillId="38" borderId="142" applyNumberFormat="0" applyProtection="0">
      <alignment horizontal="left" vertical="center" indent="1"/>
    </xf>
    <xf numFmtId="0" fontId="18" fillId="51" borderId="142" applyNumberFormat="0" applyProtection="0">
      <alignment horizontal="left" vertical="top" indent="1"/>
    </xf>
    <xf numFmtId="0" fontId="18" fillId="85" borderId="142" applyNumberFormat="0" applyProtection="0">
      <alignment horizontal="left" vertical="top" indent="1"/>
    </xf>
    <xf numFmtId="0" fontId="18" fillId="49" borderId="142" applyNumberFormat="0" applyProtection="0">
      <alignment horizontal="left" vertical="center" indent="1"/>
    </xf>
    <xf numFmtId="4" fontId="47" fillId="47" borderId="142" applyNumberFormat="0" applyProtection="0">
      <alignment horizontal="right" vertical="center"/>
    </xf>
    <xf numFmtId="0" fontId="110" fillId="77" borderId="149" applyNumberFormat="0" applyAlignment="0" applyProtection="0"/>
    <xf numFmtId="4" fontId="47" fillId="44" borderId="142" applyNumberFormat="0" applyProtection="0">
      <alignment horizontal="right" vertical="center"/>
    </xf>
    <xf numFmtId="0" fontId="18" fillId="51" borderId="142" applyNumberFormat="0" applyProtection="0">
      <alignment horizontal="left" vertical="top" indent="1"/>
    </xf>
    <xf numFmtId="0" fontId="18" fillId="76" borderId="151" applyNumberFormat="0" applyFont="0" applyAlignment="0" applyProtection="0"/>
    <xf numFmtId="4" fontId="47" fillId="39" borderId="142" applyNumberFormat="0" applyProtection="0">
      <alignment horizontal="right" vertical="center"/>
    </xf>
    <xf numFmtId="4" fontId="47" fillId="0" borderId="142" applyNumberFormat="0" applyProtection="0">
      <alignment horizontal="right" vertical="center"/>
    </xf>
    <xf numFmtId="0" fontId="18" fillId="76" borderId="151" applyNumberFormat="0" applyFont="0" applyAlignment="0" applyProtection="0"/>
    <xf numFmtId="4" fontId="47" fillId="0" borderId="142" applyNumberFormat="0" applyProtection="0">
      <alignment horizontal="right" vertical="center"/>
    </xf>
    <xf numFmtId="4" fontId="47" fillId="35" borderId="142" applyNumberFormat="0" applyProtection="0">
      <alignment vertical="center"/>
    </xf>
    <xf numFmtId="4" fontId="47" fillId="39" borderId="142" applyNumberFormat="0" applyProtection="0">
      <alignment horizontal="right" vertical="center"/>
    </xf>
    <xf numFmtId="0" fontId="18" fillId="84"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4" fontId="46" fillId="38" borderId="142" applyNumberFormat="0" applyProtection="0">
      <alignment vertical="center"/>
    </xf>
    <xf numFmtId="0" fontId="18" fillId="54" borderId="142" applyNumberFormat="0" applyProtection="0">
      <alignment horizontal="left" vertical="center" indent="1"/>
    </xf>
    <xf numFmtId="0" fontId="18" fillId="85" borderId="142" applyNumberFormat="0" applyProtection="0">
      <alignment horizontal="left" vertical="center" indent="1"/>
    </xf>
    <xf numFmtId="0" fontId="63" fillId="59" borderId="148" applyNumberFormat="0" applyFont="0" applyFill="0" applyAlignment="0" applyProtection="0">
      <protection locked="0"/>
    </xf>
    <xf numFmtId="0" fontId="105" fillId="0" borderId="146" applyNumberFormat="0" applyFill="0" applyAlignment="0" applyProtection="0"/>
    <xf numFmtId="4" fontId="27" fillId="37" borderId="142" applyNumberFormat="0" applyProtection="0">
      <alignment vertical="center"/>
    </xf>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0" fontId="47" fillId="34" borderId="142" applyNumberFormat="0" applyProtection="0">
      <alignment horizontal="left" vertical="top"/>
    </xf>
    <xf numFmtId="0" fontId="18" fillId="76" borderId="162" applyNumberFormat="0" applyFont="0" applyAlignment="0" applyProtection="0"/>
    <xf numFmtId="0" fontId="18" fillId="55" borderId="142" applyNumberFormat="0" applyProtection="0">
      <alignment horizontal="left" vertical="top" indent="1"/>
    </xf>
    <xf numFmtId="4" fontId="47" fillId="39" borderId="142" applyNumberFormat="0" applyProtection="0">
      <alignment horizontal="right" vertical="center"/>
    </xf>
    <xf numFmtId="0" fontId="114" fillId="79" borderId="141" applyNumberFormat="0" applyAlignment="0" applyProtection="0"/>
    <xf numFmtId="0" fontId="18" fillId="85" borderId="142" applyNumberFormat="0" applyProtection="0">
      <alignment horizontal="left" vertical="center" indent="1"/>
    </xf>
    <xf numFmtId="0" fontId="18" fillId="34" borderId="142" applyNumberFormat="0" applyProtection="0">
      <alignment horizontal="left" vertical="top" indent="1"/>
    </xf>
    <xf numFmtId="0" fontId="102" fillId="79" borderId="149" applyNumberFormat="0" applyAlignment="0" applyProtection="0"/>
    <xf numFmtId="0" fontId="18" fillId="54" borderId="142" applyNumberFormat="0" applyProtection="0">
      <alignment horizontal="left" vertical="top" indent="1"/>
    </xf>
    <xf numFmtId="0" fontId="18" fillId="51" borderId="142" applyNumberFormat="0" applyProtection="0">
      <alignment horizontal="left" vertical="center" indent="1"/>
    </xf>
    <xf numFmtId="0" fontId="18" fillId="76" borderId="151" applyNumberFormat="0" applyFont="0" applyAlignment="0" applyProtection="0"/>
    <xf numFmtId="0" fontId="102" fillId="79" borderId="149" applyNumberFormat="0" applyAlignment="0" applyProtection="0"/>
    <xf numFmtId="0" fontId="18" fillId="55" borderId="142" applyNumberFormat="0" applyProtection="0">
      <alignment horizontal="left" vertical="top" indent="1"/>
    </xf>
    <xf numFmtId="0" fontId="102" fillId="79" borderId="149" applyNumberFormat="0" applyAlignment="0" applyProtection="0"/>
    <xf numFmtId="4" fontId="27" fillId="37" borderId="142" applyNumberFormat="0" applyProtection="0">
      <alignment vertical="center"/>
    </xf>
    <xf numFmtId="0" fontId="102" fillId="79" borderId="149" applyNumberFormat="0" applyAlignment="0" applyProtection="0"/>
    <xf numFmtId="0" fontId="18" fillId="51" borderId="142" applyNumberFormat="0" applyProtection="0">
      <alignment horizontal="left" vertical="top" indent="1"/>
    </xf>
    <xf numFmtId="0" fontId="105" fillId="0" borderId="146" applyNumberFormat="0" applyFill="0" applyAlignment="0" applyProtection="0"/>
    <xf numFmtId="4" fontId="47" fillId="43" borderId="142" applyNumberFormat="0" applyProtection="0">
      <alignment horizontal="right" vertical="center"/>
    </xf>
    <xf numFmtId="0" fontId="18" fillId="85" borderId="142" applyNumberFormat="0" applyProtection="0">
      <alignment horizontal="left" vertical="top" indent="1"/>
    </xf>
    <xf numFmtId="0" fontId="18" fillId="34" borderId="142" applyNumberFormat="0" applyProtection="0">
      <alignment horizontal="left" vertical="top" indent="1"/>
    </xf>
    <xf numFmtId="0" fontId="18" fillId="50" borderId="142" applyNumberFormat="0" applyProtection="0">
      <alignment horizontal="left" vertical="center" indent="1"/>
    </xf>
    <xf numFmtId="4" fontId="47" fillId="47" borderId="142" applyNumberFormat="0" applyProtection="0">
      <alignment horizontal="right" vertical="center"/>
    </xf>
    <xf numFmtId="0" fontId="18" fillId="55" borderId="142" applyNumberFormat="0" applyProtection="0">
      <alignment horizontal="left" vertical="center"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0" fontId="18" fillId="54" borderId="142" applyNumberFormat="0" applyProtection="0">
      <alignment horizontal="left" vertical="top" indent="1"/>
    </xf>
    <xf numFmtId="0" fontId="18" fillId="5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4" borderId="142" applyNumberFormat="0" applyProtection="0">
      <alignment horizontal="left" vertical="center" indent="1"/>
    </xf>
    <xf numFmtId="4" fontId="27" fillId="34" borderId="142" applyNumberFormat="0" applyProtection="0"/>
    <xf numFmtId="0" fontId="114" fillId="79" borderId="163" applyNumberFormat="0" applyAlignment="0" applyProtection="0"/>
    <xf numFmtId="4" fontId="47" fillId="39" borderId="142" applyNumberFormat="0" applyProtection="0">
      <alignment horizontal="right" vertical="center"/>
    </xf>
    <xf numFmtId="0" fontId="18" fillId="34"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0" fontId="47" fillId="34" borderId="142" applyNumberFormat="0" applyProtection="0">
      <alignment horizontal="left" vertical="top"/>
    </xf>
    <xf numFmtId="4" fontId="27" fillId="38" borderId="142" applyNumberFormat="0" applyProtection="0">
      <alignment horizontal="left" vertical="center" indent="1"/>
    </xf>
    <xf numFmtId="4" fontId="47" fillId="0" borderId="142" applyNumberFormat="0" applyProtection="0">
      <alignment horizontal="left" vertical="center" indent="1"/>
    </xf>
    <xf numFmtId="0" fontId="18" fillId="55" borderId="142" applyNumberFormat="0" applyProtection="0">
      <alignment horizontal="left" vertical="center" indent="1"/>
    </xf>
    <xf numFmtId="0" fontId="18" fillId="76" borderId="151" applyNumberFormat="0" applyFont="0" applyAlignment="0" applyProtection="0"/>
    <xf numFmtId="0" fontId="18" fillId="55" borderId="142" applyNumberFormat="0" applyProtection="0">
      <alignment horizontal="left" vertical="top" indent="1"/>
    </xf>
    <xf numFmtId="0" fontId="105" fillId="0" borderId="146" applyNumberFormat="0" applyFill="0" applyAlignment="0" applyProtection="0"/>
    <xf numFmtId="0" fontId="18" fillId="55" borderId="142" applyNumberFormat="0" applyProtection="0">
      <alignment horizontal="left" vertical="top" indent="1"/>
    </xf>
    <xf numFmtId="4" fontId="47" fillId="35" borderId="142" applyNumberFormat="0" applyProtection="0">
      <alignment horizontal="left" vertical="center" indent="1"/>
    </xf>
    <xf numFmtId="4" fontId="27" fillId="38" borderId="142" applyNumberFormat="0" applyProtection="0">
      <alignment horizontal="left" vertical="center" indent="1"/>
    </xf>
    <xf numFmtId="0" fontId="114" fillId="79" borderId="141" applyNumberFormat="0" applyAlignment="0" applyProtection="0"/>
    <xf numFmtId="0" fontId="18" fillId="55" borderId="142" applyNumberFormat="0" applyProtection="0">
      <alignment horizontal="left" vertical="center" indent="1"/>
    </xf>
    <xf numFmtId="0" fontId="18" fillId="54" borderId="142" applyNumberFormat="0" applyProtection="0">
      <alignment horizontal="left" vertical="top" indent="1"/>
    </xf>
    <xf numFmtId="4" fontId="51" fillId="35" borderId="142" applyNumberFormat="0" applyProtection="0">
      <alignment vertical="center"/>
    </xf>
    <xf numFmtId="4" fontId="25" fillId="49" borderId="142" applyNumberFormat="0" applyProtection="0">
      <alignment horizontal="right" vertical="center"/>
    </xf>
    <xf numFmtId="0" fontId="27" fillId="38" borderId="142" applyNumberFormat="0" applyProtection="0">
      <alignment horizontal="left" vertical="top" indent="1"/>
    </xf>
    <xf numFmtId="0" fontId="18" fillId="50" borderId="142" applyNumberFormat="0" applyProtection="0">
      <alignment horizontal="left" vertical="center" indent="1"/>
    </xf>
    <xf numFmtId="0" fontId="114" fillId="79" borderId="141" applyNumberFormat="0" applyAlignment="0" applyProtection="0"/>
    <xf numFmtId="4" fontId="47" fillId="0" borderId="142" applyNumberFormat="0" applyProtection="0">
      <alignment horizontal="right" vertical="center"/>
    </xf>
    <xf numFmtId="0" fontId="18" fillId="34" borderId="142" applyNumberFormat="0" applyProtection="0">
      <alignment horizontal="left" vertical="top" indent="1"/>
    </xf>
    <xf numFmtId="0" fontId="18" fillId="84" borderId="142" applyNumberFormat="0" applyProtection="0">
      <alignment horizontal="left" vertical="center" indent="1"/>
    </xf>
    <xf numFmtId="0" fontId="105" fillId="0" borderId="146" applyNumberFormat="0" applyFill="0" applyAlignment="0" applyProtection="0"/>
    <xf numFmtId="0" fontId="18" fillId="50" borderId="142" applyNumberFormat="0" applyProtection="0">
      <alignment horizontal="left" vertical="top" indent="1"/>
    </xf>
    <xf numFmtId="0" fontId="110" fillId="77" borderId="149" applyNumberFormat="0" applyAlignment="0" applyProtection="0"/>
    <xf numFmtId="4" fontId="27" fillId="38" borderId="142" applyNumberFormat="0" applyProtection="0">
      <alignment horizontal="left" vertical="center" indent="1"/>
    </xf>
    <xf numFmtId="4" fontId="47" fillId="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top" indent="1"/>
    </xf>
    <xf numFmtId="4" fontId="25" fillId="49" borderId="142" applyNumberFormat="0" applyProtection="0">
      <alignment horizontal="right" vertical="center"/>
    </xf>
    <xf numFmtId="0" fontId="110" fillId="77" borderId="149" applyNumberFormat="0" applyAlignment="0" applyProtection="0"/>
    <xf numFmtId="0" fontId="18" fillId="49" borderId="142" applyNumberFormat="0" applyProtection="0">
      <alignment horizontal="left" vertical="top" indent="1"/>
    </xf>
    <xf numFmtId="0" fontId="18" fillId="84" borderId="142" applyNumberFormat="0" applyProtection="0">
      <alignment horizontal="left" vertical="top" indent="1"/>
    </xf>
    <xf numFmtId="4" fontId="47" fillId="41" borderId="142" applyNumberFormat="0" applyProtection="0">
      <alignment horizontal="right" vertical="center"/>
    </xf>
    <xf numFmtId="4" fontId="47" fillId="0" borderId="142" applyNumberFormat="0" applyProtection="0">
      <alignment horizontal="right" vertical="center"/>
    </xf>
    <xf numFmtId="0" fontId="114" fillId="79" borderId="141" applyNumberFormat="0" applyAlignment="0" applyProtection="0"/>
    <xf numFmtId="0" fontId="105" fillId="0" borderId="146" applyNumberFormat="0" applyFill="0" applyAlignment="0" applyProtection="0"/>
    <xf numFmtId="4" fontId="47" fillId="46" borderId="142" applyNumberFormat="0" applyProtection="0">
      <alignment horizontal="right" vertical="center"/>
    </xf>
    <xf numFmtId="0" fontId="18" fillId="76" borderId="151" applyNumberFormat="0" applyFont="0" applyAlignment="0" applyProtection="0"/>
    <xf numFmtId="0" fontId="47" fillId="34" borderId="142" applyNumberFormat="0" applyProtection="0">
      <alignment horizontal="left" vertical="top"/>
    </xf>
    <xf numFmtId="4" fontId="47" fillId="46" borderId="142" applyNumberFormat="0" applyProtection="0">
      <alignment horizontal="right" vertical="center"/>
    </xf>
    <xf numFmtId="0" fontId="18" fillId="55" borderId="142" applyNumberFormat="0" applyProtection="0">
      <alignment horizontal="left" vertical="top" indent="1"/>
    </xf>
    <xf numFmtId="0" fontId="18" fillId="51" borderId="142" applyNumberFormat="0" applyProtection="0">
      <alignment horizontal="left" vertical="center" indent="1"/>
    </xf>
    <xf numFmtId="4" fontId="27" fillId="34" borderId="142" applyNumberFormat="0" applyProtection="0"/>
    <xf numFmtId="4" fontId="47" fillId="47" borderId="142" applyNumberFormat="0" applyProtection="0">
      <alignment horizontal="right" vertical="center"/>
    </xf>
    <xf numFmtId="0" fontId="27" fillId="38"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0" fontId="47" fillId="34" borderId="142" applyNumberFormat="0" applyProtection="0">
      <alignment horizontal="left" vertical="top"/>
    </xf>
    <xf numFmtId="0" fontId="27" fillId="38" borderId="142" applyNumberFormat="0" applyProtection="0">
      <alignment horizontal="left" vertical="top" indent="1"/>
    </xf>
    <xf numFmtId="0" fontId="114" fillId="79" borderId="141" applyNumberFormat="0" applyAlignment="0" applyProtection="0"/>
    <xf numFmtId="0" fontId="18" fillId="55" borderId="142" applyNumberFormat="0" applyProtection="0">
      <alignment horizontal="left" vertical="center" indent="1"/>
    </xf>
    <xf numFmtId="4" fontId="27" fillId="34" borderId="143" applyNumberFormat="0" applyProtection="0">
      <alignment vertical="center"/>
    </xf>
    <xf numFmtId="4" fontId="47" fillId="0" borderId="142" applyNumberFormat="0" applyProtection="0">
      <alignment horizontal="right" vertical="center"/>
    </xf>
    <xf numFmtId="0" fontId="18" fillId="76" borderId="151" applyNumberFormat="0" applyFont="0" applyAlignment="0" applyProtection="0"/>
    <xf numFmtId="4" fontId="47" fillId="42" borderId="142" applyNumberFormat="0" applyProtection="0">
      <alignment horizontal="right" vertical="center"/>
    </xf>
    <xf numFmtId="0" fontId="18" fillId="84" borderId="142" applyNumberFormat="0" applyProtection="0">
      <alignment horizontal="left" vertical="center" indent="1"/>
    </xf>
    <xf numFmtId="0" fontId="114" fillId="79" borderId="163" applyNumberFormat="0" applyAlignment="0" applyProtection="0"/>
    <xf numFmtId="4" fontId="27" fillId="34" borderId="142" applyNumberForma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4" fontId="47" fillId="40" borderId="142" applyNumberFormat="0" applyProtection="0">
      <alignment horizontal="right" vertical="center"/>
    </xf>
    <xf numFmtId="4" fontId="46" fillId="38" borderId="142" applyNumberFormat="0" applyProtection="0">
      <alignment vertical="center"/>
    </xf>
    <xf numFmtId="4" fontId="47" fillId="0" borderId="142" applyNumberFormat="0" applyProtection="0">
      <alignment horizontal="left" vertical="center" indent="1"/>
    </xf>
    <xf numFmtId="4" fontId="47" fillId="0" borderId="142" applyNumberFormat="0" applyProtection="0">
      <alignment horizontal="right" vertical="center"/>
    </xf>
    <xf numFmtId="4" fontId="47" fillId="44" borderId="142" applyNumberFormat="0" applyProtection="0">
      <alignment horizontal="right" vertical="center"/>
    </xf>
    <xf numFmtId="0" fontId="18" fillId="49" borderId="142" applyNumberFormat="0" applyProtection="0">
      <alignment horizontal="left" vertical="top" indent="1"/>
    </xf>
    <xf numFmtId="0" fontId="18" fillId="76" borderId="151" applyNumberFormat="0" applyFont="0" applyAlignment="0" applyProtection="0"/>
    <xf numFmtId="0" fontId="18" fillId="34" borderId="142" applyNumberFormat="0" applyProtection="0">
      <alignment horizontal="left" vertical="center" indent="1"/>
    </xf>
    <xf numFmtId="4" fontId="27" fillId="38" borderId="142" applyNumberFormat="0" applyProtection="0">
      <alignment horizontal="left" vertical="center" indent="1"/>
    </xf>
    <xf numFmtId="4" fontId="51" fillId="49" borderId="142" applyNumberFormat="0" applyProtection="0">
      <alignment horizontal="right" vertical="center"/>
    </xf>
    <xf numFmtId="0" fontId="18" fillId="76" borderId="151" applyNumberFormat="0" applyFont="0" applyAlignment="0" applyProtection="0"/>
    <xf numFmtId="0" fontId="18" fillId="34" borderId="142" applyNumberFormat="0" applyProtection="0">
      <alignment horizontal="left" vertical="center" indent="1"/>
    </xf>
    <xf numFmtId="0" fontId="18" fillId="54" borderId="142" applyNumberFormat="0" applyProtection="0">
      <alignment horizontal="left" vertical="center" indent="1"/>
    </xf>
    <xf numFmtId="0" fontId="114" fillId="79" borderId="141" applyNumberFormat="0" applyAlignment="0" applyProtection="0"/>
    <xf numFmtId="0" fontId="18" fillId="49" borderId="142" applyNumberFormat="0" applyProtection="0">
      <alignment horizontal="left" vertical="top" indent="1"/>
    </xf>
    <xf numFmtId="4" fontId="47" fillId="59" borderId="142" applyNumberFormat="0" applyProtection="0">
      <alignment horizontal="left" vertical="center" indent="1"/>
    </xf>
    <xf numFmtId="4" fontId="46" fillId="38" borderId="142" applyNumberFormat="0" applyProtection="0">
      <alignment vertical="center"/>
    </xf>
    <xf numFmtId="0" fontId="102" fillId="79" borderId="149" applyNumberFormat="0" applyAlignment="0" applyProtection="0"/>
    <xf numFmtId="0" fontId="114" fillId="79" borderId="141" applyNumberFormat="0" applyAlignment="0" applyProtection="0"/>
    <xf numFmtId="0" fontId="18" fillId="34" borderId="142" applyNumberFormat="0" applyProtection="0">
      <alignment horizontal="left" vertical="top" indent="1"/>
    </xf>
    <xf numFmtId="4" fontId="47" fillId="42" borderId="142" applyNumberFormat="0" applyProtection="0">
      <alignment horizontal="right" vertical="center"/>
    </xf>
    <xf numFmtId="0" fontId="18" fillId="50" borderId="142" applyNumberFormat="0" applyProtection="0">
      <alignment horizontal="left" vertical="top" indent="1"/>
    </xf>
    <xf numFmtId="4" fontId="47" fillId="0" borderId="142" applyNumberFormat="0" applyProtection="0">
      <alignment horizontal="right" vertical="center"/>
    </xf>
    <xf numFmtId="0" fontId="110" fillId="77" borderId="149" applyNumberFormat="0" applyAlignment="0" applyProtection="0"/>
    <xf numFmtId="0" fontId="24" fillId="59" borderId="148" applyNumberFormat="0" applyFont="0" applyAlignment="0" applyProtection="0">
      <protection locked="0"/>
    </xf>
    <xf numFmtId="0" fontId="18" fillId="34" borderId="142" applyNumberFormat="0" applyProtection="0">
      <alignment horizontal="left" vertical="top" indent="1"/>
    </xf>
    <xf numFmtId="0" fontId="18" fillId="34" borderId="142" applyNumberFormat="0" applyProtection="0">
      <alignment horizontal="left" vertical="center" indent="1"/>
    </xf>
    <xf numFmtId="0" fontId="18" fillId="76" borderId="151" applyNumberFormat="0" applyFont="0" applyAlignment="0" applyProtection="0"/>
    <xf numFmtId="4" fontId="27" fillId="37" borderId="142" applyNumberFormat="0" applyProtection="0">
      <alignment vertical="center"/>
    </xf>
    <xf numFmtId="4" fontId="47" fillId="0" borderId="142" applyNumberFormat="0" applyProtection="0">
      <alignment horizontal="right" vertical="center"/>
    </xf>
    <xf numFmtId="0" fontId="18" fillId="76" borderId="151" applyNumberFormat="0" applyFont="0" applyAlignment="0" applyProtection="0"/>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4" fontId="47" fillId="35" borderId="142" applyNumberFormat="0" applyProtection="0">
      <alignment vertical="center"/>
    </xf>
    <xf numFmtId="0" fontId="18" fillId="50" borderId="142" applyNumberFormat="0" applyProtection="0">
      <alignment horizontal="left" vertical="center" indent="1"/>
    </xf>
    <xf numFmtId="4" fontId="46" fillId="38" borderId="142" applyNumberFormat="0" applyProtection="0">
      <alignment vertical="center"/>
    </xf>
    <xf numFmtId="0" fontId="114" fillId="79" borderId="141" applyNumberFormat="0" applyAlignment="0" applyProtection="0"/>
    <xf numFmtId="0" fontId="114" fillId="79" borderId="141" applyNumberFormat="0" applyAlignment="0" applyProtection="0"/>
    <xf numFmtId="4" fontId="47" fillId="0" borderId="142" applyNumberFormat="0" applyProtection="0">
      <alignment horizontal="left" vertical="center" indent="1"/>
    </xf>
    <xf numFmtId="0" fontId="18" fillId="51" borderId="142" applyNumberFormat="0" applyProtection="0">
      <alignment horizontal="left" vertical="center" indent="1"/>
    </xf>
    <xf numFmtId="0" fontId="18" fillId="49" borderId="142" applyNumberFormat="0" applyProtection="0">
      <alignment horizontal="left" vertical="top" indent="1"/>
    </xf>
    <xf numFmtId="4" fontId="47" fillId="47" borderId="142" applyNumberFormat="0" applyProtection="0">
      <alignment horizontal="right" vertical="center"/>
    </xf>
    <xf numFmtId="4" fontId="47" fillId="45" borderId="142" applyNumberFormat="0" applyProtection="0">
      <alignment horizontal="right" vertical="center"/>
    </xf>
    <xf numFmtId="4" fontId="47" fillId="35" borderId="142" applyNumberFormat="0" applyProtection="0">
      <alignment vertical="center"/>
    </xf>
    <xf numFmtId="0" fontId="105" fillId="0" borderId="146" applyNumberFormat="0" applyFill="0" applyAlignment="0" applyProtection="0"/>
    <xf numFmtId="0" fontId="18" fillId="76" borderId="151" applyNumberFormat="0" applyFont="0" applyAlignment="0" applyProtection="0"/>
    <xf numFmtId="4" fontId="51" fillId="35" borderId="142" applyNumberFormat="0" applyProtection="0">
      <alignment vertical="center"/>
    </xf>
    <xf numFmtId="0" fontId="47" fillId="34" borderId="142" applyNumberFormat="0" applyProtection="0">
      <alignment horizontal="left" vertical="top"/>
    </xf>
    <xf numFmtId="4" fontId="27" fillId="37" borderId="142" applyNumberFormat="0" applyProtection="0">
      <alignment vertical="center"/>
    </xf>
    <xf numFmtId="0" fontId="114" fillId="79" borderId="141" applyNumberFormat="0" applyAlignment="0" applyProtection="0"/>
    <xf numFmtId="0" fontId="105" fillId="0" borderId="146" applyNumberFormat="0" applyFill="0" applyAlignment="0" applyProtection="0"/>
    <xf numFmtId="0" fontId="18" fillId="85" borderId="142" applyNumberFormat="0" applyProtection="0">
      <alignment horizontal="left" vertical="top" indent="1"/>
    </xf>
    <xf numFmtId="0" fontId="18" fillId="49" borderId="142" applyNumberFormat="0" applyProtection="0">
      <alignment horizontal="left" vertical="top" indent="1"/>
    </xf>
    <xf numFmtId="0" fontId="114" fillId="79" borderId="141" applyNumberFormat="0" applyAlignment="0" applyProtection="0"/>
    <xf numFmtId="0" fontId="114" fillId="79" borderId="141" applyNumberFormat="0" applyAlignment="0" applyProtection="0"/>
    <xf numFmtId="0" fontId="18" fillId="51" borderId="142" applyNumberFormat="0" applyProtection="0">
      <alignment horizontal="left" vertical="center" indent="1"/>
    </xf>
    <xf numFmtId="0" fontId="114" fillId="79" borderId="141" applyNumberFormat="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0" fontId="18" fillId="50" borderId="142" applyNumberFormat="0" applyProtection="0">
      <alignment horizontal="left" vertical="top" indent="1"/>
    </xf>
    <xf numFmtId="0" fontId="18" fillId="85" borderId="142" applyNumberFormat="0" applyProtection="0">
      <alignment horizontal="left" vertical="top" indent="1"/>
    </xf>
    <xf numFmtId="0" fontId="105" fillId="0" borderId="146" applyNumberFormat="0" applyFill="0" applyAlignment="0" applyProtection="0"/>
    <xf numFmtId="0" fontId="27" fillId="38" borderId="142" applyNumberFormat="0" applyProtection="0">
      <alignment horizontal="left" vertical="top" indent="1"/>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76" borderId="151" applyNumberFormat="0" applyFont="0" applyAlignment="0" applyProtection="0"/>
    <xf numFmtId="0" fontId="18" fillId="50" borderId="142" applyNumberFormat="0" applyProtection="0">
      <alignment horizontal="left" vertical="top" indent="1"/>
    </xf>
    <xf numFmtId="0" fontId="27" fillId="38" borderId="142" applyNumberFormat="0" applyProtection="0">
      <alignment horizontal="left" vertical="top" indent="1"/>
    </xf>
    <xf numFmtId="0" fontId="18" fillId="55" borderId="142" applyNumberFormat="0" applyProtection="0">
      <alignment horizontal="left" vertical="top" indent="1"/>
    </xf>
    <xf numFmtId="0" fontId="18" fillId="85" borderId="142" applyNumberFormat="0" applyProtection="0">
      <alignment horizontal="left" vertical="top" indent="1"/>
    </xf>
    <xf numFmtId="0" fontId="18" fillId="84" borderId="142" applyNumberFormat="0" applyProtection="0">
      <alignment horizontal="left" vertical="center" indent="1"/>
    </xf>
    <xf numFmtId="4" fontId="47" fillId="41" borderId="142" applyNumberFormat="0" applyProtection="0">
      <alignment horizontal="right" vertical="center"/>
    </xf>
    <xf numFmtId="0" fontId="18" fillId="55" borderId="142" applyNumberFormat="0" applyProtection="0">
      <alignment horizontal="left" vertical="center" indent="1"/>
    </xf>
    <xf numFmtId="0" fontId="18" fillId="84" borderId="142" applyNumberFormat="0" applyProtection="0">
      <alignment horizontal="left" vertical="center" indent="1"/>
    </xf>
    <xf numFmtId="0" fontId="47" fillId="34" borderId="142" applyNumberFormat="0" applyProtection="0">
      <alignment horizontal="left" vertical="top"/>
    </xf>
    <xf numFmtId="0" fontId="102" fillId="79" borderId="149" applyNumberFormat="0" applyAlignment="0" applyProtection="0"/>
    <xf numFmtId="0" fontId="18" fillId="54" borderId="142" applyNumberFormat="0" applyProtection="0">
      <alignment horizontal="left" vertical="top" indent="1"/>
    </xf>
    <xf numFmtId="0" fontId="110" fillId="77" borderId="149" applyNumberFormat="0" applyAlignment="0" applyProtection="0"/>
    <xf numFmtId="0" fontId="18" fillId="55" borderId="142" applyNumberFormat="0" applyProtection="0">
      <alignment horizontal="left" vertical="top" indent="1"/>
    </xf>
    <xf numFmtId="4" fontId="47" fillId="46" borderId="142" applyNumberFormat="0" applyProtection="0">
      <alignment horizontal="right" vertical="center"/>
    </xf>
    <xf numFmtId="4" fontId="51" fillId="35" borderId="142" applyNumberFormat="0" applyProtection="0">
      <alignment vertical="center"/>
    </xf>
    <xf numFmtId="0" fontId="18" fillId="55" borderId="142" applyNumberFormat="0" applyProtection="0">
      <alignment horizontal="left" vertical="center" indent="1"/>
    </xf>
    <xf numFmtId="4" fontId="47" fillId="35" borderId="142" applyNumberFormat="0" applyProtection="0">
      <alignment vertical="center"/>
    </xf>
    <xf numFmtId="0" fontId="18" fillId="55" borderId="142" applyNumberFormat="0" applyProtection="0">
      <alignment horizontal="left" vertical="center" indent="1"/>
    </xf>
    <xf numFmtId="0" fontId="18" fillId="50" borderId="142" applyNumberFormat="0" applyProtection="0">
      <alignment horizontal="left" vertical="top" indent="1"/>
    </xf>
    <xf numFmtId="0" fontId="110" fillId="77" borderId="149" applyNumberFormat="0" applyAlignment="0" applyProtection="0"/>
    <xf numFmtId="4" fontId="47" fillId="42" borderId="142" applyNumberFormat="0" applyProtection="0">
      <alignment horizontal="right" vertical="center"/>
    </xf>
    <xf numFmtId="0" fontId="105" fillId="0" borderId="146" applyNumberFormat="0" applyFill="0" applyAlignment="0" applyProtection="0"/>
    <xf numFmtId="0" fontId="18" fillId="50" borderId="142" applyNumberFormat="0" applyProtection="0">
      <alignment horizontal="left" vertical="center" indent="1"/>
    </xf>
    <xf numFmtId="0" fontId="24" fillId="59" borderId="148" applyNumberFormat="0" applyFont="0" applyAlignment="0" applyProtection="0">
      <protection locked="0"/>
    </xf>
    <xf numFmtId="0" fontId="18" fillId="50" borderId="142" applyNumberFormat="0" applyProtection="0">
      <alignment horizontal="left" vertical="center" indent="1"/>
    </xf>
    <xf numFmtId="0" fontId="18" fillId="34" borderId="142" applyNumberFormat="0" applyProtection="0">
      <alignment horizontal="left" vertical="center" indent="1"/>
    </xf>
    <xf numFmtId="0" fontId="110" fillId="77" borderId="161" applyNumberFormat="0" applyAlignment="0" applyProtection="0"/>
    <xf numFmtId="4" fontId="27" fillId="38" borderId="142" applyNumberFormat="0" applyProtection="0">
      <alignment vertical="center"/>
    </xf>
    <xf numFmtId="0" fontId="18" fillId="55" borderId="142" applyNumberFormat="0" applyProtection="0">
      <alignment horizontal="left" vertical="top" indent="1"/>
    </xf>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0" fontId="102" fillId="79" borderId="161" applyNumberFormat="0" applyAlignment="0" applyProtection="0"/>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0" fontId="110" fillId="77" borderId="161" applyNumberFormat="0" applyAlignment="0" applyProtection="0"/>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5" fillId="0" borderId="146" applyNumberFormat="0" applyFill="0" applyAlignment="0" applyProtection="0"/>
    <xf numFmtId="0" fontId="110" fillId="77" borderId="161" applyNumberFormat="0" applyAlignment="0" applyProtection="0"/>
    <xf numFmtId="4" fontId="27" fillId="38" borderId="142" applyNumberFormat="0" applyProtection="0">
      <alignment vertical="center"/>
    </xf>
    <xf numFmtId="4" fontId="27" fillId="34" borderId="36" applyNumberFormat="0" applyProtection="0">
      <alignment vertical="center"/>
    </xf>
    <xf numFmtId="0" fontId="102" fillId="79" borderId="161" applyNumberFormat="0" applyAlignment="0" applyProtection="0"/>
    <xf numFmtId="4" fontId="27" fillId="34" borderId="36" applyNumberFormat="0" applyProtection="0">
      <alignment vertical="center"/>
    </xf>
    <xf numFmtId="0" fontId="110" fillId="77" borderId="161"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49" borderId="142" applyNumberFormat="0" applyProtection="0">
      <alignment horizontal="left" vertical="center" indent="1"/>
    </xf>
    <xf numFmtId="0" fontId="102" fillId="79" borderId="149" applyNumberFormat="0" applyAlignment="0" applyProtection="0"/>
    <xf numFmtId="0" fontId="18" fillId="76" borderId="162" applyNumberFormat="0" applyFont="0" applyAlignment="0" applyProtection="0"/>
    <xf numFmtId="0" fontId="18" fillId="50" borderId="142" applyNumberFormat="0" applyProtection="0">
      <alignment horizontal="left" vertical="top" indent="1"/>
    </xf>
    <xf numFmtId="0" fontId="18" fillId="76" borderId="151" applyNumberFormat="0" applyFont="0" applyAlignment="0" applyProtection="0"/>
    <xf numFmtId="4" fontId="27" fillId="38" borderId="142" applyNumberFormat="0" applyProtection="0">
      <alignment horizontal="left" vertical="center" indent="1"/>
    </xf>
    <xf numFmtId="0" fontId="110" fillId="77" borderId="149" applyNumberFormat="0" applyAlignment="0" applyProtection="0"/>
    <xf numFmtId="4" fontId="27" fillId="34" borderId="143" applyNumberFormat="0" applyProtection="0">
      <alignment vertical="center"/>
    </xf>
    <xf numFmtId="4" fontId="47" fillId="0" borderId="142" applyNumberFormat="0" applyProtection="0">
      <alignment horizontal="left" vertical="center" indent="1"/>
    </xf>
    <xf numFmtId="0" fontId="114" fillId="79" borderId="141" applyNumberFormat="0" applyAlignment="0" applyProtection="0"/>
    <xf numFmtId="0" fontId="105" fillId="0" borderId="146" applyNumberFormat="0" applyFill="0" applyAlignment="0" applyProtection="0"/>
    <xf numFmtId="4" fontId="47" fillId="51" borderId="142" applyNumberFormat="0" applyProtection="0">
      <alignment horizontal="right" vertical="center"/>
    </xf>
    <xf numFmtId="4" fontId="25" fillId="49" borderId="142" applyNumberFormat="0" applyProtection="0">
      <alignment horizontal="right" vertical="center"/>
    </xf>
    <xf numFmtId="4" fontId="47" fillId="46" borderId="142" applyNumberFormat="0" applyProtection="0">
      <alignment horizontal="right" vertical="center"/>
    </xf>
    <xf numFmtId="0" fontId="102" fillId="79" borderId="149" applyNumberFormat="0" applyAlignment="0" applyProtection="0"/>
    <xf numFmtId="0" fontId="114" fillId="79" borderId="141" applyNumberFormat="0" applyAlignment="0" applyProtection="0"/>
    <xf numFmtId="4" fontId="47" fillId="41" borderId="142" applyNumberFormat="0" applyProtection="0">
      <alignment horizontal="right" vertical="center"/>
    </xf>
    <xf numFmtId="0" fontId="18" fillId="50" borderId="142" applyNumberFormat="0" applyProtection="0">
      <alignment horizontal="left" vertical="center" indent="1"/>
    </xf>
    <xf numFmtId="4" fontId="27" fillId="34" borderId="142" applyNumberFormat="0" applyProtection="0"/>
    <xf numFmtId="0" fontId="18" fillId="76" borderId="151" applyNumberFormat="0" applyFont="0" applyAlignment="0" applyProtection="0"/>
    <xf numFmtId="4" fontId="47" fillId="44" borderId="142" applyNumberFormat="0" applyProtection="0">
      <alignment horizontal="right" vertical="center"/>
    </xf>
    <xf numFmtId="0" fontId="18" fillId="55" borderId="142" applyNumberFormat="0" applyProtection="0">
      <alignment horizontal="left" vertical="center" indent="1"/>
    </xf>
    <xf numFmtId="0" fontId="110" fillId="77" borderId="149" applyNumberFormat="0" applyAlignment="0" applyProtection="0"/>
    <xf numFmtId="0" fontId="18" fillId="85" borderId="142" applyNumberFormat="0" applyProtection="0">
      <alignment horizontal="left" vertical="top" indent="1"/>
    </xf>
    <xf numFmtId="0" fontId="18" fillId="55" borderId="142" applyNumberFormat="0" applyProtection="0">
      <alignment horizontal="left" vertical="center" indent="1"/>
    </xf>
    <xf numFmtId="0" fontId="110" fillId="77" borderId="149" applyNumberFormat="0" applyAlignment="0" applyProtection="0"/>
    <xf numFmtId="4" fontId="47" fillId="0" borderId="142" applyNumberFormat="0" applyProtection="0">
      <alignment horizontal="left" vertical="center" indent="1"/>
    </xf>
    <xf numFmtId="4" fontId="47" fillId="35" borderId="142" applyNumberFormat="0" applyProtection="0">
      <alignment vertical="center"/>
    </xf>
    <xf numFmtId="0" fontId="102" fillId="79" borderId="161" applyNumberFormat="0" applyAlignment="0" applyProtection="0"/>
    <xf numFmtId="0" fontId="110" fillId="77" borderId="161" applyNumberFormat="0" applyAlignment="0" applyProtection="0"/>
    <xf numFmtId="4" fontId="27" fillId="34" borderId="142" applyNumberFormat="0" applyProtection="0"/>
    <xf numFmtId="0" fontId="114" fillId="79" borderId="163" applyNumberFormat="0" applyAlignment="0" applyProtection="0"/>
    <xf numFmtId="4" fontId="47" fillId="42" borderId="142" applyNumberFormat="0" applyProtection="0">
      <alignment horizontal="right" vertical="center"/>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47" fillId="35" borderId="142" applyNumberFormat="0" applyProtection="0">
      <alignment horizontal="left" vertical="top" indent="1"/>
    </xf>
    <xf numFmtId="0" fontId="18" fillId="50" borderId="142" applyNumberFormat="0" applyProtection="0">
      <alignment horizontal="left" vertical="top" indent="1"/>
    </xf>
    <xf numFmtId="0" fontId="110" fillId="77" borderId="149" applyNumberFormat="0" applyAlignment="0" applyProtection="0"/>
    <xf numFmtId="0" fontId="18" fillId="54" borderId="142" applyNumberFormat="0" applyProtection="0">
      <alignment horizontal="left" vertical="center" indent="1"/>
    </xf>
    <xf numFmtId="0" fontId="114" fillId="79" borderId="141" applyNumberFormat="0" applyAlignment="0" applyProtection="0"/>
    <xf numFmtId="0" fontId="18" fillId="85" borderId="142" applyNumberFormat="0" applyProtection="0">
      <alignment horizontal="left" vertical="top" indent="1"/>
    </xf>
    <xf numFmtId="0" fontId="18" fillId="84" borderId="142" applyNumberFormat="0" applyProtection="0">
      <alignment horizontal="left" vertical="center" indent="1"/>
    </xf>
    <xf numFmtId="0" fontId="47" fillId="35" borderId="142" applyNumberFormat="0" applyProtection="0">
      <alignment horizontal="left" vertical="top" indent="1"/>
    </xf>
    <xf numFmtId="0" fontId="26" fillId="0" borderId="150">
      <alignment horizontal="left" vertical="center"/>
    </xf>
    <xf numFmtId="4" fontId="47" fillId="0" borderId="142" applyNumberFormat="0" applyProtection="0">
      <alignment horizontal="left" vertical="center" indent="1"/>
    </xf>
    <xf numFmtId="0" fontId="105" fillId="0" borderId="146" applyNumberFormat="0" applyFill="0" applyAlignment="0" applyProtection="0"/>
    <xf numFmtId="0" fontId="18" fillId="85" borderId="142" applyNumberFormat="0" applyProtection="0">
      <alignment horizontal="left" vertical="center" indent="1"/>
    </xf>
    <xf numFmtId="0" fontId="47" fillId="35" borderId="142" applyNumberFormat="0" applyProtection="0">
      <alignment horizontal="left" vertical="top" indent="1"/>
    </xf>
    <xf numFmtId="4" fontId="47" fillId="43" borderId="142" applyNumberFormat="0" applyProtection="0">
      <alignment horizontal="right" vertical="center"/>
    </xf>
    <xf numFmtId="4" fontId="47" fillId="0" borderId="142" applyNumberFormat="0" applyProtection="0">
      <alignment horizontal="right" vertical="center"/>
    </xf>
    <xf numFmtId="0" fontId="18" fillId="76" borderId="151" applyNumberFormat="0" applyFont="0" applyAlignment="0" applyProtection="0"/>
    <xf numFmtId="0" fontId="18" fillId="51" borderId="142" applyNumberFormat="0" applyProtection="0">
      <alignment horizontal="left" vertical="center" indent="1"/>
    </xf>
    <xf numFmtId="0" fontId="18" fillId="85" borderId="142" applyNumberFormat="0" applyProtection="0">
      <alignment horizontal="left" vertical="center" indent="1"/>
    </xf>
    <xf numFmtId="0" fontId="102" fillId="79" borderId="149" applyNumberFormat="0" applyAlignment="0" applyProtection="0"/>
    <xf numFmtId="4" fontId="47" fillId="43" borderId="142" applyNumberFormat="0" applyProtection="0">
      <alignment horizontal="right" vertical="center"/>
    </xf>
    <xf numFmtId="0" fontId="18" fillId="54" borderId="142" applyNumberFormat="0" applyProtection="0">
      <alignment horizontal="left" vertical="center" indent="1"/>
    </xf>
    <xf numFmtId="0" fontId="18" fillId="49" borderId="142" applyNumberFormat="0" applyProtection="0">
      <alignment horizontal="left" vertical="center" indent="1"/>
    </xf>
    <xf numFmtId="4" fontId="27" fillId="38" borderId="142" applyNumberFormat="0" applyProtection="0">
      <alignment horizontal="left" vertical="center" indent="1"/>
    </xf>
    <xf numFmtId="4" fontId="47" fillId="43" borderId="142" applyNumberFormat="0" applyProtection="0">
      <alignment horizontal="right" vertical="center"/>
    </xf>
    <xf numFmtId="4" fontId="47" fillId="35" borderId="142" applyNumberFormat="0" applyProtection="0">
      <alignment vertical="center"/>
    </xf>
    <xf numFmtId="0" fontId="18" fillId="76" borderId="151" applyNumberFormat="0" applyFont="0" applyAlignment="0" applyProtection="0"/>
    <xf numFmtId="0" fontId="18" fillId="76" borderId="151" applyNumberFormat="0" applyFont="0" applyAlignment="0" applyProtection="0"/>
    <xf numFmtId="4" fontId="46" fillId="38" borderId="142" applyNumberFormat="0" applyProtection="0">
      <alignmen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35" borderId="142" applyNumberFormat="0" applyProtection="0">
      <alignment horizontal="left" vertical="center" indent="1"/>
    </xf>
    <xf numFmtId="0" fontId="18" fillId="76" borderId="162" applyNumberFormat="0" applyFont="0" applyAlignment="0" applyProtection="0"/>
    <xf numFmtId="4" fontId="25" fillId="49" borderId="142" applyNumberFormat="0" applyProtection="0">
      <alignment horizontal="right" vertical="center"/>
    </xf>
    <xf numFmtId="0" fontId="18" fillId="50" borderId="142" applyNumberFormat="0" applyProtection="0">
      <alignment horizontal="left" vertical="top" indent="1"/>
    </xf>
    <xf numFmtId="4" fontId="47" fillId="39" borderId="142" applyNumberFormat="0" applyProtection="0">
      <alignment horizontal="right" vertical="center"/>
    </xf>
    <xf numFmtId="0" fontId="18" fillId="85" borderId="142" applyNumberFormat="0" applyProtection="0">
      <alignment horizontal="left" vertical="top" indent="1"/>
    </xf>
    <xf numFmtId="0" fontId="63" fillId="59" borderId="148" applyNumberFormat="0" applyFont="0" applyFill="0" applyAlignment="0" applyProtection="0">
      <protection locked="0"/>
    </xf>
    <xf numFmtId="0" fontId="18" fillId="34" borderId="142" applyNumberFormat="0" applyProtection="0">
      <alignment horizontal="left" vertical="center" indent="1"/>
    </xf>
    <xf numFmtId="0" fontId="18" fillId="49" borderId="142" applyNumberFormat="0" applyProtection="0">
      <alignment horizontal="left" vertical="center" indent="1"/>
    </xf>
    <xf numFmtId="0" fontId="114" fillId="79" borderId="141" applyNumberFormat="0" applyAlignment="0" applyProtection="0"/>
    <xf numFmtId="4" fontId="27" fillId="38" borderId="142" applyNumberFormat="0" applyProtection="0">
      <alignment horizontal="left" vertical="center" indent="1"/>
    </xf>
    <xf numFmtId="4" fontId="47" fillId="39" borderId="142" applyNumberFormat="0" applyProtection="0">
      <alignment horizontal="right" vertical="center"/>
    </xf>
    <xf numFmtId="0" fontId="110" fillId="77" borderId="149" applyNumberFormat="0" applyAlignment="0" applyProtection="0"/>
    <xf numFmtId="0" fontId="18" fillId="84" borderId="142" applyNumberFormat="0" applyProtection="0">
      <alignment horizontal="left" vertical="top" indent="1"/>
    </xf>
    <xf numFmtId="0" fontId="18" fillId="85" borderId="142" applyNumberFormat="0" applyProtection="0">
      <alignment horizontal="left" vertical="center" indent="1"/>
    </xf>
    <xf numFmtId="0" fontId="114" fillId="79" borderId="141" applyNumberFormat="0" applyAlignment="0" applyProtection="0"/>
    <xf numFmtId="4" fontId="47" fillId="46" borderId="142" applyNumberFormat="0" applyProtection="0">
      <alignment horizontal="right" vertical="center"/>
    </xf>
    <xf numFmtId="0" fontId="18" fillId="34" borderId="142" applyNumberFormat="0" applyProtection="0">
      <alignment horizontal="left" vertical="center" indent="1"/>
    </xf>
    <xf numFmtId="0" fontId="102" fillId="79" borderId="149" applyNumberFormat="0" applyAlignment="0" applyProtection="0"/>
    <xf numFmtId="0" fontId="18" fillId="84" borderId="142" applyNumberFormat="0" applyProtection="0">
      <alignment horizontal="left" vertical="top" indent="1"/>
    </xf>
    <xf numFmtId="4" fontId="47" fillId="51" borderId="142" applyNumberFormat="0" applyProtection="0">
      <alignment horizontal="right" vertical="center"/>
    </xf>
    <xf numFmtId="0" fontId="18" fillId="49" borderId="142" applyNumberFormat="0" applyProtection="0">
      <alignment horizontal="left" vertical="center" indent="1"/>
    </xf>
    <xf numFmtId="0" fontId="18" fillId="50" borderId="142" applyNumberFormat="0" applyProtection="0">
      <alignment horizontal="left" vertical="center" indent="1"/>
    </xf>
    <xf numFmtId="4" fontId="27" fillId="34" borderId="142" applyNumberFormat="0" applyProtection="0"/>
    <xf numFmtId="0" fontId="18" fillId="55" borderId="142" applyNumberFormat="0" applyProtection="0">
      <alignment horizontal="left" vertical="center" indent="1"/>
    </xf>
    <xf numFmtId="4" fontId="47" fillId="0" borderId="142" applyNumberFormat="0" applyProtection="0">
      <alignment horizontal="left" vertical="center" indent="1"/>
    </xf>
    <xf numFmtId="0" fontId="47" fillId="34" borderId="142" applyNumberFormat="0" applyProtection="0">
      <alignment horizontal="left" vertical="top"/>
    </xf>
    <xf numFmtId="4" fontId="47" fillId="40" borderId="142" applyNumberFormat="0" applyProtection="0">
      <alignment horizontal="right" vertical="center"/>
    </xf>
    <xf numFmtId="0" fontId="47" fillId="35" borderId="142" applyNumberFormat="0" applyProtection="0">
      <alignment horizontal="left" vertical="top" indent="1"/>
    </xf>
    <xf numFmtId="0" fontId="18" fillId="76" borderId="151" applyNumberFormat="0" applyFont="0" applyAlignment="0" applyProtection="0"/>
    <xf numFmtId="4" fontId="47" fillId="40" borderId="142" applyNumberFormat="0" applyProtection="0">
      <alignment horizontal="right" vertical="center"/>
    </xf>
    <xf numFmtId="0" fontId="18" fillId="50" borderId="142" applyNumberFormat="0" applyProtection="0">
      <alignment horizontal="left" vertical="center" indent="1"/>
    </xf>
    <xf numFmtId="0" fontId="18" fillId="76" borderId="151" applyNumberFormat="0" applyFont="0" applyAlignment="0" applyProtection="0"/>
    <xf numFmtId="0" fontId="114" fillId="79" borderId="141" applyNumberFormat="0" applyAlignment="0" applyProtection="0"/>
    <xf numFmtId="4" fontId="47" fillId="51" borderId="142" applyNumberFormat="0" applyProtection="0">
      <alignment horizontal="right" vertical="center"/>
    </xf>
    <xf numFmtId="4" fontId="27" fillId="34" borderId="143" applyNumberFormat="0" applyProtection="0">
      <alignment vertical="center"/>
    </xf>
    <xf numFmtId="0" fontId="18" fillId="55" borderId="142" applyNumberFormat="0" applyProtection="0">
      <alignment horizontal="left" vertical="center" indent="1"/>
    </xf>
    <xf numFmtId="0" fontId="102" fillId="79" borderId="161" applyNumberFormat="0" applyAlignment="0" applyProtection="0"/>
    <xf numFmtId="0" fontId="110" fillId="77" borderId="161" applyNumberFormat="0" applyAlignment="0" applyProtection="0"/>
    <xf numFmtId="0" fontId="114" fillId="79" borderId="163" applyNumberFormat="0" applyAlignment="0" applyProtection="0"/>
    <xf numFmtId="4" fontId="47" fillId="0" borderId="142" applyNumberFormat="0" applyProtection="0">
      <alignment horizontal="right" vertical="center"/>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18" fillId="34" borderId="142" applyNumberFormat="0" applyProtection="0">
      <alignment horizontal="left" vertical="center" indent="1"/>
    </xf>
    <xf numFmtId="0" fontId="18" fillId="55" borderId="142" applyNumberFormat="0" applyProtection="0">
      <alignment horizontal="left" vertical="top" indent="1"/>
    </xf>
    <xf numFmtId="0" fontId="18" fillId="76" borderId="151" applyNumberFormat="0" applyFont="0" applyAlignment="0" applyProtection="0"/>
    <xf numFmtId="0" fontId="105" fillId="0" borderId="146" applyNumberFormat="0" applyFill="0" applyAlignment="0" applyProtection="0"/>
    <xf numFmtId="0" fontId="105" fillId="0" borderId="146" applyNumberFormat="0" applyFill="0" applyAlignment="0" applyProtection="0"/>
    <xf numFmtId="0" fontId="63" fillId="59" borderId="148" applyNumberFormat="0" applyFont="0" applyFill="0" applyAlignment="0" applyProtection="0">
      <protection locked="0"/>
    </xf>
    <xf numFmtId="0" fontId="18" fillId="51" borderId="142" applyNumberFormat="0" applyProtection="0">
      <alignment horizontal="left" vertical="top" indent="1"/>
    </xf>
    <xf numFmtId="0" fontId="105" fillId="0" borderId="146" applyNumberFormat="0" applyFill="0" applyAlignment="0" applyProtection="0"/>
    <xf numFmtId="4" fontId="47" fillId="0" borderId="142" applyNumberFormat="0" applyProtection="0">
      <alignment horizontal="left" vertical="center" indent="1"/>
    </xf>
    <xf numFmtId="0" fontId="102" fillId="79" borderId="149" applyNumberFormat="0" applyAlignment="0" applyProtection="0"/>
    <xf numFmtId="0" fontId="102" fillId="79" borderId="149" applyNumberFormat="0" applyAlignment="0" applyProtection="0"/>
    <xf numFmtId="0" fontId="18" fillId="85" borderId="142" applyNumberFormat="0" applyProtection="0">
      <alignment horizontal="left" vertical="top" indent="1"/>
    </xf>
    <xf numFmtId="4" fontId="51" fillId="49" borderId="142" applyNumberFormat="0" applyProtection="0">
      <alignment horizontal="right" vertical="center"/>
    </xf>
    <xf numFmtId="0" fontId="47" fillId="34" borderId="142" applyNumberFormat="0" applyProtection="0">
      <alignment horizontal="left" vertical="top"/>
    </xf>
    <xf numFmtId="4" fontId="47" fillId="0" borderId="142" applyNumberFormat="0" applyProtection="0">
      <alignment horizontal="left" vertical="center" indent="1"/>
    </xf>
    <xf numFmtId="4" fontId="25" fillId="49" borderId="142" applyNumberFormat="0" applyProtection="0">
      <alignment horizontal="right" vertical="center"/>
    </xf>
    <xf numFmtId="0" fontId="18" fillId="84" borderId="142" applyNumberFormat="0" applyProtection="0">
      <alignment horizontal="left" vertical="top" indent="1"/>
    </xf>
    <xf numFmtId="0" fontId="114" fillId="79" borderId="141" applyNumberFormat="0" applyAlignment="0" applyProtection="0"/>
    <xf numFmtId="0" fontId="18" fillId="54" borderId="142" applyNumberFormat="0" applyProtection="0">
      <alignment horizontal="left" vertical="top" indent="1"/>
    </xf>
    <xf numFmtId="4" fontId="51" fillId="49" borderId="142" applyNumberFormat="0" applyProtection="0">
      <alignment horizontal="right" vertical="center"/>
    </xf>
    <xf numFmtId="0" fontId="105" fillId="0" borderId="146" applyNumberFormat="0" applyFill="0" applyAlignment="0" applyProtection="0"/>
    <xf numFmtId="0" fontId="114" fillId="79" borderId="141" applyNumberFormat="0" applyAlignment="0" applyProtection="0"/>
    <xf numFmtId="0" fontId="18" fillId="54" borderId="142" applyNumberFormat="0" applyProtection="0">
      <alignment horizontal="left" vertical="top" indent="1"/>
    </xf>
    <xf numFmtId="0" fontId="18" fillId="50" borderId="142" applyNumberFormat="0" applyProtection="0">
      <alignment horizontal="left" vertical="top" indent="1"/>
    </xf>
    <xf numFmtId="4" fontId="47" fillId="39" borderId="142" applyNumberFormat="0" applyProtection="0">
      <alignment horizontal="right" vertical="center"/>
    </xf>
    <xf numFmtId="0" fontId="102" fillId="79" borderId="149"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46" borderId="142" applyNumberFormat="0" applyProtection="0">
      <alignment horizontal="right" vertical="center"/>
    </xf>
    <xf numFmtId="0" fontId="114" fillId="79" borderId="141" applyNumberFormat="0" applyAlignment="0" applyProtection="0"/>
    <xf numFmtId="0" fontId="27" fillId="38" borderId="142" applyNumberFormat="0" applyProtection="0">
      <alignment horizontal="left" vertical="top" indent="1"/>
    </xf>
    <xf numFmtId="0" fontId="18" fillId="76" borderId="162" applyNumberFormat="0" applyFont="0" applyAlignment="0" applyProtection="0"/>
    <xf numFmtId="0" fontId="18" fillId="34" borderId="142" applyNumberFormat="0" applyProtection="0">
      <alignment horizontal="left" vertical="center" indent="1"/>
    </xf>
    <xf numFmtId="4" fontId="47" fillId="41" borderId="142" applyNumberFormat="0" applyProtection="0">
      <alignment horizontal="right" vertical="center"/>
    </xf>
    <xf numFmtId="0" fontId="18" fillId="50" borderId="142" applyNumberFormat="0" applyProtection="0">
      <alignment horizontal="left" vertical="center" indent="1"/>
    </xf>
    <xf numFmtId="0" fontId="102" fillId="79" borderId="149" applyNumberFormat="0" applyAlignment="0" applyProtection="0"/>
    <xf numFmtId="0" fontId="110" fillId="77" borderId="149" applyNumberFormat="0" applyAlignment="0" applyProtection="0"/>
    <xf numFmtId="4" fontId="47" fillId="45" borderId="142" applyNumberFormat="0" applyProtection="0">
      <alignment horizontal="right" vertical="center"/>
    </xf>
    <xf numFmtId="4" fontId="51" fillId="35" borderId="142" applyNumberFormat="0" applyProtection="0">
      <alignment vertical="center"/>
    </xf>
    <xf numFmtId="0" fontId="18" fillId="84" borderId="142" applyNumberFormat="0" applyProtection="0">
      <alignment horizontal="left" vertical="center" indent="1"/>
    </xf>
    <xf numFmtId="4" fontId="25" fillId="49" borderId="142" applyNumberFormat="0" applyProtection="0">
      <alignment horizontal="right" vertical="center"/>
    </xf>
    <xf numFmtId="0" fontId="114" fillId="79" borderId="141" applyNumberFormat="0" applyAlignment="0" applyProtection="0"/>
    <xf numFmtId="0" fontId="47" fillId="35" borderId="142" applyNumberFormat="0" applyProtection="0">
      <alignment horizontal="left" vertical="top" indent="1"/>
    </xf>
    <xf numFmtId="0" fontId="105" fillId="0" borderId="146" applyNumberFormat="0" applyFill="0" applyAlignment="0" applyProtection="0"/>
    <xf numFmtId="0" fontId="18" fillId="85" borderId="142" applyNumberFormat="0" applyProtection="0">
      <alignment horizontal="left" vertical="top" indent="1"/>
    </xf>
    <xf numFmtId="0" fontId="114" fillId="79" borderId="141" applyNumberFormat="0" applyAlignment="0" applyProtection="0"/>
    <xf numFmtId="4" fontId="47" fillId="47" borderId="142" applyNumberFormat="0" applyProtection="0">
      <alignment horizontal="right" vertical="center"/>
    </xf>
    <xf numFmtId="0" fontId="47" fillId="34" borderId="142" applyNumberFormat="0" applyProtection="0">
      <alignment horizontal="left" vertical="top"/>
    </xf>
    <xf numFmtId="0" fontId="18" fillId="76" borderId="151" applyNumberFormat="0" applyFont="0" applyAlignment="0" applyProtection="0"/>
    <xf numFmtId="0" fontId="18" fillId="34" borderId="142" applyNumberFormat="0" applyProtection="0">
      <alignment horizontal="left" vertical="top" indent="1"/>
    </xf>
    <xf numFmtId="0" fontId="18" fillId="49" borderId="142" applyNumberFormat="0" applyProtection="0">
      <alignment horizontal="left" vertical="top" indent="1"/>
    </xf>
    <xf numFmtId="4" fontId="27" fillId="38" borderId="142" applyNumberFormat="0" applyProtection="0">
      <alignment horizontal="left" vertical="center" indent="1"/>
    </xf>
    <xf numFmtId="4" fontId="51" fillId="35" borderId="142" applyNumberFormat="0" applyProtection="0">
      <alignment vertical="center"/>
    </xf>
    <xf numFmtId="0" fontId="114" fillId="79" borderId="141" applyNumberFormat="0" applyAlignment="0" applyProtection="0"/>
    <xf numFmtId="0" fontId="18" fillId="85" borderId="142" applyNumberFormat="0" applyProtection="0">
      <alignment horizontal="left" vertical="center" indent="1"/>
    </xf>
    <xf numFmtId="0" fontId="18" fillId="84" borderId="142" applyNumberFormat="0" applyProtection="0">
      <alignment horizontal="left" vertical="top" indent="1"/>
    </xf>
    <xf numFmtId="4" fontId="47" fillId="35" borderId="142" applyNumberFormat="0" applyProtection="0">
      <alignment vertical="center"/>
    </xf>
    <xf numFmtId="4" fontId="47" fillId="0" borderId="142" applyNumberFormat="0" applyProtection="0">
      <alignment horizontal="right" vertical="center"/>
    </xf>
    <xf numFmtId="4" fontId="47" fillId="42" borderId="142" applyNumberFormat="0" applyProtection="0">
      <alignment horizontal="right" vertical="center"/>
    </xf>
    <xf numFmtId="0" fontId="105" fillId="0" borderId="146" applyNumberFormat="0" applyFill="0" applyAlignment="0" applyProtection="0"/>
    <xf numFmtId="0" fontId="47" fillId="34" borderId="142" applyNumberFormat="0" applyProtection="0">
      <alignment horizontal="left" vertical="top"/>
    </xf>
    <xf numFmtId="0" fontId="102" fillId="79" borderId="161" applyNumberFormat="0" applyAlignment="0" applyProtection="0"/>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55" borderId="142" applyNumberFormat="0" applyProtection="0">
      <alignment horizontal="left" vertical="center" indent="1"/>
    </xf>
    <xf numFmtId="0" fontId="102" fillId="79" borderId="149" applyNumberFormat="0" applyAlignment="0" applyProtection="0"/>
    <xf numFmtId="4" fontId="47" fillId="51" borderId="142" applyNumberFormat="0" applyProtection="0">
      <alignment horizontal="left" vertical="center" indent="1"/>
    </xf>
    <xf numFmtId="4" fontId="47" fillId="42" borderId="142" applyNumberFormat="0" applyProtection="0">
      <alignment horizontal="right" vertical="center"/>
    </xf>
    <xf numFmtId="4" fontId="47" fillId="43" borderId="142" applyNumberFormat="0" applyProtection="0">
      <alignment horizontal="right" vertical="center"/>
    </xf>
    <xf numFmtId="0" fontId="65" fillId="0" borderId="49" applyNumberFormat="0" applyFont="0" applyFill="0" applyAlignment="0" applyProtection="0"/>
    <xf numFmtId="4" fontId="47" fillId="51" borderId="142" applyNumberFormat="0" applyProtection="0">
      <alignment horizontal="right" vertical="center"/>
    </xf>
    <xf numFmtId="4" fontId="47" fillId="43" borderId="142" applyNumberFormat="0" applyProtection="0">
      <alignment horizontal="right" vertical="center"/>
    </xf>
    <xf numFmtId="0" fontId="18" fillId="50" borderId="142" applyNumberFormat="0" applyProtection="0">
      <alignment horizontal="left" vertical="top" indent="1"/>
    </xf>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18" fillId="34" borderId="142" applyNumberFormat="0" applyProtection="0">
      <alignment horizontal="left" vertical="center" indent="1"/>
    </xf>
    <xf numFmtId="0" fontId="18" fillId="50" borderId="142" applyNumberFormat="0" applyProtection="0">
      <alignment horizontal="left" vertical="top" indent="1"/>
    </xf>
    <xf numFmtId="0" fontId="18" fillId="51" borderId="142" applyNumberFormat="0" applyProtection="0">
      <alignment horizontal="left" vertical="center" indent="1"/>
    </xf>
    <xf numFmtId="4" fontId="47" fillId="41" borderId="142" applyNumberFormat="0" applyProtection="0">
      <alignment horizontal="right" vertical="center"/>
    </xf>
    <xf numFmtId="4" fontId="47" fillId="51" borderId="142" applyNumberFormat="0" applyProtection="0">
      <alignment horizontal="right" vertical="center"/>
    </xf>
    <xf numFmtId="0" fontId="18" fillId="54" borderId="142" applyNumberFormat="0" applyProtection="0">
      <alignment horizontal="left" vertical="top" indent="1"/>
    </xf>
    <xf numFmtId="0" fontId="18" fillId="55" borderId="142" applyNumberFormat="0" applyProtection="0">
      <alignment horizontal="left" vertical="top" indent="1"/>
    </xf>
    <xf numFmtId="0" fontId="18" fillId="34" borderId="142" applyNumberFormat="0" applyProtection="0">
      <alignment horizontal="left" vertical="center" indent="1"/>
    </xf>
    <xf numFmtId="4" fontId="47" fillId="42" borderId="142" applyNumberFormat="0" applyProtection="0">
      <alignment horizontal="right" vertical="center"/>
    </xf>
    <xf numFmtId="0" fontId="18" fillId="55" borderId="142" applyNumberFormat="0" applyProtection="0">
      <alignment horizontal="left" vertical="top" indent="1"/>
    </xf>
    <xf numFmtId="0" fontId="18" fillId="84" borderId="142" applyNumberFormat="0" applyProtection="0">
      <alignment horizontal="left" vertical="top" indent="1"/>
    </xf>
    <xf numFmtId="4" fontId="51" fillId="35" borderId="142" applyNumberFormat="0" applyProtection="0">
      <alignment vertical="center"/>
    </xf>
    <xf numFmtId="0" fontId="18" fillId="34" borderId="142" applyNumberFormat="0" applyProtection="0">
      <alignment horizontal="left" vertical="top" indent="1"/>
    </xf>
    <xf numFmtId="4" fontId="47" fillId="45" borderId="142"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47" fillId="40" borderId="142" applyNumberFormat="0" applyProtection="0">
      <alignment horizontal="right" vertical="center"/>
    </xf>
    <xf numFmtId="0" fontId="47" fillId="34" borderId="142" applyNumberFormat="0" applyProtection="0">
      <alignment horizontal="left" vertical="top"/>
    </xf>
    <xf numFmtId="0" fontId="114" fillId="79" borderId="163" applyNumberFormat="0" applyAlignment="0" applyProtection="0"/>
    <xf numFmtId="0" fontId="18" fillId="51" borderId="142" applyNumberFormat="0" applyProtection="0">
      <alignment horizontal="left" vertical="center" indent="1"/>
    </xf>
    <xf numFmtId="4" fontId="27" fillId="38" borderId="142" applyNumberFormat="0" applyProtection="0">
      <alignment horizontal="left" vertical="center" indent="1"/>
    </xf>
    <xf numFmtId="0" fontId="18" fillId="34" borderId="142" applyNumberFormat="0" applyProtection="0">
      <alignment horizontal="left" vertical="center" indent="1"/>
    </xf>
    <xf numFmtId="4" fontId="27" fillId="38" borderId="142" applyNumberFormat="0" applyProtection="0">
      <alignment horizontal="left" vertical="center" indent="1"/>
    </xf>
    <xf numFmtId="0" fontId="47" fillId="34" borderId="142" applyNumberFormat="0" applyProtection="0">
      <alignment horizontal="left" vertical="top"/>
    </xf>
    <xf numFmtId="0" fontId="110" fillId="77" borderId="149" applyNumberFormat="0" applyAlignment="0" applyProtection="0"/>
    <xf numFmtId="4" fontId="46" fillId="38" borderId="142" applyNumberFormat="0" applyProtection="0">
      <alignment vertical="center"/>
    </xf>
    <xf numFmtId="0" fontId="18" fillId="34" borderId="142" applyNumberFormat="0" applyProtection="0">
      <alignment horizontal="left" vertical="center" indent="1"/>
    </xf>
    <xf numFmtId="4" fontId="47" fillId="39" borderId="142" applyNumberFormat="0" applyProtection="0">
      <alignment horizontal="right" vertical="center"/>
    </xf>
    <xf numFmtId="0" fontId="18" fillId="50" borderId="142" applyNumberFormat="0" applyProtection="0">
      <alignment horizontal="left" vertical="top" indent="1"/>
    </xf>
    <xf numFmtId="0" fontId="18" fillId="76" borderId="151" applyNumberFormat="0" applyFont="0" applyAlignment="0" applyProtection="0"/>
    <xf numFmtId="4" fontId="47" fillId="51" borderId="142" applyNumberFormat="0" applyProtection="0">
      <alignment horizontal="left" vertical="center" indent="1"/>
    </xf>
    <xf numFmtId="0" fontId="18" fillId="54" borderId="142" applyNumberFormat="0" applyProtection="0">
      <alignment horizontal="left" vertical="center" indent="1"/>
    </xf>
    <xf numFmtId="0" fontId="110" fillId="77" borderId="149" applyNumberFormat="0" applyAlignment="0" applyProtection="0"/>
    <xf numFmtId="0" fontId="105" fillId="0" borderId="146" applyNumberFormat="0" applyFill="0" applyAlignment="0" applyProtection="0"/>
    <xf numFmtId="4" fontId="47" fillId="47" borderId="142" applyNumberFormat="0" applyProtection="0">
      <alignment horizontal="right" vertical="center"/>
    </xf>
    <xf numFmtId="0" fontId="18" fillId="50" borderId="142" applyNumberFormat="0" applyProtection="0">
      <alignment horizontal="left" vertical="center" indent="1"/>
    </xf>
    <xf numFmtId="0" fontId="102" fillId="79" borderId="149" applyNumberFormat="0" applyAlignment="0" applyProtection="0"/>
    <xf numFmtId="0" fontId="47" fillId="34" borderId="142" applyNumberFormat="0" applyProtection="0">
      <alignment horizontal="left" vertical="top"/>
    </xf>
    <xf numFmtId="0" fontId="18" fillId="49" borderId="142" applyNumberFormat="0" applyProtection="0">
      <alignment horizontal="left" vertical="top" indent="1"/>
    </xf>
    <xf numFmtId="0" fontId="18" fillId="51" borderId="142" applyNumberFormat="0" applyProtection="0">
      <alignment horizontal="left" vertical="top" indent="1"/>
    </xf>
    <xf numFmtId="0" fontId="18" fillId="51" borderId="142" applyNumberFormat="0" applyProtection="0">
      <alignment horizontal="left" vertical="center" indent="1"/>
    </xf>
    <xf numFmtId="0" fontId="18" fillId="50" borderId="142" applyNumberFormat="0" applyProtection="0">
      <alignment horizontal="left" vertical="top" indent="1"/>
    </xf>
    <xf numFmtId="0" fontId="18" fillId="54" borderId="142" applyNumberFormat="0" applyProtection="0">
      <alignment horizontal="left" vertical="center" indent="1"/>
    </xf>
    <xf numFmtId="4" fontId="47" fillId="41" borderId="142" applyNumberFormat="0" applyProtection="0">
      <alignment horizontal="right" vertical="center"/>
    </xf>
    <xf numFmtId="0" fontId="18" fillId="49" borderId="142" applyNumberFormat="0" applyProtection="0">
      <alignment horizontal="left" vertical="top" indent="1"/>
    </xf>
    <xf numFmtId="0" fontId="18" fillId="84" borderId="142" applyNumberFormat="0" applyProtection="0">
      <alignment horizontal="left" vertical="center" indent="1"/>
    </xf>
    <xf numFmtId="0" fontId="18" fillId="76" borderId="151" applyNumberFormat="0" applyFont="0" applyAlignment="0" applyProtection="0"/>
    <xf numFmtId="0" fontId="105" fillId="0" borderId="146" applyNumberFormat="0" applyFill="0" applyAlignment="0" applyProtection="0"/>
    <xf numFmtId="4" fontId="27" fillId="38" borderId="142" applyNumberFormat="0" applyProtection="0">
      <alignment horizontal="left" vertical="center" indent="1"/>
    </xf>
    <xf numFmtId="0" fontId="18" fillId="84" borderId="142" applyNumberFormat="0" applyProtection="0">
      <alignment horizontal="left" vertical="top" indent="1"/>
    </xf>
    <xf numFmtId="0" fontId="114" fillId="79" borderId="163" applyNumberFormat="0" applyAlignment="0" applyProtection="0"/>
    <xf numFmtId="0" fontId="114" fillId="79" borderId="163" applyNumberFormat="0" applyAlignment="0" applyProtection="0"/>
    <xf numFmtId="0" fontId="47" fillId="34" borderId="142" applyNumberFormat="0" applyProtection="0">
      <alignment horizontal="left" vertical="top"/>
    </xf>
    <xf numFmtId="0" fontId="18" fillId="76" borderId="162" applyNumberFormat="0" applyFont="0" applyAlignment="0" applyProtection="0"/>
    <xf numFmtId="0" fontId="18" fillId="55" borderId="142" applyNumberFormat="0" applyProtection="0">
      <alignment horizontal="left" vertical="top" indent="1"/>
    </xf>
    <xf numFmtId="0" fontId="18" fillId="51"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4" fontId="51" fillId="35" borderId="142" applyNumberFormat="0" applyProtection="0">
      <alignment vertical="center"/>
    </xf>
    <xf numFmtId="4" fontId="47" fillId="0" borderId="142" applyNumberFormat="0" applyProtection="0">
      <alignment horizontal="left" vertical="center" indent="1"/>
    </xf>
    <xf numFmtId="0" fontId="18" fillId="76" borderId="151" applyNumberFormat="0" applyFont="0" applyAlignment="0" applyProtection="0"/>
    <xf numFmtId="0" fontId="47" fillId="34" borderId="142" applyNumberFormat="0" applyProtection="0">
      <alignment horizontal="left" vertical="top"/>
    </xf>
    <xf numFmtId="0" fontId="105" fillId="0" borderId="146" applyNumberFormat="0" applyFill="0" applyAlignment="0" applyProtection="0"/>
    <xf numFmtId="0" fontId="18" fillId="49" borderId="142" applyNumberFormat="0" applyProtection="0">
      <alignment horizontal="left" vertical="center" indent="1"/>
    </xf>
    <xf numFmtId="4" fontId="46" fillId="38" borderId="142" applyNumberFormat="0" applyProtection="0">
      <alignment vertical="center"/>
    </xf>
    <xf numFmtId="0" fontId="110" fillId="77" borderId="149" applyNumberFormat="0" applyAlignment="0" applyProtection="0"/>
    <xf numFmtId="0" fontId="102" fillId="79" borderId="149" applyNumberFormat="0" applyAlignment="0" applyProtection="0"/>
    <xf numFmtId="0" fontId="105" fillId="0" borderId="146" applyNumberFormat="0" applyFill="0" applyAlignment="0" applyProtection="0"/>
    <xf numFmtId="0" fontId="26" fillId="0" borderId="32">
      <alignment horizontal="left" vertical="center"/>
    </xf>
    <xf numFmtId="0" fontId="26" fillId="0" borderId="150">
      <alignment horizontal="left" vertical="center"/>
    </xf>
    <xf numFmtId="0" fontId="110" fillId="77" borderId="149" applyNumberFormat="0" applyAlignment="0" applyProtection="0"/>
    <xf numFmtId="0" fontId="18" fillId="85" borderId="142" applyNumberFormat="0" applyProtection="0">
      <alignment horizontal="left" vertical="top" indent="1"/>
    </xf>
    <xf numFmtId="4" fontId="47" fillId="0" borderId="142" applyNumberFormat="0" applyProtection="0">
      <alignment horizontal="left" vertical="center" indent="1"/>
    </xf>
    <xf numFmtId="0" fontId="114" fillId="79" borderId="141" applyNumberFormat="0" applyAlignment="0" applyProtection="0"/>
    <xf numFmtId="0" fontId="18" fillId="49" borderId="142" applyNumberFormat="0" applyProtection="0">
      <alignment horizontal="left" vertical="center" indent="1"/>
    </xf>
    <xf numFmtId="0" fontId="102" fillId="79" borderId="149" applyNumberFormat="0" applyAlignment="0" applyProtection="0"/>
    <xf numFmtId="0" fontId="114" fillId="79" borderId="163" applyNumberFormat="0" applyAlignment="0" applyProtection="0"/>
    <xf numFmtId="0" fontId="114" fillId="79" borderId="163" applyNumberFormat="0" applyAlignment="0" applyProtection="0"/>
    <xf numFmtId="4" fontId="27" fillId="34" borderId="142" applyNumberFormat="0" applyProtection="0"/>
    <xf numFmtId="0" fontId="105" fillId="0" borderId="146" applyNumberFormat="0" applyFill="0" applyAlignment="0" applyProtection="0"/>
    <xf numFmtId="0" fontId="47" fillId="35" borderId="142" applyNumberFormat="0" applyProtection="0">
      <alignment horizontal="left" vertical="top" indent="1"/>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34" borderId="142" applyNumberFormat="0" applyProtection="0">
      <alignment horizontal="left" vertical="top" indent="1"/>
    </xf>
    <xf numFmtId="4" fontId="47" fillId="51" borderId="142" applyNumberFormat="0" applyProtection="0">
      <alignment horizontal="right" vertical="center"/>
    </xf>
    <xf numFmtId="0" fontId="18" fillId="76" borderId="151" applyNumberFormat="0" applyFont="0" applyAlignment="0" applyProtection="0"/>
    <xf numFmtId="0" fontId="18" fillId="34" borderId="142" applyNumberFormat="0" applyProtection="0">
      <alignment horizontal="left" vertical="top" indent="1"/>
    </xf>
    <xf numFmtId="0" fontId="18" fillId="34" borderId="142" applyNumberFormat="0" applyProtection="0">
      <alignment horizontal="left" vertical="top" indent="1"/>
    </xf>
    <xf numFmtId="0" fontId="114" fillId="79" borderId="141" applyNumberFormat="0" applyAlignment="0" applyProtection="0"/>
    <xf numFmtId="0" fontId="110" fillId="77" borderId="149" applyNumberFormat="0" applyAlignment="0" applyProtection="0"/>
    <xf numFmtId="0" fontId="114" fillId="79" borderId="141" applyNumberFormat="0" applyAlignment="0" applyProtection="0"/>
    <xf numFmtId="0" fontId="18" fillId="34" borderId="142" applyNumberFormat="0" applyProtection="0">
      <alignment horizontal="left" vertical="top" indent="1"/>
    </xf>
    <xf numFmtId="0" fontId="114" fillId="79" borderId="141" applyNumberFormat="0" applyAlignment="0" applyProtection="0"/>
    <xf numFmtId="0" fontId="18" fillId="34" borderId="142" applyNumberFormat="0" applyProtection="0">
      <alignment horizontal="left" vertical="top" indent="1"/>
    </xf>
    <xf numFmtId="4" fontId="47" fillId="0" borderId="142" applyNumberFormat="0" applyProtection="0">
      <alignment horizontal="left" vertical="center" indent="1"/>
    </xf>
    <xf numFmtId="0" fontId="18" fillId="84" borderId="142" applyNumberFormat="0" applyProtection="0">
      <alignment horizontal="left" vertical="center" indent="1"/>
    </xf>
    <xf numFmtId="4" fontId="27" fillId="38" borderId="142" applyNumberFormat="0" applyProtection="0">
      <alignment horizontal="left" vertical="center" indent="1"/>
    </xf>
    <xf numFmtId="0" fontId="18" fillId="84" borderId="142" applyNumberFormat="0" applyProtection="0">
      <alignment horizontal="left" vertical="top" indent="1"/>
    </xf>
    <xf numFmtId="0" fontId="47" fillId="34" borderId="142" applyNumberFormat="0" applyProtection="0">
      <alignment horizontal="center" vertical="top"/>
    </xf>
    <xf numFmtId="0" fontId="110" fillId="77" borderId="149" applyNumberFormat="0" applyAlignment="0" applyProtection="0"/>
    <xf numFmtId="4" fontId="51" fillId="49" borderId="142" applyNumberFormat="0" applyProtection="0">
      <alignment horizontal="right" vertical="center"/>
    </xf>
    <xf numFmtId="0" fontId="114" fillId="79" borderId="141" applyNumberFormat="0" applyAlignment="0" applyProtection="0"/>
    <xf numFmtId="0" fontId="18" fillId="85" borderId="142" applyNumberFormat="0" applyProtection="0">
      <alignment horizontal="left" vertical="center" indent="1"/>
    </xf>
    <xf numFmtId="0" fontId="18" fillId="55" borderId="142" applyNumberFormat="0" applyProtection="0">
      <alignment horizontal="left" vertical="top" indent="1"/>
    </xf>
    <xf numFmtId="0" fontId="18" fillId="49" borderId="142" applyNumberFormat="0" applyProtection="0">
      <alignment horizontal="left" vertical="center" indent="1"/>
    </xf>
    <xf numFmtId="4" fontId="47" fillId="0" borderId="142"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0" fontId="18" fillId="55" borderId="142" applyNumberFormat="0" applyProtection="0">
      <alignment horizontal="left" vertical="top" indent="1"/>
    </xf>
    <xf numFmtId="0" fontId="18" fillId="50" borderId="142" applyNumberFormat="0" applyProtection="0">
      <alignment horizontal="left" vertical="center" indent="1"/>
    </xf>
    <xf numFmtId="4" fontId="27" fillId="37" borderId="142" applyNumberFormat="0" applyProtection="0">
      <alignment vertical="center"/>
    </xf>
    <xf numFmtId="0" fontId="18" fillId="51" borderId="142" applyNumberFormat="0" applyProtection="0">
      <alignment horizontal="left" vertical="center" indent="1"/>
    </xf>
    <xf numFmtId="0" fontId="18" fillId="84" borderId="142" applyNumberFormat="0" applyProtection="0">
      <alignment horizontal="left" vertical="center" indent="1"/>
    </xf>
    <xf numFmtId="4" fontId="27" fillId="37" borderId="142" applyNumberFormat="0" applyProtection="0">
      <alignment vertical="center"/>
    </xf>
    <xf numFmtId="0" fontId="18" fillId="54" borderId="142" applyNumberFormat="0" applyProtection="0">
      <alignment horizontal="left" vertical="center" indent="1"/>
    </xf>
    <xf numFmtId="0" fontId="110" fillId="77" borderId="149" applyNumberFormat="0" applyAlignment="0" applyProtection="0"/>
    <xf numFmtId="0" fontId="18" fillId="84" borderId="142" applyNumberFormat="0" applyProtection="0">
      <alignment horizontal="left" vertical="center" indent="1"/>
    </xf>
    <xf numFmtId="0" fontId="18" fillId="85" borderId="142" applyNumberFormat="0" applyProtection="0">
      <alignment horizontal="left" vertical="top" indent="1"/>
    </xf>
    <xf numFmtId="0" fontId="18" fillId="55" borderId="142" applyNumberFormat="0" applyProtection="0">
      <alignment horizontal="left" vertical="center" indent="1"/>
    </xf>
    <xf numFmtId="0" fontId="18" fillId="54" borderId="142" applyNumberFormat="0" applyProtection="0">
      <alignment horizontal="left" vertical="top" indent="1"/>
    </xf>
    <xf numFmtId="0" fontId="18" fillId="84" borderId="142" applyNumberFormat="0" applyProtection="0">
      <alignment horizontal="left" vertical="center" indent="1"/>
    </xf>
    <xf numFmtId="0" fontId="18" fillId="84" borderId="142" applyNumberFormat="0" applyProtection="0">
      <alignment horizontal="left" vertical="center" indent="1"/>
    </xf>
    <xf numFmtId="0" fontId="18" fillId="55" borderId="142" applyNumberFormat="0" applyProtection="0">
      <alignment horizontal="left" vertical="center" indent="1"/>
    </xf>
    <xf numFmtId="0" fontId="18" fillId="50" borderId="142" applyNumberFormat="0" applyProtection="0">
      <alignment horizontal="left" vertical="center" indent="1"/>
    </xf>
    <xf numFmtId="4" fontId="51" fillId="49" borderId="142" applyNumberFormat="0" applyProtection="0">
      <alignment horizontal="right" vertical="center"/>
    </xf>
    <xf numFmtId="4" fontId="47" fillId="0" borderId="142" applyNumberFormat="0" applyProtection="0">
      <alignment horizontal="right" vertical="center"/>
    </xf>
    <xf numFmtId="4" fontId="47" fillId="59" borderId="142" applyNumberFormat="0" applyProtection="0">
      <alignment horizontal="left" vertical="center" indent="1"/>
    </xf>
    <xf numFmtId="0" fontId="18" fillId="84" borderId="142" applyNumberFormat="0" applyProtection="0">
      <alignment horizontal="left" vertical="top" indent="1"/>
    </xf>
    <xf numFmtId="0" fontId="18" fillId="51" borderId="142" applyNumberFormat="0" applyProtection="0">
      <alignment horizontal="left" vertical="top" indent="1"/>
    </xf>
    <xf numFmtId="0" fontId="63" fillId="59" borderId="148" applyNumberFormat="0" applyFont="0" applyFill="0" applyAlignment="0" applyProtection="0">
      <protection locked="0"/>
    </xf>
    <xf numFmtId="0" fontId="47" fillId="34" borderId="142" applyNumberFormat="0" applyProtection="0">
      <alignment horizontal="center" vertical="top"/>
    </xf>
    <xf numFmtId="0" fontId="114" fillId="79" borderId="141" applyNumberFormat="0" applyAlignment="0" applyProtection="0"/>
    <xf numFmtId="0" fontId="18" fillId="84" borderId="142" applyNumberFormat="0" applyProtection="0">
      <alignment horizontal="left" vertical="center" indent="1"/>
    </xf>
    <xf numFmtId="0" fontId="18" fillId="76" borderId="151" applyNumberFormat="0" applyFont="0" applyAlignment="0" applyProtection="0"/>
    <xf numFmtId="0" fontId="102" fillId="79" borderId="149" applyNumberFormat="0" applyAlignment="0" applyProtection="0"/>
    <xf numFmtId="4" fontId="47" fillId="45" borderId="142" applyNumberFormat="0" applyProtection="0">
      <alignment horizontal="right" vertical="center"/>
    </xf>
    <xf numFmtId="0" fontId="18" fillId="54" borderId="142" applyNumberFormat="0" applyProtection="0">
      <alignment horizontal="left" vertical="center" indent="1"/>
    </xf>
    <xf numFmtId="0" fontId="24" fillId="59" borderId="148" applyNumberFormat="0" applyFont="0" applyAlignment="0" applyProtection="0">
      <protection locked="0"/>
    </xf>
    <xf numFmtId="0" fontId="110" fillId="77" borderId="149" applyNumberFormat="0" applyAlignment="0" applyProtection="0"/>
    <xf numFmtId="0" fontId="18" fillId="51" borderId="142" applyNumberFormat="0" applyProtection="0">
      <alignment horizontal="left" vertical="top" indent="1"/>
    </xf>
    <xf numFmtId="0" fontId="63" fillId="59" borderId="165" applyNumberFormat="0" applyFont="0" applyFill="0" applyAlignment="0" applyProtection="0">
      <protection locked="0"/>
    </xf>
    <xf numFmtId="0" fontId="18" fillId="55" borderId="142" applyNumberFormat="0" applyProtection="0">
      <alignment horizontal="left" vertical="center" indent="1"/>
    </xf>
    <xf numFmtId="4" fontId="47" fillId="35" borderId="142" applyNumberFormat="0" applyProtection="0">
      <alignment horizontal="left" vertical="center" indent="1"/>
    </xf>
    <xf numFmtId="0" fontId="105" fillId="0" borderId="146" applyNumberFormat="0" applyFill="0" applyAlignment="0" applyProtection="0"/>
    <xf numFmtId="0" fontId="18" fillId="0" borderId="139"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4" fontId="47" fillId="47" borderId="142" applyNumberFormat="0" applyProtection="0">
      <alignment horizontal="right" vertical="center"/>
    </xf>
    <xf numFmtId="0" fontId="18" fillId="49" borderId="142" applyNumberFormat="0" applyProtection="0">
      <alignment horizontal="left" vertical="top" indent="1"/>
    </xf>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4" fontId="47" fillId="44" borderId="142" applyNumberFormat="0" applyProtection="0">
      <alignment horizontal="right" vertical="center"/>
    </xf>
    <xf numFmtId="0" fontId="102" fillId="79" borderId="149" applyNumberFormat="0" applyAlignment="0" applyProtection="0"/>
    <xf numFmtId="0" fontId="18" fillId="54" borderId="142" applyNumberFormat="0" applyProtection="0">
      <alignment horizontal="left" vertical="top" indent="1"/>
    </xf>
    <xf numFmtId="0" fontId="18" fillId="51" borderId="142" applyNumberFormat="0" applyProtection="0">
      <alignment horizontal="left" vertical="center" indent="1"/>
    </xf>
    <xf numFmtId="0" fontId="18" fillId="49" borderId="142" applyNumberFormat="0" applyProtection="0">
      <alignment horizontal="left" vertical="top" indent="1"/>
    </xf>
    <xf numFmtId="0" fontId="114" fillId="79" borderId="141" applyNumberFormat="0" applyAlignment="0" applyProtection="0"/>
    <xf numFmtId="0" fontId="18" fillId="51" borderId="142" applyNumberFormat="0" applyProtection="0">
      <alignment horizontal="left" vertical="top" indent="1"/>
    </xf>
    <xf numFmtId="0" fontId="114" fillId="79" borderId="14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50" borderId="142" applyNumberFormat="0" applyProtection="0">
      <alignment horizontal="left" vertical="top" indent="1"/>
    </xf>
    <xf numFmtId="0" fontId="102" fillId="79" borderId="161"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10" fillId="77" borderId="161" applyNumberFormat="0" applyAlignment="0" applyProtection="0"/>
    <xf numFmtId="0" fontId="18" fillId="50" borderId="142" applyNumberFormat="0" applyProtection="0">
      <alignment horizontal="left" vertical="center" indent="1"/>
    </xf>
    <xf numFmtId="0" fontId="18" fillId="85" borderId="142" applyNumberFormat="0" applyProtection="0">
      <alignment horizontal="left" vertical="center" indent="1"/>
    </xf>
    <xf numFmtId="4" fontId="47" fillId="40" borderId="142" applyNumberFormat="0" applyProtection="0">
      <alignment horizontal="right" vertical="center"/>
    </xf>
    <xf numFmtId="0" fontId="102" fillId="79" borderId="149" applyNumberFormat="0" applyAlignment="0" applyProtection="0"/>
    <xf numFmtId="0" fontId="110" fillId="77" borderId="149" applyNumberFormat="0" applyAlignment="0" applyProtection="0"/>
    <xf numFmtId="4" fontId="27" fillId="38" borderId="142" applyNumberFormat="0" applyProtection="0">
      <alignment horizontal="left" vertical="center" indent="1"/>
    </xf>
    <xf numFmtId="0" fontId="18" fillId="49" borderId="142" applyNumberFormat="0" applyProtection="0">
      <alignment horizontal="left" vertical="top" indent="1"/>
    </xf>
    <xf numFmtId="4" fontId="27" fillId="34" borderId="142" applyNumberForma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4" fontId="27" fillId="34" borderId="142" applyNumberFormat="0" applyProtection="0"/>
    <xf numFmtId="4" fontId="47" fillId="43" borderId="142"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4" fontId="47" fillId="46" borderId="142" applyNumberFormat="0" applyProtection="0">
      <alignment horizontal="right" vertical="center"/>
    </xf>
    <xf numFmtId="4" fontId="51" fillId="49" borderId="142" applyNumberFormat="0" applyProtection="0">
      <alignment horizontal="right" vertical="center"/>
    </xf>
    <xf numFmtId="0" fontId="105" fillId="0" borderId="146" applyNumberFormat="0" applyFill="0" applyAlignment="0" applyProtection="0"/>
    <xf numFmtId="0" fontId="114" fillId="79" borderId="141" applyNumberFormat="0" applyAlignment="0" applyProtection="0"/>
    <xf numFmtId="4" fontId="47" fillId="0" borderId="142" applyNumberFormat="0" applyProtection="0">
      <alignment horizontal="right" vertical="center"/>
    </xf>
    <xf numFmtId="4" fontId="25" fillId="49" borderId="142" applyNumberFormat="0" applyProtection="0">
      <alignment horizontal="right" vertical="center"/>
    </xf>
    <xf numFmtId="0" fontId="102" fillId="79" borderId="149" applyNumberFormat="0" applyAlignment="0" applyProtection="0"/>
    <xf numFmtId="0" fontId="24" fillId="59" borderId="165" applyNumberFormat="0" applyFont="0" applyAlignment="0" applyProtection="0">
      <protection locked="0"/>
    </xf>
    <xf numFmtId="0" fontId="24" fillId="59" borderId="165" applyNumberFormat="0" applyFont="0" applyAlignment="0" applyProtection="0">
      <protection locked="0"/>
    </xf>
    <xf numFmtId="4" fontId="47" fillId="41" borderId="142" applyNumberFormat="0" applyProtection="0">
      <alignment horizontal="right" vertical="center"/>
    </xf>
    <xf numFmtId="0" fontId="26" fillId="0" borderId="32">
      <alignment horizontal="left" vertical="center"/>
    </xf>
    <xf numFmtId="0" fontId="102" fillId="79" borderId="149" applyNumberFormat="0" applyAlignment="0" applyProtection="0"/>
    <xf numFmtId="0" fontId="102" fillId="79" borderId="149" applyNumberFormat="0" applyAlignment="0" applyProtection="0"/>
    <xf numFmtId="0" fontId="18" fillId="54" borderId="142" applyNumberFormat="0" applyProtection="0">
      <alignment horizontal="left" vertical="top" indent="1"/>
    </xf>
    <xf numFmtId="0" fontId="24" fillId="59" borderId="148" applyNumberFormat="0" applyFont="0" applyAlignment="0" applyProtection="0">
      <protection locked="0"/>
    </xf>
    <xf numFmtId="0" fontId="102" fillId="79" borderId="149" applyNumberFormat="0" applyAlignment="0" applyProtection="0"/>
    <xf numFmtId="0" fontId="110" fillId="77" borderId="149" applyNumberFormat="0" applyAlignment="0" applyProtection="0"/>
    <xf numFmtId="0" fontId="105" fillId="0" borderId="164" applyNumberFormat="0" applyFill="0" applyAlignment="0" applyProtection="0"/>
    <xf numFmtId="0" fontId="105" fillId="0" borderId="164" applyNumberFormat="0" applyFill="0" applyAlignment="0" applyProtection="0"/>
    <xf numFmtId="0" fontId="18" fillId="54" borderId="142" applyNumberFormat="0" applyProtection="0">
      <alignment horizontal="left" vertical="top" indent="1"/>
    </xf>
    <xf numFmtId="0" fontId="18" fillId="49" borderId="142" applyNumberFormat="0" applyProtection="0">
      <alignment horizontal="left" vertical="top" indent="1"/>
    </xf>
    <xf numFmtId="0" fontId="18" fillId="54"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85" borderId="142" applyNumberFormat="0" applyProtection="0">
      <alignment horizontal="left" vertical="top" indent="1"/>
    </xf>
    <xf numFmtId="0" fontId="18" fillId="51" borderId="142" applyNumberFormat="0" applyProtection="0">
      <alignment horizontal="left" vertical="center" indent="1"/>
    </xf>
    <xf numFmtId="0" fontId="47" fillId="35" borderId="142" applyNumberFormat="0" applyProtection="0">
      <alignment horizontal="left" vertical="top" indent="1"/>
    </xf>
    <xf numFmtId="0" fontId="18" fillId="51" borderId="142" applyNumberFormat="0" applyProtection="0">
      <alignment horizontal="left" vertical="center" indent="1"/>
    </xf>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10" fillId="77" borderId="149" applyNumberFormat="0" applyAlignment="0" applyProtection="0"/>
    <xf numFmtId="0" fontId="114" fillId="79" borderId="141" applyNumberFormat="0" applyAlignment="0" applyProtection="0"/>
    <xf numFmtId="4" fontId="47" fillId="51" borderId="142" applyNumberFormat="0" applyProtection="0">
      <alignment horizontal="right" vertical="center"/>
    </xf>
    <xf numFmtId="4" fontId="47" fillId="42" borderId="142" applyNumberFormat="0" applyProtection="0">
      <alignment horizontal="right" vertical="center"/>
    </xf>
    <xf numFmtId="0" fontId="26" fillId="0" borderId="32">
      <alignment horizontal="left" vertical="center"/>
    </xf>
    <xf numFmtId="4" fontId="27" fillId="34" borderId="36" applyNumberFormat="0" applyProtection="0">
      <alignment vertical="center"/>
    </xf>
    <xf numFmtId="4" fontId="47" fillId="0" borderId="160" applyNumberFormat="0" applyProtection="0">
      <alignment horizontal="right" vertical="center"/>
    </xf>
    <xf numFmtId="0" fontId="18" fillId="51" borderId="160" applyNumberFormat="0" applyProtection="0">
      <alignment horizontal="left" vertical="center" indent="1"/>
    </xf>
    <xf numFmtId="4" fontId="27" fillId="37" borderId="160" applyNumberFormat="0" applyProtection="0">
      <alignmen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4" fontId="47" fillId="42" borderId="160" applyNumberFormat="0" applyProtection="0">
      <alignment horizontal="right" vertical="center"/>
    </xf>
    <xf numFmtId="0" fontId="18" fillId="51" borderId="160" applyNumberFormat="0" applyProtection="0">
      <alignment horizontal="left" vertical="top" indent="1"/>
    </xf>
    <xf numFmtId="4" fontId="25" fillId="49" borderId="160" applyNumberFormat="0" applyProtection="0">
      <alignment horizontal="right" vertical="center"/>
    </xf>
    <xf numFmtId="0" fontId="114" fillId="79" borderId="163" applyNumberFormat="0" applyAlignment="0" applyProtection="0"/>
    <xf numFmtId="0" fontId="47" fillId="35" borderId="160" applyNumberFormat="0" applyProtection="0">
      <alignment horizontal="left" vertical="top" indent="1"/>
    </xf>
    <xf numFmtId="0" fontId="18" fillId="34" borderId="160" applyNumberFormat="0" applyProtection="0">
      <alignment horizontal="left" vertical="center" indent="1"/>
    </xf>
    <xf numFmtId="0" fontId="102" fillId="79" borderId="161" applyNumberFormat="0" applyAlignment="0" applyProtection="0"/>
    <xf numFmtId="4" fontId="47" fillId="43" borderId="160" applyNumberFormat="0" applyProtection="0">
      <alignment horizontal="right" vertical="center"/>
    </xf>
    <xf numFmtId="0" fontId="18" fillId="54" borderId="160" applyNumberFormat="0" applyProtection="0">
      <alignment horizontal="left" vertical="center" indent="1"/>
    </xf>
    <xf numFmtId="0" fontId="114" fillId="79" borderId="163" applyNumberFormat="0" applyAlignment="0" applyProtection="0"/>
    <xf numFmtId="4" fontId="25" fillId="49" borderId="160" applyNumberFormat="0" applyProtection="0">
      <alignment horizontal="right" vertical="center"/>
    </xf>
    <xf numFmtId="0" fontId="18" fillId="51" borderId="160" applyNumberFormat="0" applyProtection="0">
      <alignment horizontal="left" vertical="top" indent="1"/>
    </xf>
    <xf numFmtId="4" fontId="47" fillId="39" borderId="160" applyNumberFormat="0" applyProtection="0">
      <alignment horizontal="right" vertical="center"/>
    </xf>
    <xf numFmtId="0" fontId="18" fillId="76" borderId="162" applyNumberFormat="0" applyFont="0" applyAlignment="0" applyProtection="0"/>
    <xf numFmtId="0" fontId="105" fillId="0" borderId="164" applyNumberFormat="0" applyFill="0" applyAlignment="0" applyProtection="0"/>
    <xf numFmtId="0" fontId="27" fillId="38" borderId="160" applyNumberFormat="0" applyProtection="0">
      <alignment horizontal="left" vertical="top" indent="1"/>
    </xf>
    <xf numFmtId="0" fontId="18" fillId="51" borderId="160" applyNumberFormat="0" applyProtection="0">
      <alignment horizontal="left" vertical="center" indent="1"/>
    </xf>
    <xf numFmtId="4" fontId="47" fillId="0" borderId="160" applyNumberFormat="0" applyProtection="0">
      <alignment horizontal="righ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center" indent="1"/>
    </xf>
    <xf numFmtId="4" fontId="47" fillId="51" borderId="160" applyNumberFormat="0" applyProtection="0">
      <alignment horizontal="right" vertical="center"/>
    </xf>
    <xf numFmtId="0" fontId="114" fillId="79" borderId="163" applyNumberFormat="0" applyAlignment="0" applyProtection="0"/>
    <xf numFmtId="0" fontId="114" fillId="79" borderId="163" applyNumberFormat="0" applyAlignment="0" applyProtection="0"/>
    <xf numFmtId="0" fontId="18" fillId="49" borderId="160" applyNumberFormat="0" applyProtection="0">
      <alignment horizontal="left" vertical="center" indent="1"/>
    </xf>
    <xf numFmtId="0" fontId="105" fillId="0" borderId="164" applyNumberFormat="0" applyFill="0" applyAlignment="0" applyProtection="0"/>
    <xf numFmtId="0" fontId="18" fillId="85" borderId="160" applyNumberFormat="0" applyProtection="0">
      <alignment horizontal="left" vertical="center" indent="1"/>
    </xf>
    <xf numFmtId="4" fontId="47" fillId="41" borderId="160" applyNumberFormat="0" applyProtection="0">
      <alignment horizontal="right" vertical="center"/>
    </xf>
    <xf numFmtId="0" fontId="18" fillId="76" borderId="162" applyNumberFormat="0" applyFont="0" applyAlignment="0" applyProtection="0"/>
    <xf numFmtId="4" fontId="46" fillId="38" borderId="160" applyNumberFormat="0" applyProtection="0">
      <alignment vertical="center"/>
    </xf>
    <xf numFmtId="0" fontId="18" fillId="84" borderId="160" applyNumberFormat="0" applyProtection="0">
      <alignment horizontal="left" vertical="top" indent="1"/>
    </xf>
    <xf numFmtId="4" fontId="47" fillId="35" borderId="160" applyNumberFormat="0" applyProtection="0">
      <alignment horizontal="left" vertical="center" indent="1"/>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51"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24" fillId="59" borderId="165" applyNumberFormat="0" applyFont="0" applyAlignment="0" applyProtection="0">
      <protection locked="0"/>
    </xf>
    <xf numFmtId="4" fontId="47" fillId="43" borderId="160" applyNumberFormat="0" applyProtection="0">
      <alignment horizontal="right" vertical="center"/>
    </xf>
    <xf numFmtId="0" fontId="18" fillId="54" borderId="160" applyNumberFormat="0" applyProtection="0">
      <alignment horizontal="left" vertical="top" indent="1"/>
    </xf>
    <xf numFmtId="0" fontId="18" fillId="76" borderId="162" applyNumberFormat="0" applyFont="0" applyAlignment="0" applyProtection="0"/>
    <xf numFmtId="0" fontId="105" fillId="0" borderId="164" applyNumberFormat="0" applyFill="0" applyAlignment="0" applyProtection="0"/>
    <xf numFmtId="0" fontId="18" fillId="50" borderId="160" applyNumberFormat="0" applyProtection="0">
      <alignment horizontal="left" vertical="top" indent="1"/>
    </xf>
    <xf numFmtId="4" fontId="47"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4" fontId="47" fillId="35" borderId="160" applyNumberFormat="0" applyProtection="0">
      <alignment vertical="center"/>
    </xf>
    <xf numFmtId="0" fontId="18" fillId="50"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6" borderId="160" applyNumberFormat="0" applyProtection="0">
      <alignment horizontal="right" vertical="center"/>
    </xf>
    <xf numFmtId="0" fontId="18" fillId="54" borderId="160" applyNumberFormat="0" applyProtection="0">
      <alignment horizontal="left" vertical="top" indent="1"/>
    </xf>
    <xf numFmtId="0" fontId="105" fillId="0" borderId="164" applyNumberFormat="0" applyFill="0" applyAlignment="0" applyProtection="0"/>
    <xf numFmtId="0" fontId="63" fillId="59" borderId="165" applyNumberFormat="0" applyFont="0" applyFill="0" applyAlignment="0" applyProtection="0">
      <protection locked="0"/>
    </xf>
    <xf numFmtId="0" fontId="105" fillId="0" borderId="164" applyNumberFormat="0" applyFill="0" applyAlignment="0" applyProtection="0"/>
    <xf numFmtId="0" fontId="18" fillId="85" borderId="160" applyNumberFormat="0" applyProtection="0">
      <alignment horizontal="left" vertical="top" indent="1"/>
    </xf>
    <xf numFmtId="4" fontId="47" fillId="45" borderId="160" applyNumberFormat="0" applyProtection="0">
      <alignment horizontal="right" vertical="center"/>
    </xf>
    <xf numFmtId="0" fontId="110" fillId="77" borderId="161" applyNumberFormat="0" applyAlignment="0" applyProtection="0"/>
    <xf numFmtId="0" fontId="18" fillId="84" borderId="160" applyNumberFormat="0" applyProtection="0">
      <alignment horizontal="left" vertical="center" indent="1"/>
    </xf>
    <xf numFmtId="0" fontId="18" fillId="49" borderId="160" applyNumberFormat="0" applyProtection="0">
      <alignment horizontal="left" vertical="top" indent="1"/>
    </xf>
    <xf numFmtId="4" fontId="47" fillId="35" borderId="160" applyNumberFormat="0" applyProtection="0">
      <alignment horizontal="left" vertical="center" indent="1"/>
    </xf>
    <xf numFmtId="0" fontId="18" fillId="84" borderId="160" applyNumberFormat="0" applyProtection="0">
      <alignment horizontal="left" vertical="top" indent="1"/>
    </xf>
    <xf numFmtId="0" fontId="102" fillId="79" borderId="161" applyNumberFormat="0" applyAlignment="0" applyProtection="0"/>
    <xf numFmtId="4" fontId="47" fillId="44" borderId="160" applyNumberFormat="0" applyProtection="0">
      <alignment horizontal="right" vertical="center"/>
    </xf>
    <xf numFmtId="0" fontId="18" fillId="85" borderId="160" applyNumberFormat="0" applyProtection="0">
      <alignment horizontal="left" vertical="center" indent="1"/>
    </xf>
    <xf numFmtId="0" fontId="114" fillId="79" borderId="163" applyNumberFormat="0" applyAlignment="0" applyProtection="0"/>
    <xf numFmtId="4" fontId="51" fillId="49" borderId="160" applyNumberFormat="0" applyProtection="0">
      <alignment horizontal="right" vertical="center"/>
    </xf>
    <xf numFmtId="0" fontId="18" fillId="51" borderId="160" applyNumberFormat="0" applyProtection="0">
      <alignment horizontal="left" vertical="center" indent="1"/>
    </xf>
    <xf numFmtId="4" fontId="46" fillId="38" borderId="160" applyNumberFormat="0" applyProtection="0">
      <alignment vertical="center"/>
    </xf>
    <xf numFmtId="0" fontId="110" fillId="77" borderId="161" applyNumberFormat="0" applyAlignment="0" applyProtection="0"/>
    <xf numFmtId="0" fontId="102" fillId="79" borderId="161" applyNumberFormat="0" applyAlignment="0" applyProtection="0"/>
    <xf numFmtId="4" fontId="47" fillId="41" borderId="160" applyNumberFormat="0" applyProtection="0">
      <alignment horizontal="right" vertical="center"/>
    </xf>
    <xf numFmtId="0" fontId="18" fillId="51" borderId="160" applyNumberFormat="0" applyProtection="0">
      <alignment horizontal="left" vertical="top" indent="1"/>
    </xf>
    <xf numFmtId="0" fontId="47" fillId="34" borderId="160" applyNumberFormat="0" applyProtection="0">
      <alignment horizontal="left" vertical="top"/>
    </xf>
    <xf numFmtId="0" fontId="114" fillId="79" borderId="163" applyNumberFormat="0" applyAlignment="0" applyProtection="0"/>
    <xf numFmtId="0" fontId="26" fillId="0" borderId="32">
      <alignment horizontal="left" vertical="center"/>
    </xf>
    <xf numFmtId="4" fontId="27" fillId="34" borderId="36" applyNumberFormat="0" applyProtection="0">
      <alignment vertical="center"/>
    </xf>
    <xf numFmtId="0" fontId="26" fillId="0" borderId="32">
      <alignment horizontal="left" vertical="center"/>
    </xf>
    <xf numFmtId="4" fontId="27" fillId="34" borderId="36" applyNumberFormat="0" applyProtection="0">
      <alignment vertical="center"/>
    </xf>
    <xf numFmtId="4" fontId="27" fillId="34" borderId="36" applyNumberFormat="0" applyProtection="0">
      <alignment vertical="center"/>
    </xf>
    <xf numFmtId="4" fontId="47" fillId="0" borderId="160" applyNumberFormat="0" applyProtection="0">
      <alignment horizontal="left" vertical="center" indent="1"/>
    </xf>
    <xf numFmtId="0" fontId="18" fillId="34" borderId="160" applyNumberFormat="0" applyProtection="0">
      <alignment horizontal="left" vertical="top" indent="1"/>
    </xf>
    <xf numFmtId="4" fontId="27" fillId="38" borderId="160" applyNumberFormat="0" applyProtection="0">
      <alignment horizontal="left" vertical="center" indent="1"/>
    </xf>
    <xf numFmtId="0" fontId="110" fillId="77" borderId="161" applyNumberFormat="0" applyAlignment="0" applyProtection="0"/>
    <xf numFmtId="4" fontId="47" fillId="40" borderId="160" applyNumberFormat="0" applyProtection="0">
      <alignment horizontal="right" vertical="center"/>
    </xf>
    <xf numFmtId="0" fontId="18" fillId="34" borderId="160" applyNumberFormat="0" applyProtection="0">
      <alignment horizontal="left" vertical="top" indent="1"/>
    </xf>
    <xf numFmtId="4" fontId="47" fillId="0" borderId="160" applyNumberFormat="0" applyProtection="0">
      <alignment horizontal="left" vertical="center" indent="1"/>
    </xf>
    <xf numFmtId="0" fontId="114" fillId="79" borderId="163" applyNumberFormat="0" applyAlignment="0" applyProtection="0"/>
    <xf numFmtId="0" fontId="105" fillId="0" borderId="164" applyNumberFormat="0" applyFill="0" applyAlignment="0" applyProtection="0"/>
    <xf numFmtId="0" fontId="18" fillId="55" borderId="160" applyNumberFormat="0" applyProtection="0">
      <alignment horizontal="left" vertical="center" indent="1"/>
    </xf>
    <xf numFmtId="4" fontId="47" fillId="46" borderId="160" applyNumberFormat="0" applyProtection="0">
      <alignment horizontal="right" vertical="center"/>
    </xf>
    <xf numFmtId="0" fontId="110" fillId="77" borderId="161" applyNumberFormat="0" applyAlignment="0" applyProtection="0"/>
    <xf numFmtId="0" fontId="18" fillId="50" borderId="160" applyNumberFormat="0" applyProtection="0">
      <alignment horizontal="left" vertical="center" indent="1"/>
    </xf>
    <xf numFmtId="0" fontId="18" fillId="55" borderId="160" applyNumberFormat="0" applyProtection="0">
      <alignment horizontal="left" vertical="top" indent="1"/>
    </xf>
    <xf numFmtId="0" fontId="47" fillId="34" borderId="160" applyNumberFormat="0" applyProtection="0">
      <alignment horizontal="left" vertical="top"/>
    </xf>
    <xf numFmtId="0" fontId="18" fillId="51" borderId="160" applyNumberFormat="0" applyProtection="0">
      <alignment horizontal="left" vertical="top" indent="1"/>
    </xf>
    <xf numFmtId="0" fontId="27" fillId="38" borderId="160" applyNumberFormat="0" applyProtection="0">
      <alignment horizontal="left" vertical="top" indent="1"/>
    </xf>
    <xf numFmtId="0" fontId="18" fillId="76" borderId="162" applyNumberFormat="0" applyFont="0" applyAlignment="0" applyProtection="0"/>
    <xf numFmtId="0" fontId="110" fillId="77" borderId="161" applyNumberFormat="0" applyAlignment="0" applyProtection="0"/>
    <xf numFmtId="0" fontId="105" fillId="0" borderId="164" applyNumberFormat="0" applyFill="0" applyAlignment="0" applyProtection="0"/>
    <xf numFmtId="4" fontId="47" fillId="39" borderId="160" applyNumberFormat="0" applyProtection="0">
      <alignment horizontal="right" vertical="center"/>
    </xf>
    <xf numFmtId="0" fontId="18" fillId="51" borderId="160" applyNumberFormat="0" applyProtection="0">
      <alignment horizontal="left" vertical="center" indent="1"/>
    </xf>
    <xf numFmtId="4" fontId="51" fillId="49" borderId="160" applyNumberFormat="0" applyProtection="0">
      <alignment horizontal="right" vertical="center"/>
    </xf>
    <xf numFmtId="0" fontId="18" fillId="49" borderId="160" applyNumberFormat="0" applyProtection="0">
      <alignment horizontal="left" vertical="center" indent="1"/>
    </xf>
    <xf numFmtId="4" fontId="47" fillId="47" borderId="160" applyNumberFormat="0" applyProtection="0">
      <alignment horizontal="right" vertical="center"/>
    </xf>
    <xf numFmtId="0" fontId="110" fillId="77" borderId="161" applyNumberFormat="0" applyAlignment="0" applyProtection="0"/>
    <xf numFmtId="0" fontId="18" fillId="49" borderId="160" applyNumberFormat="0" applyProtection="0">
      <alignment horizontal="left" vertical="center" indent="1"/>
    </xf>
    <xf numFmtId="0" fontId="18" fillId="54" borderId="160" applyNumberFormat="0" applyProtection="0">
      <alignment horizontal="left" vertical="center" indent="1"/>
    </xf>
    <xf numFmtId="4" fontId="47" fillId="40" borderId="160" applyNumberFormat="0" applyProtection="0">
      <alignment horizontal="right" vertical="center"/>
    </xf>
    <xf numFmtId="0" fontId="18" fillId="76" borderId="162" applyNumberFormat="0" applyFont="0" applyAlignment="0" applyProtection="0"/>
    <xf numFmtId="4" fontId="27" fillId="38" borderId="160" applyNumberFormat="0" applyProtection="0">
      <alignment horizontal="left" vertical="center" indent="1"/>
    </xf>
    <xf numFmtId="0" fontId="18" fillId="34" borderId="160" applyNumberFormat="0" applyProtection="0">
      <alignment horizontal="left" vertical="center" indent="1"/>
    </xf>
    <xf numFmtId="0" fontId="47" fillId="35"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0" fontId="18" fillId="55" borderId="160" applyNumberFormat="0" applyProtection="0">
      <alignment horizontal="left" vertical="top" indent="1"/>
    </xf>
    <xf numFmtId="0" fontId="18" fillId="50" borderId="160" applyNumberFormat="0" applyProtection="0">
      <alignment horizontal="left" vertical="center" indent="1"/>
    </xf>
    <xf numFmtId="0" fontId="114" fillId="79" borderId="163" applyNumberFormat="0" applyAlignment="0" applyProtection="0"/>
    <xf numFmtId="0" fontId="114" fillId="79" borderId="163" applyNumberFormat="0" applyAlignment="0" applyProtection="0"/>
    <xf numFmtId="0" fontId="18" fillId="55" borderId="160" applyNumberFormat="0" applyProtection="0">
      <alignment horizontal="left" vertical="center" indent="1"/>
    </xf>
    <xf numFmtId="4" fontId="47" fillId="42" borderId="160" applyNumberFormat="0" applyProtection="0">
      <alignment horizontal="right" vertical="center"/>
    </xf>
    <xf numFmtId="0" fontId="18" fillId="85" borderId="160" applyNumberFormat="0" applyProtection="0">
      <alignment horizontal="left" vertical="center" indent="1"/>
    </xf>
    <xf numFmtId="0" fontId="18" fillId="76" borderId="162" applyNumberFormat="0" applyFont="0" applyAlignment="0" applyProtection="0"/>
    <xf numFmtId="0" fontId="105" fillId="0" borderId="164" applyNumberFormat="0" applyFill="0" applyAlignment="0" applyProtection="0"/>
    <xf numFmtId="4" fontId="27" fillId="37" borderId="160" applyNumberFormat="0" applyProtection="0">
      <alignment vertical="center"/>
    </xf>
    <xf numFmtId="0" fontId="18" fillId="84" borderId="160" applyNumberFormat="0" applyProtection="0">
      <alignment horizontal="left" vertical="top" indent="1"/>
    </xf>
    <xf numFmtId="4" fontId="51" fillId="35" borderId="160" applyNumberFormat="0" applyProtection="0">
      <alignment vertical="center"/>
    </xf>
    <xf numFmtId="0" fontId="105" fillId="0" borderId="164" applyNumberFormat="0" applyFill="0" applyAlignment="0" applyProtection="0"/>
    <xf numFmtId="0" fontId="18" fillId="76" borderId="162" applyNumberFormat="0" applyFont="0" applyAlignment="0" applyProtection="0"/>
    <xf numFmtId="0" fontId="18" fillId="49" borderId="160" applyNumberFormat="0" applyProtection="0">
      <alignment horizontal="left" vertical="top" indent="1"/>
    </xf>
    <xf numFmtId="0" fontId="18" fillId="84" borderId="160" applyNumberFormat="0" applyProtection="0">
      <alignment horizontal="left" vertical="center"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7" borderId="160" applyNumberFormat="0" applyProtection="0">
      <alignment horizontal="right" vertical="center"/>
    </xf>
    <xf numFmtId="0" fontId="18" fillId="85"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8" fillId="85" borderId="160" applyNumberFormat="0" applyProtection="0">
      <alignment horizontal="left" vertical="top" indent="1"/>
    </xf>
    <xf numFmtId="4" fontId="47" fillId="44" borderId="160" applyNumberFormat="0" applyProtection="0">
      <alignment horizontal="right" vertical="center"/>
    </xf>
    <xf numFmtId="0" fontId="110" fillId="77" borderId="161" applyNumberFormat="0" applyAlignment="0" applyProtection="0"/>
    <xf numFmtId="0" fontId="63" fillId="59" borderId="165" applyNumberFormat="0" applyFont="0" applyFill="0" applyAlignment="0" applyProtection="0">
      <protection locked="0"/>
    </xf>
    <xf numFmtId="0" fontId="18" fillId="84" borderId="160" applyNumberFormat="0" applyProtection="0">
      <alignment horizontal="left" vertical="center" indent="1"/>
    </xf>
    <xf numFmtId="0" fontId="18" fillId="49" borderId="160" applyNumberFormat="0" applyProtection="0">
      <alignment horizontal="left" vertical="top" indent="1"/>
    </xf>
    <xf numFmtId="0" fontId="105" fillId="0" borderId="164" applyNumberFormat="0" applyFill="0" applyAlignment="0" applyProtection="0"/>
    <xf numFmtId="0" fontId="18" fillId="76" borderId="162" applyNumberFormat="0" applyFont="0" applyAlignment="0" applyProtection="0"/>
    <xf numFmtId="4" fontId="51" fillId="35" borderId="160" applyNumberFormat="0" applyProtection="0">
      <alignment vertical="center"/>
    </xf>
    <xf numFmtId="0" fontId="18" fillId="84" borderId="160" applyNumberFormat="0" applyProtection="0">
      <alignment horizontal="left" vertical="top" indent="1"/>
    </xf>
    <xf numFmtId="0" fontId="114" fillId="79" borderId="163" applyNumberFormat="0" applyAlignment="0" applyProtection="0"/>
    <xf numFmtId="0" fontId="102" fillId="79" borderId="161" applyNumberFormat="0" applyAlignment="0" applyProtection="0"/>
    <xf numFmtId="0" fontId="114" fillId="79" borderId="163" applyNumberFormat="0" applyAlignment="0" applyProtection="0"/>
    <xf numFmtId="4" fontId="47" fillId="45" borderId="160" applyNumberFormat="0" applyProtection="0">
      <alignment horizontal="right" vertical="center"/>
    </xf>
    <xf numFmtId="0" fontId="18" fillId="85" borderId="160" applyNumberFormat="0" applyProtection="0">
      <alignment horizontal="left" vertical="center" indent="1"/>
    </xf>
    <xf numFmtId="0" fontId="105" fillId="0" borderId="164" applyNumberFormat="0" applyFill="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27" fillId="34" borderId="160" applyNumberFormat="0" applyProtection="0"/>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4" fontId="47" fillId="51" borderId="160" applyNumberFormat="0" applyProtection="0">
      <alignment horizontal="left" vertical="center" indent="1"/>
    </xf>
    <xf numFmtId="4" fontId="27" fillId="38" borderId="160" applyNumberFormat="0" applyProtection="0">
      <alignment horizontal="left" vertical="center" indent="1"/>
    </xf>
    <xf numFmtId="4" fontId="47" fillId="0"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5" fillId="49" borderId="160" applyNumberFormat="0" applyProtection="0">
      <alignment horizontal="right" vertical="center"/>
    </xf>
    <xf numFmtId="0" fontId="47" fillId="34" borderId="160" applyNumberFormat="0" applyProtection="0">
      <alignment horizontal="left" vertical="top"/>
    </xf>
    <xf numFmtId="4" fontId="47" fillId="0" borderId="160" applyNumberFormat="0" applyProtection="0">
      <alignment horizontal="left" vertical="center" indent="1"/>
    </xf>
    <xf numFmtId="4" fontId="51" fillId="49" borderId="160" applyNumberFormat="0" applyProtection="0">
      <alignment horizontal="right" vertical="center"/>
    </xf>
    <xf numFmtId="4" fontId="47" fillId="0" borderId="160" applyNumberFormat="0" applyProtection="0">
      <alignment horizontal="right" vertical="center"/>
    </xf>
    <xf numFmtId="0" fontId="47" fillId="35" borderId="160" applyNumberFormat="0" applyProtection="0">
      <alignment horizontal="left" vertical="top" indent="1"/>
    </xf>
    <xf numFmtId="4" fontId="47" fillId="35" borderId="160" applyNumberFormat="0" applyProtection="0">
      <alignment horizontal="left" vertical="center" indent="1"/>
    </xf>
    <xf numFmtId="4" fontId="51" fillId="35" borderId="160" applyNumberFormat="0" applyProtection="0">
      <alignment vertical="center"/>
    </xf>
    <xf numFmtId="4" fontId="47" fillId="35" borderId="160" applyNumberFormat="0" applyProtection="0">
      <alignment vertical="center"/>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4" fontId="47" fillId="51" borderId="160" applyNumberFormat="0" applyProtection="0">
      <alignment horizontal="right" vertical="center"/>
    </xf>
    <xf numFmtId="4" fontId="47" fillId="47" borderId="160" applyNumberFormat="0" applyProtection="0">
      <alignment horizontal="right" vertical="center"/>
    </xf>
    <xf numFmtId="4" fontId="47" fillId="46" borderId="160" applyNumberFormat="0" applyProtection="0">
      <alignment horizontal="right" vertical="center"/>
    </xf>
    <xf numFmtId="4" fontId="47" fillId="45" borderId="160" applyNumberFormat="0" applyProtection="0">
      <alignment horizontal="right" vertical="center"/>
    </xf>
    <xf numFmtId="4" fontId="47" fillId="44" borderId="160" applyNumberFormat="0" applyProtection="0">
      <alignment horizontal="right" vertical="center"/>
    </xf>
    <xf numFmtId="4" fontId="47" fillId="43" borderId="160" applyNumberFormat="0" applyProtection="0">
      <alignment horizontal="right" vertical="center"/>
    </xf>
    <xf numFmtId="4" fontId="47" fillId="42" borderId="160" applyNumberFormat="0" applyProtection="0">
      <alignment horizontal="right" vertical="center"/>
    </xf>
    <xf numFmtId="4" fontId="47" fillId="41" borderId="160" applyNumberFormat="0" applyProtection="0">
      <alignment horizontal="right" vertical="center"/>
    </xf>
    <xf numFmtId="4" fontId="47" fillId="40" borderId="160" applyNumberFormat="0" applyProtection="0">
      <alignment horizontal="right" vertical="center"/>
    </xf>
    <xf numFmtId="4" fontId="47" fillId="39" borderId="160" applyNumberFormat="0" applyProtection="0">
      <alignment horizontal="right" vertical="center"/>
    </xf>
    <xf numFmtId="0" fontId="27" fillId="38" borderId="160" applyNumberFormat="0" applyProtection="0">
      <alignment horizontal="left" vertical="top" indent="1"/>
    </xf>
    <xf numFmtId="4" fontId="27" fillId="38" borderId="160" applyNumberFormat="0" applyProtection="0">
      <alignment horizontal="left" vertical="center" indent="1"/>
    </xf>
    <xf numFmtId="4" fontId="46" fillId="38" borderId="160" applyNumberFormat="0" applyProtection="0">
      <alignment vertical="center"/>
    </xf>
    <xf numFmtId="4" fontId="27" fillId="37" borderId="160" applyNumberFormat="0" applyProtection="0">
      <alignment vertical="center"/>
    </xf>
    <xf numFmtId="0" fontId="63" fillId="59" borderId="165" applyNumberFormat="0" applyFont="0" applyFill="0" applyAlignment="0" applyProtection="0">
      <protection locked="0"/>
    </xf>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0" fontId="105" fillId="0" borderId="164" applyNumberFormat="0" applyFill="0" applyAlignment="0" applyProtection="0"/>
    <xf numFmtId="0" fontId="105" fillId="0" borderId="164" applyNumberFormat="0" applyFill="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0" fontId="114" fillId="79" borderId="163" applyNumberFormat="0" applyAlignment="0" applyProtection="0"/>
    <xf numFmtId="4" fontId="27" fillId="37"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0" fontId="27" fillId="38" borderId="160" applyNumberFormat="0" applyProtection="0">
      <alignment horizontal="left" vertical="top" indent="1"/>
    </xf>
    <xf numFmtId="4" fontId="47" fillId="39"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4" fontId="47"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0" fontId="47" fillId="34" borderId="160" applyNumberFormat="0" applyProtection="0">
      <alignment horizontal="left" vertical="top"/>
    </xf>
    <xf numFmtId="4" fontId="25" fillId="49" borderId="160"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12" fontId="26" fillId="36" borderId="49">
      <alignment horizontal="left"/>
    </xf>
    <xf numFmtId="0" fontId="18" fillId="54" borderId="142" applyNumberFormat="0" applyProtection="0">
      <alignment horizontal="left" vertical="top" indent="1"/>
    </xf>
    <xf numFmtId="0" fontId="18" fillId="55" borderId="142" applyNumberFormat="0" applyProtection="0">
      <alignment horizontal="left" vertical="center" indent="1"/>
    </xf>
    <xf numFmtId="0" fontId="18" fillId="55" borderId="142" applyNumberFormat="0" applyProtection="0">
      <alignment horizontal="left" vertical="top" indent="1"/>
    </xf>
    <xf numFmtId="4" fontId="47" fillId="0" borderId="142" applyNumberFormat="0" applyProtection="0">
      <alignment horizontal="right" vertical="center"/>
    </xf>
    <xf numFmtId="4" fontId="47" fillId="0" borderId="142" applyNumberFormat="0" applyProtection="0">
      <alignment horizontal="right" vertical="center"/>
    </xf>
    <xf numFmtId="4" fontId="47" fillId="0" borderId="142" applyNumberFormat="0" applyProtection="0">
      <alignment horizontal="left" vertical="center" indent="1"/>
    </xf>
    <xf numFmtId="0" fontId="47" fillId="34" borderId="142" applyNumberFormat="0" applyProtection="0">
      <alignment horizontal="left" vertical="top"/>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27" fillId="37"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46"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vertical="center"/>
    </xf>
    <xf numFmtId="4" fontId="27" fillId="38" borderId="160" applyNumberFormat="0" applyProtection="0">
      <alignment vertical="center"/>
    </xf>
    <xf numFmtId="4" fontId="27" fillId="38" borderId="160" applyNumberFormat="0" applyProtection="0">
      <alignment vertical="center"/>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4" fontId="27" fillId="38" borderId="160" applyNumberFormat="0" applyProtection="0">
      <alignment horizontal="left" vertical="center"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0" fontId="27" fillId="38" borderId="160" applyNumberFormat="0" applyProtection="0">
      <alignment horizontal="left" vertical="top" indent="1"/>
    </xf>
    <xf numFmtId="4" fontId="27" fillId="34" borderId="160" applyNumberFormat="0" applyProtection="0"/>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160" applyNumberFormat="0" applyProtection="0"/>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27" fillId="34" borderId="36" applyNumberFormat="0" applyProtection="0">
      <alignmen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39"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0"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1"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2"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3"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4"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5"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6"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47"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4" fontId="47" fillId="51" borderId="160" applyNumberFormat="0" applyProtection="0">
      <alignment horizontal="right" vertical="center"/>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84"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center"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84"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50" borderId="160" applyNumberFormat="0" applyProtection="0">
      <alignment horizontal="left" vertical="top"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51"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center"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51"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34" borderId="160" applyNumberFormat="0" applyProtection="0">
      <alignment horizontal="left" vertical="top"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85"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center"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85"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4" borderId="160" applyNumberFormat="0" applyProtection="0">
      <alignment horizontal="left" vertical="top"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49"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center"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49"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0" fontId="18" fillId="55" borderId="160" applyNumberFormat="0" applyProtection="0">
      <alignment horizontal="left" vertical="top" indent="1"/>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47"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51" fillId="35" borderId="160" applyNumberFormat="0" applyProtection="0">
      <alignment vertical="center"/>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4" fontId="47" fillId="35" borderId="160" applyNumberFormat="0" applyProtection="0">
      <alignment horizontal="left" vertical="center"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0" fontId="47" fillId="35" borderId="160" applyNumberFormat="0" applyProtection="0">
      <alignment horizontal="left" vertical="top" indent="1"/>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47" fillId="0"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51" fillId="49" borderId="160" applyNumberFormat="0" applyProtection="0">
      <alignment horizontal="right" vertical="center"/>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9" borderId="160" applyNumberFormat="0" applyProtection="0">
      <alignment horizontal="left" vertical="center" indent="1"/>
    </xf>
    <xf numFmtId="4" fontId="47" fillId="59" borderId="160" applyNumberFormat="0" applyProtection="0">
      <alignment horizontal="left" vertical="center" indent="1"/>
    </xf>
    <xf numFmtId="4" fontId="47" fillId="59"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0" borderId="160" applyNumberFormat="0" applyProtection="0">
      <alignment horizontal="left" vertical="center" indent="1"/>
    </xf>
    <xf numFmtId="4" fontId="47" fillId="51" borderId="160" applyNumberFormat="0" applyProtection="0">
      <alignment horizontal="left" vertical="center" indent="1"/>
    </xf>
    <xf numFmtId="4" fontId="47" fillId="51" borderId="160" applyNumberFormat="0" applyProtection="0">
      <alignment horizontal="left" vertical="center" indent="1"/>
    </xf>
    <xf numFmtId="4" fontId="47" fillId="51" borderId="160" applyNumberFormat="0" applyProtection="0">
      <alignment horizontal="left" vertical="center" indent="1"/>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center" vertical="top"/>
    </xf>
    <xf numFmtId="0" fontId="47" fillId="34" borderId="160" applyNumberFormat="0" applyProtection="0">
      <alignment horizontal="center" vertical="top"/>
    </xf>
    <xf numFmtId="0" fontId="47" fillId="34" borderId="160" applyNumberFormat="0" applyProtection="0">
      <alignment horizontal="center"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0" fontId="47" fillId="34" borderId="160" applyNumberFormat="0" applyProtection="0">
      <alignment horizontal="left" vertical="top"/>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4" fontId="25" fillId="49" borderId="160" applyNumberFormat="0" applyProtection="0">
      <alignment horizontal="right" vertical="center"/>
    </xf>
    <xf numFmtId="176" fontId="18" fillId="0" borderId="145">
      <alignment horizontal="justify" vertical="top" wrapText="1"/>
    </xf>
    <xf numFmtId="4" fontId="47" fillId="42" borderId="142" applyNumberFormat="0" applyProtection="0">
      <alignment horizontal="right" vertical="center"/>
    </xf>
    <xf numFmtId="4" fontId="47" fillId="43" borderId="142" applyNumberFormat="0" applyProtection="0">
      <alignment horizontal="right" vertical="center"/>
    </xf>
    <xf numFmtId="4" fontId="47" fillId="44" borderId="142" applyNumberFormat="0" applyProtection="0">
      <alignment horizontal="right" vertical="center"/>
    </xf>
    <xf numFmtId="4" fontId="47" fillId="47" borderId="142" applyNumberFormat="0" applyProtection="0">
      <alignment horizontal="right" vertical="center"/>
    </xf>
    <xf numFmtId="4" fontId="27" fillId="38" borderId="142" applyNumberFormat="0" applyProtection="0">
      <alignment horizontal="left" vertical="center" indent="1"/>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8" fillId="54" borderId="142" applyNumberFormat="0" applyProtection="0">
      <alignment horizontal="left" vertical="center" indent="1"/>
    </xf>
    <xf numFmtId="4" fontId="47" fillId="0" borderId="142" applyNumberFormat="0" applyProtection="0">
      <alignment horizontal="right" vertical="center"/>
    </xf>
    <xf numFmtId="4" fontId="47" fillId="0" borderId="142" applyNumberFormat="0" applyProtection="0">
      <alignment horizontal="right" vertical="center"/>
    </xf>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0" fontId="105" fillId="0" borderId="164" applyNumberFormat="0" applyFill="0" applyAlignment="0" applyProtection="0"/>
    <xf numFmtId="4" fontId="27" fillId="38" borderId="142" applyNumberFormat="0" applyProtection="0">
      <alignment horizontal="left" vertical="center" indent="1"/>
    </xf>
    <xf numFmtId="4" fontId="47" fillId="0" borderId="142" applyNumberFormat="0" applyProtection="0">
      <alignment horizontal="right" vertical="center"/>
    </xf>
    <xf numFmtId="0" fontId="18" fillId="54" borderId="142" applyNumberFormat="0" applyProtection="0">
      <alignment horizontal="left" vertical="center" indent="1"/>
    </xf>
    <xf numFmtId="0" fontId="47" fillId="35" borderId="142" applyNumberFormat="0" applyProtection="0">
      <alignment horizontal="left" vertical="top" indent="1"/>
    </xf>
    <xf numFmtId="4" fontId="47" fillId="51" borderId="142" applyNumberFormat="0" applyProtection="0">
      <alignment horizontal="right" vertical="center"/>
    </xf>
    <xf numFmtId="0" fontId="26" fillId="0" borderId="32">
      <alignment horizontal="left" vertical="center"/>
    </xf>
    <xf numFmtId="0" fontId="110" fillId="77" borderId="161" applyNumberFormat="0" applyAlignment="0" applyProtection="0"/>
    <xf numFmtId="0" fontId="24" fillId="59" borderId="165" applyNumberFormat="0" applyFont="0" applyAlignment="0" applyProtection="0">
      <protection locked="0"/>
    </xf>
    <xf numFmtId="0" fontId="102" fillId="79" borderId="161" applyNumberFormat="0" applyAlignment="0" applyProtection="0"/>
    <xf numFmtId="0" fontId="18" fillId="50" borderId="142" applyNumberFormat="0" applyProtection="0">
      <alignment horizontal="left" vertical="center" indent="1"/>
    </xf>
    <xf numFmtId="0" fontId="102" fillId="79" borderId="161" applyNumberFormat="0" applyAlignment="0" applyProtection="0"/>
    <xf numFmtId="0" fontId="18" fillId="54" borderId="142" applyNumberFormat="0" applyProtection="0">
      <alignment horizontal="left" vertical="center" indent="1"/>
    </xf>
    <xf numFmtId="0" fontId="102" fillId="79" borderId="161" applyNumberFormat="0" applyAlignment="0" applyProtection="0"/>
    <xf numFmtId="0" fontId="24" fillId="59" borderId="165" applyNumberFormat="0" applyFont="0" applyAlignment="0" applyProtection="0">
      <protection locked="0"/>
    </xf>
    <xf numFmtId="0" fontId="47" fillId="34" borderId="142" applyNumberFormat="0" applyProtection="0">
      <alignment horizontal="left" vertical="top"/>
    </xf>
    <xf numFmtId="0" fontId="102" fillId="79" borderId="161" applyNumberFormat="0" applyAlignment="0" applyProtection="0"/>
    <xf numFmtId="0" fontId="63" fillId="59" borderId="165" applyNumberFormat="0" applyFont="0" applyFill="0" applyAlignment="0" applyProtection="0">
      <protection locked="0"/>
    </xf>
    <xf numFmtId="4" fontId="47" fillId="0" borderId="142" applyNumberFormat="0" applyProtection="0">
      <alignment horizontal="right" vertical="center"/>
    </xf>
    <xf numFmtId="0" fontId="110" fillId="77" borderId="161" applyNumberFormat="0" applyAlignment="0" applyProtection="0"/>
    <xf numFmtId="0" fontId="102" fillId="79" borderId="161" applyNumberFormat="0" applyAlignment="0" applyProtection="0"/>
    <xf numFmtId="0" fontId="110" fillId="77" borderId="161" applyNumberFormat="0" applyAlignment="0" applyProtection="0"/>
    <xf numFmtId="0" fontId="102" fillId="79" borderId="161" applyNumberFormat="0" applyAlignment="0" applyProtection="0"/>
    <xf numFmtId="0" fontId="26" fillId="0" borderId="32">
      <alignment horizontal="left" vertical="center"/>
    </xf>
    <xf numFmtId="0" fontId="26" fillId="0" borderId="32">
      <alignment horizontal="left" vertical="center"/>
    </xf>
    <xf numFmtId="0" fontId="110" fillId="77" borderId="161" applyNumberFormat="0" applyAlignment="0" applyProtection="0"/>
    <xf numFmtId="0" fontId="18" fillId="54" borderId="142" applyNumberFormat="0" applyProtection="0">
      <alignment horizontal="left" vertical="center" indent="1"/>
    </xf>
    <xf numFmtId="0" fontId="110" fillId="77" borderId="161" applyNumberFormat="0" applyAlignment="0" applyProtection="0"/>
    <xf numFmtId="0" fontId="110" fillId="77" borderId="161" applyNumberFormat="0" applyAlignment="0" applyProtection="0"/>
    <xf numFmtId="4" fontId="47" fillId="0" borderId="142" applyNumberFormat="0" applyProtection="0">
      <alignment horizontal="left" vertical="center" indent="1"/>
    </xf>
    <xf numFmtId="0" fontId="110" fillId="77" borderId="161" applyNumberFormat="0" applyAlignment="0" applyProtection="0"/>
    <xf numFmtId="0" fontId="102" fillId="79" borderId="161" applyNumberFormat="0" applyAlignment="0" applyProtection="0"/>
    <xf numFmtId="0" fontId="110" fillId="77" borderId="161" applyNumberFormat="0" applyAlignment="0" applyProtection="0"/>
    <xf numFmtId="0" fontId="63" fillId="59" borderId="165" applyNumberFormat="0" applyFont="0" applyFill="0" applyAlignment="0" applyProtection="0">
      <protection locked="0"/>
    </xf>
    <xf numFmtId="0" fontId="18" fillId="54" borderId="142" applyNumberFormat="0" applyProtection="0">
      <alignment horizontal="left" vertical="top" indent="1"/>
    </xf>
    <xf numFmtId="0" fontId="102" fillId="79" borderId="161" applyNumberFormat="0" applyAlignment="0" applyProtection="0"/>
    <xf numFmtId="4" fontId="47" fillId="0" borderId="142" applyNumberFormat="0" applyProtection="0">
      <alignment horizontal="right" vertical="center"/>
    </xf>
    <xf numFmtId="4" fontId="47" fillId="0" borderId="142" applyNumberFormat="0" applyProtection="0">
      <alignment horizontal="left" vertical="center" indent="1"/>
    </xf>
    <xf numFmtId="0" fontId="18" fillId="34" borderId="142" applyNumberFormat="0" applyProtection="0">
      <alignment horizontal="left" vertical="center" indent="1"/>
    </xf>
    <xf numFmtId="0" fontId="47" fillId="34" borderId="142" applyNumberFormat="0" applyProtection="0">
      <alignment horizontal="left" vertical="top"/>
    </xf>
    <xf numFmtId="0" fontId="47" fillId="34" borderId="142" applyNumberFormat="0" applyProtection="0">
      <alignment horizontal="left" vertical="top"/>
    </xf>
    <xf numFmtId="0" fontId="47" fillId="34" borderId="142" applyNumberFormat="0" applyProtection="0">
      <alignment horizontal="left" vertical="top"/>
    </xf>
    <xf numFmtId="4" fontId="47" fillId="0"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47" fillId="34" borderId="142" applyNumberFormat="0" applyProtection="0">
      <alignment horizontal="left" vertical="top"/>
    </xf>
    <xf numFmtId="0" fontId="18" fillId="54" borderId="142" applyNumberFormat="0" applyProtection="0">
      <alignment horizontal="left" vertical="top" indent="1"/>
    </xf>
    <xf numFmtId="0" fontId="24" fillId="59" borderId="165" applyNumberFormat="0" applyFont="0" applyAlignment="0" applyProtection="0">
      <protection locked="0"/>
    </xf>
    <xf numFmtId="0" fontId="63" fillId="59" borderId="165" applyNumberFormat="0" applyFont="0" applyFill="0" applyAlignment="0" applyProtection="0">
      <protection locked="0"/>
    </xf>
    <xf numFmtId="0" fontId="63" fillId="59" borderId="165" applyNumberFormat="0" applyFont="0" applyFill="0" applyAlignment="0" applyProtection="0">
      <protection locked="0"/>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24" fillId="59" borderId="165" applyNumberFormat="0" applyFont="0" applyAlignment="0" applyProtection="0">
      <protection locked="0"/>
    </xf>
    <xf numFmtId="4" fontId="51" fillId="49" borderId="142" applyNumberFormat="0" applyProtection="0">
      <alignment horizontal="right" vertical="center"/>
    </xf>
    <xf numFmtId="0" fontId="18" fillId="54" borderId="142" applyNumberFormat="0" applyProtection="0">
      <alignment horizontal="left" vertical="center" indent="1"/>
    </xf>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47" fillId="35" borderId="142" applyNumberFormat="0" applyProtection="0">
      <alignment horizontal="left" vertical="top" indent="1"/>
    </xf>
    <xf numFmtId="0" fontId="18" fillId="34" borderId="142" applyNumberFormat="0" applyProtection="0">
      <alignment horizontal="left" vertical="top" indent="1"/>
    </xf>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05" fillId="0" borderId="146" applyNumberFormat="0" applyFill="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8" fillId="76" borderId="162" applyNumberFormat="0" applyFon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10" fillId="77"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02" fillId="79" borderId="161" applyNumberFormat="0" applyAlignment="0" applyProtection="0"/>
    <xf numFmtId="0" fontId="18" fillId="0" borderId="167" applyNumberFormat="0" applyFill="0" applyAlignment="0" applyProtection="0"/>
    <xf numFmtId="0" fontId="18" fillId="0" borderId="167" applyNumberFormat="0" applyFill="0" applyAlignment="0" applyProtection="0"/>
    <xf numFmtId="0" fontId="26" fillId="0" borderId="150">
      <alignment horizontal="left" vertical="center"/>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0" fontId="21" fillId="35" borderId="168" applyNumberFormat="0" applyFont="0" applyAlignment="0" applyProtection="0">
      <alignment horizontal="center"/>
      <protection locked="0"/>
    </xf>
    <xf numFmtId="176" fontId="18" fillId="0" borderId="169">
      <alignment horizontal="justify" vertical="top" wrapText="1"/>
    </xf>
    <xf numFmtId="0" fontId="35" fillId="0" borderId="170"/>
  </cellStyleXfs>
  <cellXfs count="976">
    <xf numFmtId="0" fontId="0" fillId="0" borderId="0" xfId="0"/>
    <xf numFmtId="0" fontId="0" fillId="0" borderId="0" xfId="0" applyBorder="1"/>
    <xf numFmtId="0" fontId="0" fillId="0" borderId="0" xfId="0"/>
    <xf numFmtId="0" fontId="121" fillId="0" borderId="0" xfId="24690" applyFont="1" applyFill="1" applyBorder="1" applyAlignment="1"/>
    <xf numFmtId="0" fontId="122" fillId="0" borderId="0" xfId="0" applyFont="1"/>
    <xf numFmtId="49" fontId="121" fillId="0" borderId="0" xfId="24690" applyNumberFormat="1" applyFont="1" applyFill="1" applyBorder="1" applyAlignment="1"/>
    <xf numFmtId="0" fontId="122" fillId="0" borderId="0" xfId="0" applyFont="1" applyAlignment="1">
      <alignment horizontal="center"/>
    </xf>
    <xf numFmtId="0" fontId="122" fillId="0" borderId="0" xfId="0" applyFont="1" applyAlignment="1">
      <alignment vertical="center" wrapText="1"/>
    </xf>
    <xf numFmtId="0" fontId="122" fillId="0" borderId="0" xfId="0" applyFont="1" applyAlignment="1">
      <alignment wrapText="1"/>
    </xf>
    <xf numFmtId="0" fontId="122" fillId="0" borderId="0" xfId="0" applyFont="1" applyFill="1" applyAlignment="1">
      <alignment vertical="center" wrapText="1"/>
    </xf>
    <xf numFmtId="0" fontId="123" fillId="0" borderId="0" xfId="0" applyFont="1" applyAlignment="1">
      <alignment horizontal="center"/>
    </xf>
    <xf numFmtId="0" fontId="122" fillId="0" borderId="0" xfId="0" applyFont="1" applyAlignment="1">
      <alignment horizontal="center" vertical="center"/>
    </xf>
    <xf numFmtId="49" fontId="121" fillId="0" borderId="0" xfId="24690" applyNumberFormat="1" applyFont="1" applyFill="1" applyBorder="1" applyAlignment="1">
      <alignment horizontal="center"/>
    </xf>
    <xf numFmtId="0" fontId="122" fillId="0" borderId="0" xfId="0" applyFont="1" applyBorder="1" applyAlignment="1">
      <alignment horizontal="center"/>
    </xf>
    <xf numFmtId="0" fontId="122" fillId="0" borderId="0" xfId="0" applyFont="1" applyBorder="1"/>
    <xf numFmtId="0" fontId="124" fillId="0" borderId="0" xfId="0" applyFont="1" applyAlignment="1">
      <alignment horizontal="right" vertical="center"/>
    </xf>
    <xf numFmtId="0" fontId="122" fillId="0" borderId="0" xfId="0" applyFont="1" applyAlignment="1">
      <alignment horizontal="right" vertical="center"/>
    </xf>
    <xf numFmtId="0" fontId="122" fillId="0" borderId="0" xfId="0" applyFont="1" applyBorder="1" applyAlignment="1">
      <alignment horizontal="right" vertical="center"/>
    </xf>
    <xf numFmtId="0" fontId="124" fillId="0" borderId="0" xfId="0" applyFont="1" applyBorder="1" applyAlignment="1">
      <alignment horizontal="center" vertical="center"/>
    </xf>
    <xf numFmtId="0" fontId="125" fillId="0" borderId="0" xfId="0" applyFont="1" applyBorder="1" applyAlignment="1">
      <alignment horizontal="center" vertical="center"/>
    </xf>
    <xf numFmtId="0" fontId="61" fillId="0" borderId="0" xfId="0" applyFont="1" applyBorder="1" applyAlignment="1">
      <alignment vertical="center"/>
    </xf>
    <xf numFmtId="195" fontId="0" fillId="0" borderId="0" xfId="0" applyNumberFormat="1"/>
    <xf numFmtId="0" fontId="125" fillId="0" borderId="0" xfId="0" applyFont="1" applyAlignment="1">
      <alignment horizontal="center"/>
    </xf>
    <xf numFmtId="0" fontId="32" fillId="0" borderId="0" xfId="25295" quotePrefix="1" applyFont="1" applyFill="1" applyBorder="1" applyAlignment="1"/>
    <xf numFmtId="0" fontId="122" fillId="0" borderId="0" xfId="0" applyFont="1" applyFill="1"/>
    <xf numFmtId="0" fontId="125" fillId="0" borderId="0" xfId="0" applyFont="1"/>
    <xf numFmtId="0" fontId="122" fillId="0" borderId="0" xfId="0" applyFont="1" applyFill="1" applyAlignment="1">
      <alignment horizontal="center"/>
    </xf>
    <xf numFmtId="0" fontId="121" fillId="0" borderId="0" xfId="24690" applyFont="1" applyFill="1" applyBorder="1" applyAlignment="1">
      <alignment horizontal="center"/>
    </xf>
    <xf numFmtId="0" fontId="124" fillId="0" borderId="0" xfId="0" applyFont="1" applyAlignment="1">
      <alignment horizontal="center"/>
    </xf>
    <xf numFmtId="0" fontId="122" fillId="0" borderId="0" xfId="0" applyFont="1" applyAlignment="1"/>
    <xf numFmtId="0" fontId="121" fillId="0" borderId="0" xfId="24690" applyFont="1" applyFill="1" applyBorder="1" applyAlignment="1">
      <alignment horizontal="center"/>
    </xf>
    <xf numFmtId="0" fontId="122" fillId="0" borderId="0" xfId="0" applyFont="1" applyBorder="1" applyAlignment="1">
      <alignment vertical="center"/>
    </xf>
    <xf numFmtId="0" fontId="121" fillId="0" borderId="0" xfId="1" applyFont="1" applyBorder="1"/>
    <xf numFmtId="0" fontId="32" fillId="0" borderId="0" xfId="1" applyFont="1" applyBorder="1"/>
    <xf numFmtId="0" fontId="32" fillId="0" borderId="0" xfId="1" applyFont="1"/>
    <xf numFmtId="0" fontId="32" fillId="0" borderId="33" xfId="1" applyFont="1" applyBorder="1"/>
    <xf numFmtId="0" fontId="32" fillId="0" borderId="34" xfId="1" applyFont="1" applyBorder="1"/>
    <xf numFmtId="0" fontId="32" fillId="0" borderId="11" xfId="1" applyFont="1" applyBorder="1"/>
    <xf numFmtId="0" fontId="32" fillId="0" borderId="0" xfId="1" applyFont="1" applyBorder="1" applyAlignment="1">
      <alignment horizontal="center"/>
    </xf>
    <xf numFmtId="0" fontId="32" fillId="0" borderId="11" xfId="1" applyFont="1" applyBorder="1" applyAlignment="1"/>
    <xf numFmtId="0" fontId="32" fillId="0" borderId="0" xfId="1" applyFont="1" applyBorder="1" applyAlignment="1"/>
    <xf numFmtId="0" fontId="32" fillId="0" borderId="0" xfId="1" quotePrefix="1" applyFont="1" applyBorder="1" applyAlignment="1">
      <alignment horizontal="center"/>
    </xf>
    <xf numFmtId="0" fontId="32" fillId="0" borderId="11" xfId="1" quotePrefix="1" applyFont="1" applyBorder="1" applyAlignment="1">
      <alignment horizontal="center"/>
    </xf>
    <xf numFmtId="0" fontId="32" fillId="0" borderId="11" xfId="1" applyFont="1" applyBorder="1" applyAlignment="1">
      <alignment horizontal="center"/>
    </xf>
    <xf numFmtId="49" fontId="32" fillId="0" borderId="0" xfId="1" applyNumberFormat="1" applyFont="1" applyBorder="1" applyAlignment="1">
      <alignment horizontal="center"/>
    </xf>
    <xf numFmtId="49" fontId="32" fillId="0" borderId="11" xfId="1" applyNumberFormat="1" applyFont="1" applyBorder="1" applyAlignment="1">
      <alignment horizontal="center"/>
    </xf>
    <xf numFmtId="0" fontId="32" fillId="0" borderId="0" xfId="1" applyFont="1" applyFill="1" applyBorder="1" applyProtection="1"/>
    <xf numFmtId="0" fontId="32" fillId="0" borderId="11" xfId="1" applyFont="1" applyFill="1" applyBorder="1"/>
    <xf numFmtId="38" fontId="32" fillId="0" borderId="11" xfId="1" applyNumberFormat="1" applyFont="1" applyBorder="1"/>
    <xf numFmtId="38" fontId="32" fillId="0" borderId="0" xfId="2" applyNumberFormat="1" applyFont="1" applyBorder="1"/>
    <xf numFmtId="38" fontId="32" fillId="0" borderId="0" xfId="3" applyNumberFormat="1" applyFont="1" applyBorder="1">
      <alignment horizontal="right"/>
    </xf>
    <xf numFmtId="38" fontId="32" fillId="0" borderId="11" xfId="3" applyNumberFormat="1" applyFont="1" applyBorder="1">
      <alignment horizontal="right"/>
    </xf>
    <xf numFmtId="38" fontId="32" fillId="0" borderId="0" xfId="2" applyNumberFormat="1" applyFont="1" applyFill="1" applyBorder="1" applyProtection="1"/>
    <xf numFmtId="0" fontId="32" fillId="0" borderId="0" xfId="1" applyFont="1" applyFill="1" applyBorder="1"/>
    <xf numFmtId="0" fontId="121" fillId="0" borderId="0" xfId="1" applyFont="1" applyFill="1" applyBorder="1" applyProtection="1"/>
    <xf numFmtId="38" fontId="32" fillId="0" borderId="11" xfId="2" applyNumberFormat="1" applyFont="1" applyFill="1" applyBorder="1" applyProtection="1"/>
    <xf numFmtId="168" fontId="122" fillId="0" borderId="0" xfId="25793" applyNumberFormat="1" applyFont="1"/>
    <xf numFmtId="38" fontId="32" fillId="0" borderId="15" xfId="3" applyNumberFormat="1" applyFont="1" applyBorder="1">
      <alignment horizontal="right"/>
    </xf>
    <xf numFmtId="0" fontId="32" fillId="0" borderId="0" xfId="24545" applyFont="1" applyFill="1" applyBorder="1" applyAlignment="1">
      <alignment horizontal="left" indent="1"/>
    </xf>
    <xf numFmtId="38" fontId="122" fillId="0" borderId="0" xfId="0" applyNumberFormat="1" applyFont="1"/>
    <xf numFmtId="43" fontId="122" fillId="0" borderId="0" xfId="0" applyNumberFormat="1" applyFont="1"/>
    <xf numFmtId="38" fontId="32" fillId="0" borderId="0" xfId="2" applyNumberFormat="1" applyFont="1" applyFill="1" applyBorder="1"/>
    <xf numFmtId="0" fontId="121" fillId="0" borderId="0" xfId="1" applyFont="1" applyFill="1" applyBorder="1"/>
    <xf numFmtId="38" fontId="32" fillId="33" borderId="84" xfId="3" applyNumberFormat="1" applyFont="1" applyFill="1" applyBorder="1">
      <alignment horizontal="right"/>
    </xf>
    <xf numFmtId="38" fontId="32" fillId="33" borderId="79" xfId="3" applyNumberFormat="1" applyFont="1" applyFill="1" applyBorder="1">
      <alignment horizontal="right"/>
    </xf>
    <xf numFmtId="38" fontId="32" fillId="33" borderId="0" xfId="3" applyNumberFormat="1" applyFont="1" applyFill="1" applyBorder="1">
      <alignment horizontal="right"/>
    </xf>
    <xf numFmtId="38" fontId="32" fillId="33" borderId="83" xfId="3" applyNumberFormat="1" applyFont="1" applyFill="1" applyBorder="1">
      <alignment horizontal="right"/>
    </xf>
    <xf numFmtId="0" fontId="122" fillId="0" borderId="0" xfId="0" applyFont="1" applyFill="1" applyBorder="1"/>
    <xf numFmtId="38" fontId="32" fillId="33" borderId="11" xfId="3" applyNumberFormat="1" applyFont="1" applyFill="1" applyBorder="1">
      <alignment horizontal="right"/>
    </xf>
    <xf numFmtId="38" fontId="32" fillId="0" borderId="11" xfId="2" applyNumberFormat="1" applyFont="1" applyBorder="1"/>
    <xf numFmtId="38" fontId="32" fillId="33" borderId="18" xfId="3" applyNumberFormat="1" applyFont="1" applyFill="1" applyBorder="1">
      <alignment horizontal="right"/>
    </xf>
    <xf numFmtId="167" fontId="32" fillId="0" borderId="0" xfId="4" applyNumberFormat="1" applyFont="1" applyBorder="1"/>
    <xf numFmtId="10" fontId="32" fillId="0" borderId="11" xfId="4" applyNumberFormat="1" applyFont="1" applyFill="1" applyBorder="1"/>
    <xf numFmtId="5" fontId="122" fillId="0" borderId="0" xfId="0" applyNumberFormat="1" applyFont="1"/>
    <xf numFmtId="0" fontId="32" fillId="0" borderId="0" xfId="25455" applyFont="1"/>
    <xf numFmtId="0" fontId="32" fillId="0" borderId="0" xfId="25455" applyFont="1" applyFill="1" applyBorder="1"/>
    <xf numFmtId="10" fontId="122" fillId="0" borderId="55" xfId="0" applyNumberFormat="1" applyFont="1" applyFill="1" applyBorder="1"/>
    <xf numFmtId="189" fontId="122" fillId="0" borderId="0" xfId="0" applyNumberFormat="1" applyFont="1"/>
    <xf numFmtId="185" fontId="122" fillId="0" borderId="55" xfId="0" applyNumberFormat="1" applyFont="1" applyBorder="1"/>
    <xf numFmtId="0" fontId="32" fillId="0" borderId="35" xfId="25276" applyFont="1" applyBorder="1"/>
    <xf numFmtId="0" fontId="32" fillId="0" borderId="0" xfId="25276" applyFont="1" applyBorder="1"/>
    <xf numFmtId="185" fontId="32" fillId="0" borderId="11" xfId="25276" applyNumberFormat="1" applyFont="1" applyFill="1" applyBorder="1"/>
    <xf numFmtId="0" fontId="32" fillId="0" borderId="35" xfId="25276" quotePrefix="1" applyFont="1" applyBorder="1" applyAlignment="1">
      <alignment horizontal="left" indent="1"/>
    </xf>
    <xf numFmtId="0" fontId="32" fillId="0" borderId="35" xfId="25276" quotePrefix="1" applyFont="1" applyBorder="1" applyAlignment="1">
      <alignment horizontal="left" indent="2"/>
    </xf>
    <xf numFmtId="185" fontId="122" fillId="0" borderId="0" xfId="0" applyNumberFormat="1" applyFont="1"/>
    <xf numFmtId="185" fontId="32" fillId="0" borderId="13" xfId="25276" applyNumberFormat="1" applyFont="1" applyFill="1" applyBorder="1"/>
    <xf numFmtId="185" fontId="32" fillId="0" borderId="52" xfId="25276" applyNumberFormat="1" applyFont="1" applyFill="1" applyBorder="1"/>
    <xf numFmtId="0" fontId="32" fillId="0" borderId="35" xfId="25276" applyFont="1" applyBorder="1" applyAlignment="1">
      <alignment horizontal="left" indent="1"/>
    </xf>
    <xf numFmtId="185" fontId="32" fillId="0" borderId="21" xfId="25276" applyNumberFormat="1" applyFont="1" applyFill="1" applyBorder="1"/>
    <xf numFmtId="185" fontId="121" fillId="0" borderId="51" xfId="25276" applyNumberFormat="1" applyFont="1" applyFill="1" applyBorder="1"/>
    <xf numFmtId="0" fontId="32" fillId="0" borderId="0" xfId="0" applyFont="1" applyBorder="1"/>
    <xf numFmtId="188" fontId="32" fillId="0" borderId="11" xfId="0" applyNumberFormat="1" applyFont="1" applyFill="1" applyBorder="1" applyProtection="1"/>
    <xf numFmtId="0" fontId="32" fillId="0" borderId="35" xfId="0" applyFont="1" applyBorder="1"/>
    <xf numFmtId="0" fontId="32" fillId="0" borderId="11" xfId="0" applyFont="1" applyFill="1" applyBorder="1"/>
    <xf numFmtId="0" fontId="32" fillId="0" borderId="54" xfId="0" applyFont="1" applyBorder="1" applyAlignment="1" applyProtection="1">
      <alignment horizontal="left"/>
    </xf>
    <xf numFmtId="0" fontId="32" fillId="0" borderId="55" xfId="0" applyFont="1" applyBorder="1"/>
    <xf numFmtId="0" fontId="32" fillId="0" borderId="56" xfId="0" applyFont="1" applyFill="1" applyBorder="1"/>
    <xf numFmtId="0" fontId="127" fillId="0" borderId="0" xfId="0" applyFont="1"/>
    <xf numFmtId="37" fontId="32" fillId="0" borderId="0" xfId="25455" applyNumberFormat="1" applyFont="1"/>
    <xf numFmtId="37" fontId="122" fillId="0" borderId="0" xfId="0" applyNumberFormat="1" applyFont="1"/>
    <xf numFmtId="0" fontId="32" fillId="0" borderId="0" xfId="25455" quotePrefix="1" applyFont="1" applyFill="1" applyBorder="1" applyAlignment="1"/>
    <xf numFmtId="0" fontId="32" fillId="89" borderId="0" xfId="25455" quotePrefix="1" applyFont="1" applyFill="1" applyAlignment="1"/>
    <xf numFmtId="0" fontId="32" fillId="0" borderId="0" xfId="25455" applyFont="1" applyBorder="1" applyAlignment="1">
      <alignment horizontal="center"/>
    </xf>
    <xf numFmtId="0" fontId="32" fillId="0" borderId="11" xfId="25455" applyFont="1" applyBorder="1"/>
    <xf numFmtId="0" fontId="32" fillId="0" borderId="77" xfId="25455" applyFont="1" applyBorder="1"/>
    <xf numFmtId="164" fontId="32" fillId="0" borderId="76" xfId="25455" applyNumberFormat="1" applyFont="1" applyBorder="1" applyAlignment="1"/>
    <xf numFmtId="0" fontId="32" fillId="0" borderId="78" xfId="25455" applyFont="1" applyBorder="1"/>
    <xf numFmtId="0" fontId="32" fillId="0" borderId="0" xfId="25455" applyFont="1" applyBorder="1"/>
    <xf numFmtId="0" fontId="32" fillId="0" borderId="75" xfId="25455" applyFont="1" applyFill="1" applyBorder="1" applyAlignment="1">
      <alignment horizontal="center"/>
    </xf>
    <xf numFmtId="0" fontId="32" fillId="0" borderId="35" xfId="25455" applyFont="1" applyBorder="1"/>
    <xf numFmtId="165" fontId="32" fillId="0" borderId="0" xfId="25455" applyNumberFormat="1" applyFont="1" applyBorder="1" applyAlignment="1"/>
    <xf numFmtId="0" fontId="32" fillId="0" borderId="11" xfId="25455" applyFont="1" applyFill="1" applyBorder="1" applyAlignment="1">
      <alignment horizontal="center"/>
    </xf>
    <xf numFmtId="0" fontId="32" fillId="0" borderId="15" xfId="25455" applyFont="1" applyFill="1" applyBorder="1" applyAlignment="1">
      <alignment horizontal="center"/>
    </xf>
    <xf numFmtId="0" fontId="32" fillId="0" borderId="15" xfId="25455" applyFont="1" applyBorder="1" applyAlignment="1">
      <alignment horizontal="center"/>
    </xf>
    <xf numFmtId="0" fontId="32" fillId="0" borderId="54" xfId="25455" applyFont="1" applyBorder="1"/>
    <xf numFmtId="0" fontId="121" fillId="0" borderId="55" xfId="25455" quotePrefix="1" applyFont="1" applyBorder="1"/>
    <xf numFmtId="0" fontId="32" fillId="0" borderId="56" xfId="25455" applyFont="1" applyBorder="1"/>
    <xf numFmtId="49" fontId="32" fillId="0" borderId="16" xfId="25455" applyNumberFormat="1" applyFont="1" applyFill="1" applyBorder="1" applyAlignment="1">
      <alignment horizontal="center"/>
    </xf>
    <xf numFmtId="0" fontId="32" fillId="0" borderId="55" xfId="25455" applyFont="1" applyBorder="1"/>
    <xf numFmtId="0" fontId="32" fillId="0" borderId="16" xfId="25455" applyFont="1" applyBorder="1"/>
    <xf numFmtId="0" fontId="32" fillId="0" borderId="85" xfId="25455" applyFont="1" applyFill="1" applyBorder="1"/>
    <xf numFmtId="0" fontId="32" fillId="0" borderId="14" xfId="25455" applyFont="1" applyBorder="1"/>
    <xf numFmtId="0" fontId="32" fillId="0" borderId="11" xfId="25455" applyFont="1" applyFill="1" applyBorder="1"/>
    <xf numFmtId="0" fontId="32" fillId="0" borderId="0" xfId="25455" applyFont="1" applyFill="1"/>
    <xf numFmtId="5" fontId="32" fillId="0" borderId="14" xfId="25457" applyNumberFormat="1" applyFont="1" applyFill="1" applyBorder="1">
      <alignment horizontal="right"/>
    </xf>
    <xf numFmtId="37" fontId="32" fillId="0" borderId="16" xfId="25456" applyNumberFormat="1" applyFont="1" applyFill="1" applyBorder="1"/>
    <xf numFmtId="37" fontId="32" fillId="86" borderId="14" xfId="25456" applyNumberFormat="1" applyFont="1" applyFill="1" applyBorder="1"/>
    <xf numFmtId="37" fontId="32" fillId="0" borderId="14" xfId="25456" applyNumberFormat="1" applyFont="1" applyFill="1" applyBorder="1"/>
    <xf numFmtId="37" fontId="32" fillId="87" borderId="14" xfId="25456" applyNumberFormat="1" applyFont="1" applyFill="1" applyBorder="1"/>
    <xf numFmtId="0" fontId="121" fillId="0" borderId="0" xfId="25455" applyFont="1" applyBorder="1"/>
    <xf numFmtId="0" fontId="121" fillId="0" borderId="11" xfId="25455" applyFont="1" applyBorder="1"/>
    <xf numFmtId="0" fontId="121" fillId="0" borderId="0" xfId="25455" applyFont="1"/>
    <xf numFmtId="5" fontId="121" fillId="0" borderId="51" xfId="25457" applyNumberFormat="1" applyFont="1" applyBorder="1">
      <alignment horizontal="right"/>
    </xf>
    <xf numFmtId="5" fontId="121" fillId="0" borderId="51" xfId="25457" applyNumberFormat="1" applyFont="1" applyFill="1" applyBorder="1">
      <alignment horizontal="right"/>
    </xf>
    <xf numFmtId="5" fontId="121" fillId="0" borderId="75" xfId="25457" applyNumberFormat="1" applyFont="1" applyBorder="1">
      <alignment horizontal="right"/>
    </xf>
    <xf numFmtId="5" fontId="121" fillId="0" borderId="75" xfId="25457" applyNumberFormat="1" applyFont="1" applyFill="1" applyBorder="1">
      <alignment horizontal="right"/>
    </xf>
    <xf numFmtId="5" fontId="121" fillId="0" borderId="15" xfId="25457" applyNumberFormat="1" applyFont="1" applyBorder="1">
      <alignment horizontal="right"/>
    </xf>
    <xf numFmtId="166" fontId="32" fillId="0" borderId="16" xfId="25456" applyNumberFormat="1" applyFont="1" applyBorder="1"/>
    <xf numFmtId="5" fontId="32" fillId="0" borderId="16" xfId="25457" applyNumberFormat="1" applyFont="1" applyBorder="1">
      <alignment horizontal="right"/>
    </xf>
    <xf numFmtId="41" fontId="32" fillId="86" borderId="14" xfId="25457" applyNumberFormat="1" applyFont="1" applyFill="1" applyBorder="1">
      <alignment horizontal="right"/>
    </xf>
    <xf numFmtId="5" fontId="32" fillId="87" borderId="14" xfId="25457" applyNumberFormat="1" applyFont="1" applyFill="1" applyBorder="1">
      <alignment horizontal="right"/>
    </xf>
    <xf numFmtId="5" fontId="32" fillId="0" borderId="14" xfId="25456" applyNumberFormat="1" applyFont="1" applyBorder="1"/>
    <xf numFmtId="182" fontId="32" fillId="86" borderId="14" xfId="25456" applyNumberFormat="1" applyFont="1" applyFill="1" applyBorder="1"/>
    <xf numFmtId="37" fontId="32" fillId="0" borderId="14" xfId="25456" applyNumberFormat="1" applyFont="1" applyBorder="1"/>
    <xf numFmtId="5" fontId="121" fillId="0" borderId="51" xfId="25456" applyNumberFormat="1" applyFont="1" applyBorder="1"/>
    <xf numFmtId="5" fontId="32" fillId="86" borderId="14" xfId="25456" applyNumberFormat="1" applyFont="1" applyFill="1" applyBorder="1"/>
    <xf numFmtId="5" fontId="32" fillId="87" borderId="14" xfId="25456" applyNumberFormat="1" applyFont="1" applyFill="1" applyBorder="1"/>
    <xf numFmtId="37" fontId="32" fillId="0" borderId="16" xfId="25456" applyNumberFormat="1" applyFont="1" applyBorder="1"/>
    <xf numFmtId="5" fontId="32" fillId="0" borderId="51" xfId="25457" applyNumberFormat="1" applyFont="1" applyBorder="1">
      <alignment horizontal="right"/>
    </xf>
    <xf numFmtId="5" fontId="121" fillId="0" borderId="64" xfId="25457" applyNumberFormat="1" applyFont="1" applyBorder="1">
      <alignment horizontal="right"/>
    </xf>
    <xf numFmtId="5" fontId="121" fillId="0" borderId="64" xfId="25457" applyNumberFormat="1" applyFont="1" applyFill="1" applyBorder="1">
      <alignment horizontal="right"/>
    </xf>
    <xf numFmtId="5" fontId="121" fillId="0" borderId="64" xfId="25456" applyNumberFormat="1" applyFont="1" applyBorder="1"/>
    <xf numFmtId="5" fontId="121" fillId="0" borderId="35" xfId="25457" applyNumberFormat="1" applyFont="1" applyFill="1" applyBorder="1">
      <alignment horizontal="right"/>
    </xf>
    <xf numFmtId="166" fontId="32" fillId="0" borderId="16" xfId="25456" applyNumberFormat="1" applyFont="1" applyFill="1" applyBorder="1"/>
    <xf numFmtId="5" fontId="32" fillId="0" borderId="16" xfId="25456" applyNumberFormat="1" applyFont="1" applyBorder="1"/>
    <xf numFmtId="5" fontId="32" fillId="0" borderId="14" xfId="25457" applyNumberFormat="1" applyFont="1" applyBorder="1">
      <alignment horizontal="right"/>
    </xf>
    <xf numFmtId="37" fontId="32" fillId="86" borderId="16" xfId="25456" applyNumberFormat="1" applyFont="1" applyFill="1" applyBorder="1"/>
    <xf numFmtId="37" fontId="32" fillId="87" borderId="16" xfId="25456" applyNumberFormat="1" applyFont="1" applyFill="1" applyBorder="1"/>
    <xf numFmtId="5" fontId="32" fillId="0" borderId="51" xfId="25456" applyNumberFormat="1" applyFont="1" applyBorder="1"/>
    <xf numFmtId="5" fontId="32" fillId="0" borderId="51" xfId="25456" applyNumberFormat="1" applyFont="1" applyFill="1" applyBorder="1"/>
    <xf numFmtId="0" fontId="121" fillId="0" borderId="0" xfId="25455" applyFont="1" applyFill="1" applyBorder="1"/>
    <xf numFmtId="183" fontId="121" fillId="0" borderId="51" xfId="25457" applyNumberFormat="1" applyFont="1" applyFill="1" applyBorder="1">
      <alignment horizontal="right"/>
    </xf>
    <xf numFmtId="0" fontId="121" fillId="0" borderId="0" xfId="25455" applyFont="1" applyFill="1"/>
    <xf numFmtId="0" fontId="121" fillId="0" borderId="55" xfId="25455" applyFont="1" applyBorder="1"/>
    <xf numFmtId="0" fontId="121" fillId="0" borderId="55" xfId="25455" applyFont="1" applyFill="1" applyBorder="1"/>
    <xf numFmtId="0" fontId="121" fillId="0" borderId="56" xfId="25455" applyFont="1" applyBorder="1"/>
    <xf numFmtId="5" fontId="121" fillId="0" borderId="16" xfId="25455" applyNumberFormat="1" applyFont="1" applyBorder="1"/>
    <xf numFmtId="5" fontId="121" fillId="0" borderId="16" xfId="25455" applyNumberFormat="1" applyFont="1" applyFill="1" applyBorder="1"/>
    <xf numFmtId="5" fontId="121" fillId="0" borderId="0" xfId="25455" applyNumberFormat="1" applyFont="1" applyFill="1"/>
    <xf numFmtId="6" fontId="32" fillId="0" borderId="0" xfId="25455" applyNumberFormat="1" applyFont="1"/>
    <xf numFmtId="6" fontId="122" fillId="0" borderId="0" xfId="0" applyNumberFormat="1" applyFont="1"/>
    <xf numFmtId="6" fontId="32" fillId="0" borderId="0" xfId="25455" applyNumberFormat="1" applyFont="1" applyFill="1" applyBorder="1"/>
    <xf numFmtId="192" fontId="32" fillId="0" borderId="0" xfId="25455" applyNumberFormat="1" applyFont="1" applyFill="1" applyBorder="1"/>
    <xf numFmtId="182" fontId="32" fillId="0" borderId="0" xfId="25455" applyNumberFormat="1" applyFont="1" applyFill="1" applyBorder="1"/>
    <xf numFmtId="37" fontId="32" fillId="0" borderId="0" xfId="25455" applyNumberFormat="1" applyFont="1" applyFill="1" applyBorder="1"/>
    <xf numFmtId="3" fontId="32" fillId="0" borderId="0" xfId="25456" applyNumberFormat="1" applyFont="1" applyFill="1" applyBorder="1"/>
    <xf numFmtId="43" fontId="32" fillId="0" borderId="0" xfId="25456" applyFont="1" applyFill="1" applyBorder="1"/>
    <xf numFmtId="2" fontId="32" fillId="0" borderId="0" xfId="25455" applyNumberFormat="1" applyFont="1" applyFill="1" applyBorder="1"/>
    <xf numFmtId="43" fontId="32" fillId="0" borderId="0" xfId="25455" applyNumberFormat="1" applyFont="1" applyFill="1" applyBorder="1"/>
    <xf numFmtId="37" fontId="32" fillId="0" borderId="0" xfId="25455" applyNumberFormat="1" applyFont="1" applyFill="1" applyBorder="1" applyAlignment="1">
      <alignment wrapText="1"/>
    </xf>
    <xf numFmtId="43" fontId="121" fillId="0" borderId="0" xfId="25742" applyFont="1" applyFill="1" applyBorder="1" applyAlignment="1">
      <alignment horizontal="center" vertical="center" wrapText="1"/>
    </xf>
    <xf numFmtId="43" fontId="32" fillId="0" borderId="0" xfId="25742" applyFont="1" applyFill="1"/>
    <xf numFmtId="39" fontId="32" fillId="0" borderId="0" xfId="25794" applyNumberFormat="1" applyFont="1" applyFill="1"/>
    <xf numFmtId="0" fontId="32" fillId="0" borderId="0" xfId="25794" applyFont="1" applyFill="1"/>
    <xf numFmtId="43" fontId="32" fillId="0" borderId="0" xfId="25742" applyFont="1" applyFill="1" applyBorder="1"/>
    <xf numFmtId="43" fontId="32" fillId="0" borderId="96" xfId="25742" applyFont="1" applyFill="1" applyBorder="1"/>
    <xf numFmtId="43" fontId="32" fillId="0" borderId="76" xfId="25742" applyFont="1" applyFill="1" applyBorder="1"/>
    <xf numFmtId="43" fontId="32" fillId="0" borderId="75" xfId="25455" applyNumberFormat="1" applyFont="1" applyFill="1" applyBorder="1" applyAlignment="1">
      <alignment horizontal="center"/>
    </xf>
    <xf numFmtId="43" fontId="32" fillId="0" borderId="75" xfId="25745" applyNumberFormat="1" applyFont="1" applyFill="1" applyBorder="1" applyAlignment="1">
      <alignment horizontal="center"/>
    </xf>
    <xf numFmtId="0" fontId="32" fillId="0" borderId="0" xfId="25455" applyFont="1" applyFill="1" applyBorder="1" applyAlignment="1">
      <alignment horizontal="center"/>
    </xf>
    <xf numFmtId="0" fontId="124" fillId="0" borderId="0" xfId="0" applyFont="1" applyFill="1" applyBorder="1" applyAlignment="1">
      <alignment horizontal="center"/>
    </xf>
    <xf numFmtId="43" fontId="32" fillId="0" borderId="15" xfId="25455" applyNumberFormat="1" applyFont="1" applyFill="1" applyBorder="1" applyAlignment="1">
      <alignment horizontal="center"/>
    </xf>
    <xf numFmtId="43" fontId="32" fillId="0" borderId="15" xfId="25745" applyNumberFormat="1" applyFont="1" applyFill="1" applyBorder="1" applyAlignment="1">
      <alignment horizontal="center"/>
    </xf>
    <xf numFmtId="4" fontId="122" fillId="0" borderId="0" xfId="0" applyNumberFormat="1" applyFont="1"/>
    <xf numFmtId="8" fontId="122" fillId="0" borderId="0" xfId="0" applyNumberFormat="1" applyFont="1"/>
    <xf numFmtId="39" fontId="32" fillId="0" borderId="35" xfId="25743" applyFont="1" applyFill="1" applyBorder="1"/>
    <xf numFmtId="39" fontId="32" fillId="0" borderId="11" xfId="25743" applyFont="1" applyFill="1" applyBorder="1"/>
    <xf numFmtId="39" fontId="32" fillId="0" borderId="35" xfId="25743" applyFont="1" applyFill="1" applyBorder="1" applyAlignment="1" applyProtection="1">
      <alignment horizontal="center"/>
    </xf>
    <xf numFmtId="39" fontId="32" fillId="0" borderId="11" xfId="25743" applyFont="1" applyFill="1" applyBorder="1" applyAlignment="1" applyProtection="1">
      <alignment horizontal="left"/>
    </xf>
    <xf numFmtId="39" fontId="121" fillId="0" borderId="35" xfId="25743" applyFont="1" applyFill="1" applyBorder="1" applyAlignment="1" applyProtection="1">
      <alignment horizontal="left"/>
    </xf>
    <xf numFmtId="6" fontId="122" fillId="0" borderId="0" xfId="0" applyNumberFormat="1" applyFont="1" applyFill="1"/>
    <xf numFmtId="43" fontId="128" fillId="0" borderId="80" xfId="0" applyNumberFormat="1" applyFont="1" applyFill="1" applyBorder="1"/>
    <xf numFmtId="49" fontId="122" fillId="0" borderId="91" xfId="0" applyNumberFormat="1" applyFont="1" applyBorder="1" applyAlignment="1">
      <alignment horizontal="center"/>
    </xf>
    <xf numFmtId="49" fontId="122" fillId="0" borderId="92" xfId="0" applyNumberFormat="1" applyFont="1" applyBorder="1" applyAlignment="1">
      <alignment horizontal="center"/>
    </xf>
    <xf numFmtId="49" fontId="122" fillId="0" borderId="93" xfId="0" applyNumberFormat="1" applyFont="1" applyBorder="1" applyAlignment="1">
      <alignment horizontal="center"/>
    </xf>
    <xf numFmtId="49" fontId="122" fillId="0" borderId="0" xfId="0" applyNumberFormat="1" applyFont="1" applyFill="1" applyBorder="1" applyAlignment="1">
      <alignment horizontal="center"/>
    </xf>
    <xf numFmtId="49" fontId="122" fillId="0" borderId="88" xfId="0" applyNumberFormat="1" applyFont="1" applyBorder="1" applyAlignment="1">
      <alignment horizontal="center"/>
    </xf>
    <xf numFmtId="49" fontId="122" fillId="0" borderId="0" xfId="0" applyNumberFormat="1" applyFont="1" applyBorder="1" applyAlignment="1">
      <alignment horizontal="center"/>
    </xf>
    <xf numFmtId="49" fontId="122" fillId="0" borderId="89" xfId="0" applyNumberFormat="1" applyFont="1" applyBorder="1" applyAlignment="1">
      <alignment horizontal="center"/>
    </xf>
    <xf numFmtId="0" fontId="122" fillId="90" borderId="88" xfId="0" applyFont="1" applyFill="1" applyBorder="1"/>
    <xf numFmtId="0" fontId="122" fillId="90" borderId="0" xfId="0" applyFont="1" applyFill="1" applyBorder="1"/>
    <xf numFmtId="0" fontId="122" fillId="90" borderId="89" xfId="0" applyFont="1" applyFill="1" applyBorder="1"/>
    <xf numFmtId="0" fontId="122" fillId="0" borderId="88" xfId="0" applyFont="1" applyBorder="1"/>
    <xf numFmtId="0" fontId="122" fillId="0" borderId="88" xfId="0" applyFont="1" applyBorder="1" applyAlignment="1">
      <alignment wrapText="1"/>
    </xf>
    <xf numFmtId="0" fontId="124" fillId="0" borderId="85" xfId="0" applyFont="1" applyBorder="1" applyAlignment="1">
      <alignment horizontal="center" wrapText="1"/>
    </xf>
    <xf numFmtId="0" fontId="124" fillId="0" borderId="100" xfId="0" applyFont="1" applyBorder="1" applyAlignment="1">
      <alignment horizontal="center" wrapText="1"/>
    </xf>
    <xf numFmtId="0" fontId="122" fillId="0" borderId="0" xfId="0" applyFont="1" applyBorder="1" applyAlignment="1">
      <alignment wrapText="1"/>
    </xf>
    <xf numFmtId="0" fontId="122" fillId="0" borderId="89" xfId="0" applyFont="1" applyBorder="1" applyAlignment="1">
      <alignment wrapText="1"/>
    </xf>
    <xf numFmtId="166" fontId="122" fillId="0" borderId="88" xfId="25742" applyNumberFormat="1" applyFont="1" applyBorder="1"/>
    <xf numFmtId="166" fontId="122" fillId="0" borderId="0" xfId="25742" applyNumberFormat="1" applyFont="1" applyBorder="1"/>
    <xf numFmtId="166" fontId="122" fillId="0" borderId="89" xfId="25742" applyNumberFormat="1" applyFont="1" applyBorder="1"/>
    <xf numFmtId="166" fontId="122" fillId="0" borderId="0" xfId="25742" applyNumberFormat="1" applyFont="1" applyFill="1" applyBorder="1"/>
    <xf numFmtId="166" fontId="122" fillId="92" borderId="88" xfId="25742" applyNumberFormat="1" applyFont="1" applyFill="1" applyBorder="1"/>
    <xf numFmtId="166" fontId="122" fillId="92" borderId="0" xfId="25742" applyNumberFormat="1" applyFont="1" applyFill="1" applyBorder="1"/>
    <xf numFmtId="166" fontId="122" fillId="92" borderId="89" xfId="25742" applyNumberFormat="1" applyFont="1" applyFill="1" applyBorder="1"/>
    <xf numFmtId="6" fontId="122" fillId="0" borderId="94" xfId="0" applyNumberFormat="1" applyFont="1" applyBorder="1"/>
    <xf numFmtId="166" fontId="124" fillId="0" borderId="101" xfId="25742" applyNumberFormat="1" applyFont="1" applyBorder="1"/>
    <xf numFmtId="166" fontId="124" fillId="0" borderId="80" xfId="25742" applyNumberFormat="1" applyFont="1" applyBorder="1"/>
    <xf numFmtId="166" fontId="124" fillId="0" borderId="102" xfId="25742" applyNumberFormat="1" applyFont="1" applyBorder="1"/>
    <xf numFmtId="6" fontId="122" fillId="0" borderId="103" xfId="0" applyNumberFormat="1" applyFont="1" applyBorder="1"/>
    <xf numFmtId="6" fontId="122" fillId="0" borderId="90" xfId="0" applyNumberFormat="1" applyFont="1" applyBorder="1"/>
    <xf numFmtId="41" fontId="122" fillId="0" borderId="0" xfId="0" applyNumberFormat="1" applyFont="1"/>
    <xf numFmtId="166" fontId="122" fillId="94" borderId="88" xfId="25742" applyNumberFormat="1" applyFont="1" applyFill="1" applyBorder="1"/>
    <xf numFmtId="166" fontId="122" fillId="94" borderId="0" xfId="25742" applyNumberFormat="1" applyFont="1" applyFill="1" applyBorder="1"/>
    <xf numFmtId="166" fontId="122" fillId="94" borderId="89" xfId="25742" applyNumberFormat="1" applyFont="1" applyFill="1" applyBorder="1"/>
    <xf numFmtId="0" fontId="122" fillId="94" borderId="88" xfId="0" applyFont="1" applyFill="1" applyBorder="1"/>
    <xf numFmtId="49" fontId="122" fillId="94" borderId="0" xfId="0" applyNumberFormat="1" applyFont="1" applyFill="1" applyBorder="1" applyAlignment="1">
      <alignment horizontal="center"/>
    </xf>
    <xf numFmtId="49" fontId="122" fillId="94" borderId="89" xfId="0" applyNumberFormat="1" applyFont="1" applyFill="1" applyBorder="1" applyAlignment="1">
      <alignment horizontal="center"/>
    </xf>
    <xf numFmtId="166" fontId="122" fillId="88" borderId="88" xfId="25742" applyNumberFormat="1" applyFont="1" applyFill="1" applyBorder="1"/>
    <xf numFmtId="166" fontId="122" fillId="88" borderId="89" xfId="25742" applyNumberFormat="1" applyFont="1" applyFill="1" applyBorder="1"/>
    <xf numFmtId="166" fontId="122" fillId="93" borderId="89" xfId="25742" applyNumberFormat="1" applyFont="1" applyFill="1" applyBorder="1"/>
    <xf numFmtId="3" fontId="122" fillId="0" borderId="0" xfId="0" applyNumberFormat="1" applyFont="1"/>
    <xf numFmtId="0" fontId="122" fillId="0" borderId="35" xfId="0" applyFont="1" applyBorder="1" applyAlignment="1">
      <alignment horizontal="center"/>
    </xf>
    <xf numFmtId="0" fontId="32" fillId="0" borderId="0" xfId="25295" applyFont="1"/>
    <xf numFmtId="0" fontId="32" fillId="0" borderId="0" xfId="25295" applyFont="1" applyFill="1" applyBorder="1"/>
    <xf numFmtId="164" fontId="32" fillId="0" borderId="0" xfId="25295" applyNumberFormat="1" applyFont="1" applyFill="1" applyBorder="1" applyAlignment="1"/>
    <xf numFmtId="0" fontId="121" fillId="0" borderId="0" xfId="25295" applyFont="1" applyFill="1" applyBorder="1" applyAlignment="1"/>
    <xf numFmtId="0" fontId="32" fillId="0" borderId="0" xfId="25295" applyFont="1" applyFill="1" applyBorder="1" applyAlignment="1"/>
    <xf numFmtId="49" fontId="32" fillId="0" borderId="0" xfId="25293" applyNumberFormat="1" applyFont="1" applyFill="1" applyBorder="1" applyAlignment="1"/>
    <xf numFmtId="0" fontId="32" fillId="0" borderId="0" xfId="25295" applyFont="1" applyFill="1"/>
    <xf numFmtId="0" fontId="121" fillId="0" borderId="0" xfId="25295" applyFont="1" applyAlignment="1">
      <alignment horizontal="center"/>
    </xf>
    <xf numFmtId="0" fontId="32" fillId="0" borderId="0" xfId="25295" applyFont="1" applyFill="1" applyAlignment="1">
      <alignment horizontal="center"/>
    </xf>
    <xf numFmtId="0" fontId="32" fillId="0" borderId="0" xfId="25295" applyFont="1" applyAlignment="1">
      <alignment horizontal="center"/>
    </xf>
    <xf numFmtId="0" fontId="126" fillId="0" borderId="0" xfId="25295" applyFont="1" applyFill="1" applyAlignment="1">
      <alignment horizontal="center"/>
    </xf>
    <xf numFmtId="0" fontId="123" fillId="0" borderId="77" xfId="0" applyFont="1" applyBorder="1" applyAlignment="1">
      <alignment horizontal="center"/>
    </xf>
    <xf numFmtId="0" fontId="121" fillId="33" borderId="76" xfId="25295" applyFont="1" applyFill="1" applyBorder="1"/>
    <xf numFmtId="0" fontId="32" fillId="0" borderId="61" xfId="25295" applyFont="1" applyBorder="1"/>
    <xf numFmtId="0" fontId="32" fillId="0" borderId="61" xfId="25295" applyFont="1" applyBorder="1" applyAlignment="1">
      <alignment horizontal="center"/>
    </xf>
    <xf numFmtId="0" fontId="32" fillId="0" borderId="78" xfId="25295" applyFont="1" applyBorder="1" applyAlignment="1">
      <alignment horizontal="center"/>
    </xf>
    <xf numFmtId="0" fontId="32" fillId="0" borderId="0" xfId="25295" applyFont="1" applyBorder="1"/>
    <xf numFmtId="0" fontId="32" fillId="0" borderId="11" xfId="25295" applyFont="1" applyBorder="1" applyAlignment="1">
      <alignment horizontal="center"/>
    </xf>
    <xf numFmtId="0" fontId="32" fillId="0" borderId="0" xfId="25295" applyFont="1" applyBorder="1" applyAlignment="1">
      <alignment horizontal="left"/>
    </xf>
    <xf numFmtId="10" fontId="32" fillId="86" borderId="0" xfId="25292" applyNumberFormat="1" applyFont="1" applyFill="1" applyBorder="1" applyAlignment="1">
      <alignment horizontal="center"/>
    </xf>
    <xf numFmtId="167" fontId="32" fillId="0" borderId="0" xfId="25292" applyNumberFormat="1" applyFont="1" applyBorder="1" applyAlignment="1">
      <alignment horizontal="center"/>
    </xf>
    <xf numFmtId="167" fontId="32" fillId="86" borderId="0" xfId="25292" applyNumberFormat="1" applyFont="1" applyFill="1" applyBorder="1" applyAlignment="1">
      <alignment horizontal="center"/>
    </xf>
    <xf numFmtId="167" fontId="32" fillId="0" borderId="0" xfId="25292" applyNumberFormat="1" applyFont="1" applyBorder="1"/>
    <xf numFmtId="167" fontId="32" fillId="0" borderId="11" xfId="25292" applyNumberFormat="1" applyFont="1" applyBorder="1"/>
    <xf numFmtId="167" fontId="32" fillId="0" borderId="0" xfId="25295" applyNumberFormat="1" applyFont="1" applyFill="1" applyBorder="1" applyAlignment="1">
      <alignment horizontal="center"/>
    </xf>
    <xf numFmtId="191" fontId="122" fillId="0" borderId="0" xfId="0" applyNumberFormat="1" applyFont="1"/>
    <xf numFmtId="10" fontId="32" fillId="0" borderId="19" xfId="25292" applyNumberFormat="1" applyFont="1" applyBorder="1" applyAlignment="1">
      <alignment horizontal="center"/>
    </xf>
    <xf numFmtId="167" fontId="121" fillId="33" borderId="18" xfId="25292" applyNumberFormat="1" applyFont="1" applyFill="1" applyBorder="1"/>
    <xf numFmtId="0" fontId="32" fillId="0" borderId="54" xfId="25295" applyFont="1" applyBorder="1" applyAlignment="1">
      <alignment horizontal="center"/>
    </xf>
    <xf numFmtId="0" fontId="32" fillId="0" borderId="55" xfId="25295" applyFont="1" applyBorder="1"/>
    <xf numFmtId="0" fontId="32" fillId="0" borderId="56" xfId="25295" applyFont="1" applyBorder="1"/>
    <xf numFmtId="0" fontId="32" fillId="0" borderId="0" xfId="0" applyFont="1" applyFill="1" applyAlignment="1">
      <alignment horizontal="center"/>
    </xf>
    <xf numFmtId="0" fontId="32" fillId="0" borderId="0" xfId="0" applyFont="1" applyFill="1"/>
    <xf numFmtId="0" fontId="122" fillId="0" borderId="14" xfId="0" applyFont="1" applyFill="1" applyBorder="1"/>
    <xf numFmtId="0" fontId="122" fillId="0" borderId="0" xfId="0" applyFont="1" applyFill="1" applyBorder="1" applyAlignment="1">
      <alignment horizontal="center"/>
    </xf>
    <xf numFmtId="37" fontId="32" fillId="0" borderId="0" xfId="25741" applyFont="1"/>
    <xf numFmtId="0" fontId="127" fillId="0" borderId="0" xfId="0" applyFont="1" applyAlignment="1">
      <alignment horizontal="center"/>
    </xf>
    <xf numFmtId="37" fontId="32" fillId="0" borderId="0" xfId="25741" applyFont="1" applyAlignment="1">
      <alignment horizontal="center"/>
    </xf>
    <xf numFmtId="37" fontId="121" fillId="0" borderId="0" xfId="25741" applyFont="1" applyFill="1" applyAlignment="1">
      <alignment horizontal="center"/>
    </xf>
    <xf numFmtId="37" fontId="32" fillId="0" borderId="0" xfId="25741" applyFont="1" applyFill="1" applyAlignment="1">
      <alignment horizontal="center"/>
    </xf>
    <xf numFmtId="37" fontId="32" fillId="0" borderId="0" xfId="25741" applyFont="1" applyFill="1" applyAlignment="1">
      <alignment horizontal="left"/>
    </xf>
    <xf numFmtId="188" fontId="32" fillId="0" borderId="0" xfId="25741" applyNumberFormat="1" applyFont="1" applyFill="1" applyAlignment="1">
      <alignment horizontal="center"/>
    </xf>
    <xf numFmtId="37" fontId="32" fillId="0" borderId="0" xfId="25741" applyFont="1" applyFill="1"/>
    <xf numFmtId="168" fontId="32" fillId="0" borderId="0" xfId="25741" applyNumberFormat="1" applyFont="1"/>
    <xf numFmtId="0" fontId="121" fillId="0" borderId="0" xfId="25295" quotePrefix="1" applyFont="1" applyFill="1" applyBorder="1" applyAlignment="1"/>
    <xf numFmtId="49" fontId="121" fillId="0" borderId="0" xfId="25293" applyNumberFormat="1" applyFont="1" applyFill="1" applyBorder="1" applyAlignment="1"/>
    <xf numFmtId="0" fontId="121" fillId="0" borderId="0" xfId="25295" applyFont="1" applyFill="1" applyBorder="1" applyAlignment="1">
      <alignment horizontal="center"/>
    </xf>
    <xf numFmtId="0" fontId="32" fillId="0" borderId="0" xfId="25295" applyFont="1" applyFill="1" applyBorder="1" applyAlignment="1">
      <alignment horizontal="center"/>
    </xf>
    <xf numFmtId="10" fontId="122" fillId="0" borderId="0" xfId="0" applyNumberFormat="1" applyFont="1" applyFill="1"/>
    <xf numFmtId="4" fontId="122" fillId="0" borderId="33" xfId="0" applyNumberFormat="1" applyFont="1" applyBorder="1"/>
    <xf numFmtId="44" fontId="122" fillId="0" borderId="0" xfId="25745" applyFont="1" applyFill="1"/>
    <xf numFmtId="0" fontId="131" fillId="0" borderId="0" xfId="0" applyFont="1" applyAlignment="1">
      <alignment horizontal="center"/>
    </xf>
    <xf numFmtId="0" fontId="122" fillId="0" borderId="76" xfId="0" applyFont="1" applyFill="1" applyBorder="1"/>
    <xf numFmtId="0" fontId="122" fillId="0" borderId="85" xfId="0" applyFont="1" applyFill="1" applyBorder="1"/>
    <xf numFmtId="43" fontId="122" fillId="0" borderId="14" xfId="25742" applyFont="1" applyFill="1" applyBorder="1"/>
    <xf numFmtId="0" fontId="121" fillId="0" borderId="0" xfId="0" applyFont="1" applyFill="1" applyAlignment="1">
      <alignment horizontal="center"/>
    </xf>
    <xf numFmtId="0" fontId="130" fillId="0" borderId="0" xfId="0" applyFont="1" applyFill="1" applyAlignment="1">
      <alignment horizontal="center"/>
    </xf>
    <xf numFmtId="49" fontId="32" fillId="0" borderId="0" xfId="0" applyNumberFormat="1" applyFont="1" applyFill="1" applyAlignment="1">
      <alignment horizontal="center"/>
    </xf>
    <xf numFmtId="43" fontId="32" fillId="0" borderId="0" xfId="0" applyNumberFormat="1" applyFont="1" applyFill="1"/>
    <xf numFmtId="39" fontId="122" fillId="0" borderId="0" xfId="0" applyNumberFormat="1" applyFont="1" applyFill="1"/>
    <xf numFmtId="39" fontId="32" fillId="0" borderId="82" xfId="0" applyNumberFormat="1" applyFont="1" applyFill="1" applyBorder="1"/>
    <xf numFmtId="37" fontId="18" fillId="0" borderId="0" xfId="25795" applyFont="1"/>
    <xf numFmtId="37" fontId="18" fillId="0" borderId="0" xfId="25795" applyFont="1" applyFill="1"/>
    <xf numFmtId="196" fontId="18" fillId="0" borderId="0" xfId="25795" applyNumberFormat="1" applyFont="1" applyFill="1"/>
    <xf numFmtId="10" fontId="18" fillId="0" borderId="0" xfId="25748" applyNumberFormat="1" applyFont="1" applyFill="1"/>
    <xf numFmtId="37" fontId="18" fillId="0" borderId="95" xfId="25795" applyFont="1" applyFill="1" applyBorder="1"/>
    <xf numFmtId="37" fontId="18" fillId="0" borderId="49" xfId="25795" applyFont="1" applyFill="1" applyBorder="1"/>
    <xf numFmtId="37" fontId="18" fillId="0" borderId="94" xfId="25795" applyFont="1" applyFill="1" applyBorder="1"/>
    <xf numFmtId="10" fontId="23" fillId="0" borderId="49" xfId="25795" applyNumberFormat="1" applyFont="1" applyFill="1" applyBorder="1" applyProtection="1">
      <protection locked="0"/>
    </xf>
    <xf numFmtId="37" fontId="18" fillId="0" borderId="89" xfId="25795" applyFont="1" applyFill="1" applyBorder="1"/>
    <xf numFmtId="37" fontId="18" fillId="0" borderId="0" xfId="25795" applyFont="1" applyFill="1" applyBorder="1"/>
    <xf numFmtId="37" fontId="18" fillId="0" borderId="88" xfId="25795" applyFont="1" applyFill="1" applyBorder="1"/>
    <xf numFmtId="10" fontId="18" fillId="0" borderId="0" xfId="25795" applyNumberFormat="1" applyFont="1" applyFill="1" applyBorder="1" applyAlignment="1" applyProtection="1">
      <alignment horizontal="left"/>
    </xf>
    <xf numFmtId="10" fontId="18" fillId="0" borderId="89" xfId="25795" applyNumberFormat="1" applyFont="1" applyFill="1" applyBorder="1" applyAlignment="1" applyProtection="1">
      <alignment horizontal="fill"/>
    </xf>
    <xf numFmtId="10" fontId="18" fillId="0" borderId="0" xfId="25795" applyNumberFormat="1" applyFont="1" applyFill="1" applyBorder="1" applyAlignment="1" applyProtection="1">
      <alignment horizontal="fill"/>
    </xf>
    <xf numFmtId="166" fontId="18" fillId="0" borderId="89" xfId="25766" applyNumberFormat="1" applyFont="1" applyFill="1" applyBorder="1"/>
    <xf numFmtId="166" fontId="18" fillId="0" borderId="0" xfId="25766" applyNumberFormat="1" applyFont="1" applyFill="1" applyBorder="1"/>
    <xf numFmtId="166" fontId="18" fillId="0" borderId="0" xfId="25766" applyNumberFormat="1" applyFont="1" applyFill="1" applyBorder="1" applyAlignment="1" applyProtection="1">
      <alignment horizontal="fill"/>
    </xf>
    <xf numFmtId="10" fontId="18" fillId="0" borderId="88" xfId="25795" applyNumberFormat="1" applyFont="1" applyFill="1" applyBorder="1" applyAlignment="1" applyProtection="1">
      <alignment horizontal="left"/>
    </xf>
    <xf numFmtId="10" fontId="18" fillId="0" borderId="0" xfId="25748" applyNumberFormat="1" applyFont="1" applyFill="1" applyBorder="1"/>
    <xf numFmtId="39" fontId="18" fillId="0" borderId="0" xfId="25795" applyNumberFormat="1" applyFont="1"/>
    <xf numFmtId="10" fontId="18" fillId="0" borderId="100" xfId="25795" applyNumberFormat="1" applyFont="1" applyFill="1" applyBorder="1" applyAlignment="1" applyProtection="1">
      <alignment horizontal="center"/>
    </xf>
    <xf numFmtId="10" fontId="18" fillId="0" borderId="85" xfId="25795" applyNumberFormat="1" applyFont="1" applyFill="1" applyBorder="1" applyAlignment="1" applyProtection="1">
      <alignment horizontal="center"/>
    </xf>
    <xf numFmtId="10" fontId="18" fillId="0" borderId="89" xfId="25795" applyNumberFormat="1" applyFont="1" applyFill="1" applyBorder="1" applyAlignment="1" applyProtection="1">
      <alignment horizontal="center"/>
    </xf>
    <xf numFmtId="10" fontId="18" fillId="0" borderId="0" xfId="25795" applyNumberFormat="1" applyFont="1" applyFill="1" applyBorder="1" applyAlignment="1" applyProtection="1">
      <alignment horizontal="center"/>
    </xf>
    <xf numFmtId="37" fontId="18" fillId="0" borderId="89" xfId="25795" applyFont="1" applyFill="1" applyBorder="1" applyAlignment="1">
      <alignment horizontal="center"/>
    </xf>
    <xf numFmtId="198" fontId="18" fillId="0" borderId="0" xfId="25795" applyNumberFormat="1" applyFont="1" applyFill="1" applyBorder="1" applyAlignment="1" applyProtection="1">
      <alignment horizontal="center"/>
    </xf>
    <xf numFmtId="166" fontId="18" fillId="0" borderId="85" xfId="25766" applyNumberFormat="1" applyFont="1" applyFill="1" applyBorder="1" applyAlignment="1" applyProtection="1">
      <alignment horizontal="center"/>
    </xf>
    <xf numFmtId="166" fontId="18" fillId="0" borderId="0" xfId="25766" applyNumberFormat="1" applyFont="1" applyFill="1" applyBorder="1" applyAlignment="1" applyProtection="1">
      <alignment horizontal="center"/>
    </xf>
    <xf numFmtId="37" fontId="18" fillId="0" borderId="0" xfId="25795" applyFont="1" applyFill="1" applyBorder="1" applyAlignment="1">
      <alignment horizontal="center"/>
    </xf>
    <xf numFmtId="37" fontId="18" fillId="0" borderId="89" xfId="25795" applyFont="1" applyFill="1" applyBorder="1" applyAlignment="1">
      <alignment horizontal="centerContinuous"/>
    </xf>
    <xf numFmtId="37" fontId="18" fillId="0" borderId="0" xfId="25795" applyFont="1" applyFill="1" applyBorder="1" applyAlignment="1">
      <alignment horizontal="centerContinuous"/>
    </xf>
    <xf numFmtId="166" fontId="18" fillId="0" borderId="89" xfId="25766" applyNumberFormat="1" applyFont="1" applyFill="1" applyBorder="1" applyAlignment="1">
      <alignment horizontal="centerContinuous"/>
    </xf>
    <xf numFmtId="166" fontId="18" fillId="0" borderId="0" xfId="25766" applyNumberFormat="1" applyFont="1" applyFill="1" applyBorder="1" applyAlignment="1">
      <alignment horizontal="centerContinuous"/>
    </xf>
    <xf numFmtId="10" fontId="18" fillId="0" borderId="88" xfId="25795" applyNumberFormat="1" applyFont="1" applyFill="1" applyBorder="1" applyAlignment="1" applyProtection="1">
      <alignment horizontal="centerContinuous"/>
    </xf>
    <xf numFmtId="10" fontId="18" fillId="0" borderId="0" xfId="25795" applyNumberFormat="1" applyFont="1" applyFill="1" applyBorder="1" applyAlignment="1" applyProtection="1">
      <alignment horizontal="centerContinuous"/>
    </xf>
    <xf numFmtId="37" fontId="18" fillId="0" borderId="93" xfId="25795" applyFont="1" applyFill="1" applyBorder="1"/>
    <xf numFmtId="37" fontId="18" fillId="0" borderId="92" xfId="25795" applyFont="1" applyFill="1" applyBorder="1"/>
    <xf numFmtId="37" fontId="18" fillId="0" borderId="91" xfId="25795" applyFont="1" applyFill="1" applyBorder="1"/>
    <xf numFmtId="166" fontId="18" fillId="0" borderId="93" xfId="25766" applyNumberFormat="1" applyFont="1" applyFill="1" applyBorder="1"/>
    <xf numFmtId="166" fontId="18" fillId="0" borderId="92" xfId="25766" applyNumberFormat="1" applyFont="1" applyFill="1" applyBorder="1"/>
    <xf numFmtId="0" fontId="32" fillId="0" borderId="0" xfId="25794" applyFont="1" applyFill="1" applyAlignment="1">
      <alignment horizontal="center"/>
    </xf>
    <xf numFmtId="49" fontId="121" fillId="33" borderId="54" xfId="24690" applyNumberFormat="1" applyFont="1" applyFill="1" applyBorder="1" applyAlignment="1"/>
    <xf numFmtId="49" fontId="121" fillId="33" borderId="55" xfId="24690" applyNumberFormat="1" applyFont="1" applyFill="1" applyBorder="1" applyAlignment="1"/>
    <xf numFmtId="49" fontId="121" fillId="33" borderId="56" xfId="24690" applyNumberFormat="1" applyFont="1" applyFill="1" applyBorder="1" applyAlignment="1"/>
    <xf numFmtId="37" fontId="18" fillId="0" borderId="0" xfId="25795" applyFont="1" applyAlignment="1">
      <alignment horizontal="center"/>
    </xf>
    <xf numFmtId="0" fontId="32" fillId="0" borderId="0" xfId="24690" applyFont="1" applyFill="1" applyBorder="1" applyAlignment="1">
      <alignment horizontal="center"/>
    </xf>
    <xf numFmtId="49" fontId="124" fillId="0" borderId="0" xfId="0" applyNumberFormat="1" applyFont="1" applyBorder="1" applyAlignment="1">
      <alignment horizontal="center" vertical="center"/>
    </xf>
    <xf numFmtId="185" fontId="32" fillId="0" borderId="11" xfId="24767" applyNumberFormat="1" applyFont="1" applyFill="1" applyBorder="1"/>
    <xf numFmtId="6" fontId="32" fillId="0" borderId="0" xfId="25455" applyNumberFormat="1" applyFont="1" applyFill="1"/>
    <xf numFmtId="49" fontId="121" fillId="0" borderId="0" xfId="25764" applyNumberFormat="1" applyFont="1" applyFill="1"/>
    <xf numFmtId="49" fontId="18" fillId="0" borderId="0" xfId="27901" applyNumberFormat="1" applyFont="1" applyFill="1" applyAlignment="1">
      <alignment horizontal="right"/>
    </xf>
    <xf numFmtId="49" fontId="20" fillId="0" borderId="85" xfId="27901" quotePrefix="1" applyNumberFormat="1" applyFont="1" applyFill="1" applyBorder="1" applyAlignment="1">
      <alignment horizontal="center"/>
    </xf>
    <xf numFmtId="166" fontId="20" fillId="0" borderId="85" xfId="25742" applyNumberFormat="1" applyFont="1" applyFill="1" applyBorder="1" applyAlignment="1">
      <alignment horizontal="center"/>
    </xf>
    <xf numFmtId="166" fontId="18" fillId="0" borderId="0" xfId="25742" applyNumberFormat="1" applyFont="1" applyFill="1"/>
    <xf numFmtId="43" fontId="18" fillId="0" borderId="128" xfId="27903" applyFont="1" applyFill="1" applyBorder="1"/>
    <xf numFmtId="49" fontId="18" fillId="0" borderId="0" xfId="166" applyNumberFormat="1" applyFont="1" applyFill="1"/>
    <xf numFmtId="49" fontId="18" fillId="0" borderId="0" xfId="52" applyNumberFormat="1" applyFont="1" applyFill="1"/>
    <xf numFmtId="49" fontId="57" fillId="0" borderId="0" xfId="370" applyNumberFormat="1" applyFont="1" applyFill="1"/>
    <xf numFmtId="49" fontId="18" fillId="0" borderId="0" xfId="27904" applyNumberFormat="1" applyFont="1" applyFill="1"/>
    <xf numFmtId="49" fontId="18" fillId="0" borderId="0" xfId="27905" applyNumberFormat="1" applyFont="1" applyFill="1"/>
    <xf numFmtId="49" fontId="57" fillId="0" borderId="0" xfId="0" applyNumberFormat="1" applyFont="1" applyFill="1"/>
    <xf numFmtId="49" fontId="18" fillId="0" borderId="0" xfId="27906" applyNumberFormat="1" applyFont="1" applyFill="1"/>
    <xf numFmtId="43" fontId="18" fillId="0" borderId="85" xfId="27903" applyFont="1" applyFill="1" applyBorder="1"/>
    <xf numFmtId="43" fontId="18" fillId="0" borderId="0" xfId="27908" applyFont="1" applyFill="1"/>
    <xf numFmtId="43" fontId="18" fillId="0" borderId="0" xfId="27909" applyFont="1" applyFill="1"/>
    <xf numFmtId="43" fontId="18" fillId="0" borderId="0" xfId="27910" applyFont="1" applyFill="1"/>
    <xf numFmtId="43" fontId="18" fillId="0" borderId="0" xfId="27911" applyFont="1" applyFill="1"/>
    <xf numFmtId="43" fontId="18" fillId="0" borderId="0" xfId="27912" applyFont="1" applyFill="1"/>
    <xf numFmtId="43" fontId="18" fillId="0" borderId="0" xfId="27913" applyFont="1" applyFill="1"/>
    <xf numFmtId="43" fontId="18" fillId="0" borderId="0" xfId="27914" applyFont="1" applyFill="1"/>
    <xf numFmtId="43" fontId="18" fillId="0" borderId="0" xfId="27915" applyFont="1" applyFill="1"/>
    <xf numFmtId="43" fontId="18" fillId="0" borderId="0" xfId="27916" applyFont="1" applyFill="1"/>
    <xf numFmtId="43" fontId="57" fillId="0" borderId="0" xfId="25766" applyFont="1" applyFill="1" applyBorder="1"/>
    <xf numFmtId="43" fontId="18" fillId="0" borderId="0" xfId="27917" applyFont="1" applyFill="1"/>
    <xf numFmtId="43" fontId="18" fillId="0" borderId="0" xfId="27918" applyFont="1" applyFill="1"/>
    <xf numFmtId="0" fontId="57" fillId="0" borderId="0" xfId="0" quotePrefix="1" applyFont="1" applyFill="1"/>
    <xf numFmtId="166" fontId="57" fillId="0" borderId="0" xfId="25742" applyNumberFormat="1" applyFont="1" applyFill="1"/>
    <xf numFmtId="43" fontId="57" fillId="0" borderId="0" xfId="0" applyNumberFormat="1" applyFont="1" applyFill="1"/>
    <xf numFmtId="43" fontId="18" fillId="0" borderId="0" xfId="27922" applyFont="1" applyFill="1"/>
    <xf numFmtId="49" fontId="57" fillId="0" borderId="0" xfId="3265" applyNumberFormat="1" applyFont="1" applyFill="1"/>
    <xf numFmtId="49" fontId="57" fillId="0" borderId="0" xfId="3262" applyNumberFormat="1" applyFont="1" applyFill="1"/>
    <xf numFmtId="43" fontId="20" fillId="0" borderId="79" xfId="27903" applyFont="1" applyFill="1" applyBorder="1"/>
    <xf numFmtId="43" fontId="18" fillId="0" borderId="0" xfId="27917" applyFont="1" applyFill="1" applyBorder="1"/>
    <xf numFmtId="43" fontId="18" fillId="0" borderId="0" xfId="27909" applyFont="1" applyFill="1" applyBorder="1"/>
    <xf numFmtId="43" fontId="18" fillId="0" borderId="0" xfId="27910" applyFont="1" applyFill="1" applyBorder="1"/>
    <xf numFmtId="43" fontId="18" fillId="0" borderId="0" xfId="27911" applyFont="1" applyFill="1" applyBorder="1"/>
    <xf numFmtId="43" fontId="18" fillId="0" borderId="0" xfId="27912" applyFont="1" applyFill="1" applyBorder="1"/>
    <xf numFmtId="43" fontId="18" fillId="0" borderId="0" xfId="27913" applyFont="1" applyFill="1" applyBorder="1"/>
    <xf numFmtId="43" fontId="18" fillId="0" borderId="0" xfId="27914" applyFont="1" applyFill="1" applyBorder="1"/>
    <xf numFmtId="43" fontId="18" fillId="0" borderId="0" xfId="27915" applyFont="1" applyFill="1" applyBorder="1"/>
    <xf numFmtId="43" fontId="18" fillId="0" borderId="0" xfId="27918" applyFont="1" applyFill="1" applyBorder="1"/>
    <xf numFmtId="49" fontId="20" fillId="0" borderId="0" xfId="27901" quotePrefix="1" applyNumberFormat="1" applyFont="1" applyFill="1" applyBorder="1" applyAlignment="1">
      <alignment horizontal="center"/>
    </xf>
    <xf numFmtId="166" fontId="20" fillId="0" borderId="0" xfId="25742" applyNumberFormat="1" applyFont="1" applyFill="1" applyBorder="1" applyAlignment="1">
      <alignment horizontal="center"/>
    </xf>
    <xf numFmtId="166" fontId="139" fillId="0" borderId="0" xfId="25742" applyNumberFormat="1" applyFont="1" applyFill="1"/>
    <xf numFmtId="0" fontId="32" fillId="0" borderId="35" xfId="25276" applyFont="1" applyFill="1" applyBorder="1" applyAlignment="1">
      <alignment horizontal="left" indent="1"/>
    </xf>
    <xf numFmtId="0" fontId="32" fillId="0" borderId="0" xfId="25276" applyFont="1" applyFill="1" applyBorder="1"/>
    <xf numFmtId="0" fontId="32" fillId="0" borderId="17" xfId="25276" applyFont="1" applyFill="1" applyBorder="1"/>
    <xf numFmtId="0" fontId="32" fillId="0" borderId="12" xfId="25276" applyFont="1" applyFill="1" applyBorder="1"/>
    <xf numFmtId="0" fontId="32" fillId="0" borderId="35" xfId="25276" applyFont="1" applyFill="1" applyBorder="1"/>
    <xf numFmtId="0" fontId="32" fillId="0" borderId="35" xfId="0" applyFont="1" applyFill="1" applyBorder="1" applyAlignment="1" applyProtection="1">
      <alignment horizontal="left"/>
    </xf>
    <xf numFmtId="0" fontId="32" fillId="0" borderId="0" xfId="0" applyFont="1" applyFill="1" applyBorder="1"/>
    <xf numFmtId="0" fontId="32" fillId="0" borderId="131" xfId="25455" applyFont="1" applyFill="1" applyBorder="1" applyAlignment="1">
      <alignment horizontal="center"/>
    </xf>
    <xf numFmtId="5" fontId="32" fillId="0" borderId="51" xfId="25457" applyNumberFormat="1" applyFont="1" applyFill="1" applyBorder="1">
      <alignment horizontal="right"/>
    </xf>
    <xf numFmtId="166" fontId="32" fillId="0" borderId="99" xfId="25456" applyNumberFormat="1" applyFont="1" applyFill="1" applyBorder="1"/>
    <xf numFmtId="0" fontId="124" fillId="0" borderId="0" xfId="0" applyFont="1" applyFill="1" applyAlignment="1">
      <alignment horizontal="center" vertical="center"/>
    </xf>
    <xf numFmtId="14" fontId="122" fillId="0" borderId="0" xfId="0" applyNumberFormat="1" applyFont="1" applyFill="1"/>
    <xf numFmtId="10" fontId="32" fillId="0" borderId="0" xfId="25794" applyNumberFormat="1" applyFont="1" applyFill="1"/>
    <xf numFmtId="14" fontId="122" fillId="0" borderId="0" xfId="25745" applyNumberFormat="1" applyFont="1" applyFill="1"/>
    <xf numFmtId="0" fontId="32" fillId="0" borderId="0" xfId="25750" applyFont="1" applyFill="1"/>
    <xf numFmtId="0" fontId="121" fillId="0" borderId="0" xfId="25750" applyFont="1" applyFill="1" applyAlignment="1">
      <alignment horizontal="right"/>
    </xf>
    <xf numFmtId="43" fontId="32" fillId="0" borderId="97" xfId="25742" applyFont="1" applyFill="1" applyBorder="1"/>
    <xf numFmtId="39" fontId="32" fillId="0" borderId="97" xfId="25742" applyNumberFormat="1" applyFont="1" applyFill="1" applyBorder="1"/>
    <xf numFmtId="0" fontId="32" fillId="0" borderId="0" xfId="25750" applyFont="1" applyFill="1" applyAlignment="1">
      <alignment horizontal="center"/>
    </xf>
    <xf numFmtId="39" fontId="32" fillId="0" borderId="0" xfId="25750" applyNumberFormat="1" applyFont="1" applyFill="1"/>
    <xf numFmtId="43" fontId="32" fillId="0" borderId="0" xfId="25794" applyNumberFormat="1" applyFont="1" applyFill="1"/>
    <xf numFmtId="39" fontId="32" fillId="0" borderId="96" xfId="25742" applyNumberFormat="1" applyFont="1" applyFill="1" applyBorder="1"/>
    <xf numFmtId="39" fontId="121" fillId="0" borderId="97" xfId="25742" applyNumberFormat="1" applyFont="1" applyFill="1" applyBorder="1"/>
    <xf numFmtId="39" fontId="121" fillId="0" borderId="98" xfId="25742" applyNumberFormat="1" applyFont="1" applyFill="1" applyBorder="1"/>
    <xf numFmtId="0" fontId="32" fillId="0" borderId="0" xfId="25794" applyFont="1" applyFill="1" applyAlignment="1">
      <alignment horizontal="right"/>
    </xf>
    <xf numFmtId="8" fontId="122" fillId="0" borderId="0" xfId="0" applyNumberFormat="1" applyFont="1" applyFill="1"/>
    <xf numFmtId="191" fontId="122" fillId="0" borderId="0" xfId="0" applyNumberFormat="1" applyFont="1" applyFill="1"/>
    <xf numFmtId="8" fontId="122" fillId="0" borderId="49" xfId="0" applyNumberFormat="1" applyFont="1" applyFill="1" applyBorder="1"/>
    <xf numFmtId="10" fontId="122" fillId="0" borderId="49" xfId="0" applyNumberFormat="1" applyFont="1" applyFill="1" applyBorder="1"/>
    <xf numFmtId="191" fontId="122" fillId="0" borderId="49" xfId="0" applyNumberFormat="1" applyFont="1" applyFill="1" applyBorder="1"/>
    <xf numFmtId="8" fontId="125" fillId="0" borderId="0" xfId="0" applyNumberFormat="1" applyFont="1" applyFill="1"/>
    <xf numFmtId="8" fontId="124" fillId="0" borderId="79" xfId="0" applyNumberFormat="1" applyFont="1" applyFill="1" applyBorder="1"/>
    <xf numFmtId="8" fontId="124" fillId="0" borderId="0" xfId="0" applyNumberFormat="1" applyFont="1" applyFill="1" applyBorder="1"/>
    <xf numFmtId="43" fontId="122" fillId="0" borderId="0" xfId="0" applyNumberFormat="1" applyFont="1" applyFill="1"/>
    <xf numFmtId="40" fontId="122" fillId="0" borderId="0" xfId="0" applyNumberFormat="1" applyFont="1" applyFill="1"/>
    <xf numFmtId="43" fontId="32" fillId="0" borderId="85" xfId="0" applyNumberFormat="1" applyFont="1" applyFill="1" applyBorder="1"/>
    <xf numFmtId="8" fontId="122" fillId="0" borderId="85" xfId="0" applyNumberFormat="1" applyFont="1" applyFill="1" applyBorder="1"/>
    <xf numFmtId="191" fontId="122" fillId="0" borderId="85" xfId="0" applyNumberFormat="1" applyFont="1" applyFill="1" applyBorder="1"/>
    <xf numFmtId="4" fontId="122" fillId="0" borderId="0" xfId="0" applyNumberFormat="1" applyFont="1" applyFill="1"/>
    <xf numFmtId="4" fontId="122" fillId="0" borderId="33" xfId="0" applyNumberFormat="1" applyFont="1" applyFill="1" applyBorder="1"/>
    <xf numFmtId="0" fontId="122" fillId="0" borderId="0" xfId="0" applyFont="1" applyFill="1" applyAlignment="1">
      <alignment horizontal="left" vertical="top"/>
    </xf>
    <xf numFmtId="6" fontId="122" fillId="0" borderId="88" xfId="0" applyNumberFormat="1" applyFont="1" applyBorder="1"/>
    <xf numFmtId="6" fontId="122" fillId="0" borderId="0" xfId="0" applyNumberFormat="1" applyFont="1" applyBorder="1"/>
    <xf numFmtId="166" fontId="122" fillId="95" borderId="88" xfId="25742" applyNumberFormat="1" applyFont="1" applyFill="1" applyBorder="1"/>
    <xf numFmtId="166" fontId="122" fillId="95" borderId="89" xfId="25742" applyNumberFormat="1" applyFont="1" applyFill="1" applyBorder="1"/>
    <xf numFmtId="166" fontId="122" fillId="93" borderId="88" xfId="25742" applyNumberFormat="1" applyFont="1" applyFill="1" applyBorder="1"/>
    <xf numFmtId="6" fontId="122" fillId="0" borderId="134" xfId="0" applyNumberFormat="1" applyFont="1" applyBorder="1"/>
    <xf numFmtId="6" fontId="122" fillId="0" borderId="79" xfId="0" applyNumberFormat="1" applyFont="1" applyBorder="1"/>
    <xf numFmtId="0" fontId="124" fillId="0" borderId="0" xfId="0" applyFont="1" applyFill="1" applyAlignment="1">
      <alignment horizontal="center"/>
    </xf>
    <xf numFmtId="0" fontId="121" fillId="0" borderId="53" xfId="0" applyFont="1" applyFill="1" applyBorder="1"/>
    <xf numFmtId="0" fontId="121" fillId="0" borderId="0" xfId="0" applyFont="1" applyFill="1"/>
    <xf numFmtId="0" fontId="121" fillId="0" borderId="0" xfId="0" applyFont="1" applyFill="1" applyBorder="1"/>
    <xf numFmtId="0" fontId="0" fillId="0" borderId="0" xfId="0" applyFill="1"/>
    <xf numFmtId="49" fontId="122" fillId="0" borderId="0" xfId="0" applyNumberFormat="1" applyFont="1" applyFill="1"/>
    <xf numFmtId="43" fontId="122" fillId="0" borderId="0" xfId="25766" applyFont="1" applyFill="1"/>
    <xf numFmtId="0" fontId="128" fillId="0" borderId="53" xfId="0" applyFont="1" applyFill="1" applyBorder="1"/>
    <xf numFmtId="0" fontId="128" fillId="0" borderId="53" xfId="0" applyFont="1" applyFill="1" applyBorder="1" applyAlignment="1">
      <alignment horizontal="center"/>
    </xf>
    <xf numFmtId="43" fontId="128" fillId="0" borderId="53" xfId="25766" applyFont="1" applyFill="1" applyBorder="1"/>
    <xf numFmtId="0" fontId="128" fillId="0" borderId="0" xfId="0" applyFont="1" applyFill="1" applyBorder="1"/>
    <xf numFmtId="43" fontId="128" fillId="0" borderId="0" xfId="25766" applyFont="1" applyFill="1" applyBorder="1"/>
    <xf numFmtId="0" fontId="128" fillId="0" borderId="80" xfId="0" applyFont="1" applyFill="1" applyBorder="1"/>
    <xf numFmtId="0" fontId="128" fillId="0" borderId="80" xfId="0" applyFont="1" applyFill="1" applyBorder="1" applyAlignment="1">
      <alignment horizontal="center"/>
    </xf>
    <xf numFmtId="0" fontId="32" fillId="0" borderId="0" xfId="0" applyFont="1" applyFill="1" applyAlignment="1">
      <alignment horizontal="left"/>
    </xf>
    <xf numFmtId="0" fontId="137" fillId="0" borderId="0" xfId="0" applyFont="1" applyFill="1" applyAlignment="1"/>
    <xf numFmtId="0" fontId="122" fillId="0" borderId="0" xfId="0" applyFont="1" applyFill="1" applyAlignment="1">
      <alignment wrapText="1"/>
    </xf>
    <xf numFmtId="0" fontId="32" fillId="0" borderId="0" xfId="0" applyFont="1" applyFill="1" applyAlignment="1">
      <alignment horizontal="right"/>
    </xf>
    <xf numFmtId="43" fontId="122" fillId="0" borderId="0" xfId="25742" applyFont="1" applyFill="1"/>
    <xf numFmtId="7" fontId="122" fillId="0" borderId="0" xfId="0" applyNumberFormat="1" applyFont="1"/>
    <xf numFmtId="43" fontId="122" fillId="0" borderId="85" xfId="0" applyNumberFormat="1" applyFont="1" applyFill="1" applyBorder="1"/>
    <xf numFmtId="44" fontId="0" fillId="0" borderId="0" xfId="25745" applyFont="1"/>
    <xf numFmtId="44" fontId="0" fillId="0" borderId="80" xfId="25745" applyFont="1" applyBorder="1"/>
    <xf numFmtId="44" fontId="0" fillId="0" borderId="80" xfId="0" applyNumberFormat="1" applyBorder="1"/>
    <xf numFmtId="44" fontId="0" fillId="0" borderId="0" xfId="0" applyNumberFormat="1"/>
    <xf numFmtId="37" fontId="18" fillId="0" borderId="0" xfId="25795" applyFont="1" applyFill="1" applyAlignment="1">
      <alignment horizontal="center"/>
    </xf>
    <xf numFmtId="37" fontId="26" fillId="0" borderId="0" xfId="25795" applyFont="1" applyFill="1"/>
    <xf numFmtId="37" fontId="135" fillId="0" borderId="0" xfId="25795" applyFont="1" applyFill="1"/>
    <xf numFmtId="37" fontId="60" fillId="0" borderId="0" xfId="25795" applyFont="1" applyFill="1" applyAlignment="1">
      <alignment horizontal="center"/>
    </xf>
    <xf numFmtId="198" fontId="23" fillId="0" borderId="88" xfId="25795" applyNumberFormat="1" applyFont="1" applyFill="1" applyBorder="1" applyAlignment="1" applyProtection="1">
      <alignment horizontal="centerContinuous"/>
      <protection locked="0"/>
    </xf>
    <xf numFmtId="198" fontId="18" fillId="0" borderId="0" xfId="25795" applyNumberFormat="1" applyFont="1" applyFill="1" applyBorder="1" applyAlignment="1" applyProtection="1">
      <alignment horizontal="centerContinuous"/>
    </xf>
    <xf numFmtId="198" fontId="18" fillId="0" borderId="88" xfId="25795" applyNumberFormat="1" applyFont="1" applyFill="1" applyBorder="1" applyAlignment="1" applyProtection="1">
      <alignment horizontal="centerContinuous"/>
    </xf>
    <xf numFmtId="10" fontId="18" fillId="0" borderId="0" xfId="25795" applyNumberFormat="1" applyFont="1" applyFill="1" applyBorder="1" applyProtection="1"/>
    <xf numFmtId="10" fontId="18" fillId="0" borderId="89" xfId="25795" applyNumberFormat="1" applyFont="1" applyFill="1" applyBorder="1" applyProtection="1"/>
    <xf numFmtId="197" fontId="18" fillId="0" borderId="0" xfId="25795" applyNumberFormat="1" applyFont="1" applyFill="1" applyBorder="1" applyProtection="1"/>
    <xf numFmtId="166" fontId="23" fillId="0" borderId="0" xfId="25766" applyNumberFormat="1" applyFont="1" applyFill="1" applyBorder="1" applyProtection="1">
      <protection locked="0"/>
    </xf>
    <xf numFmtId="10" fontId="18" fillId="0" borderId="85" xfId="25795" applyNumberFormat="1" applyFont="1" applyFill="1" applyBorder="1" applyProtection="1"/>
    <xf numFmtId="10" fontId="18" fillId="0" borderId="100" xfId="25795" applyNumberFormat="1" applyFont="1" applyFill="1" applyBorder="1" applyProtection="1"/>
    <xf numFmtId="166" fontId="18" fillId="0" borderId="89" xfId="25766" applyNumberFormat="1" applyFont="1" applyFill="1" applyBorder="1" applyProtection="1"/>
    <xf numFmtId="166" fontId="23" fillId="0" borderId="85" xfId="25766" applyNumberFormat="1" applyFont="1" applyFill="1" applyBorder="1" applyProtection="1">
      <protection locked="0"/>
    </xf>
    <xf numFmtId="166" fontId="18" fillId="0" borderId="89" xfId="25766" applyNumberFormat="1" applyFont="1" applyFill="1" applyBorder="1" applyAlignment="1" applyProtection="1">
      <alignment horizontal="fill"/>
    </xf>
    <xf numFmtId="166" fontId="18" fillId="0" borderId="85" xfId="25766" applyNumberFormat="1" applyFont="1" applyFill="1" applyBorder="1" applyProtection="1"/>
    <xf numFmtId="199" fontId="18" fillId="0" borderId="0" xfId="25795" applyNumberFormat="1" applyFont="1" applyFill="1" applyBorder="1"/>
    <xf numFmtId="166" fontId="18" fillId="0" borderId="0" xfId="25766" applyNumberFormat="1" applyFont="1" applyFill="1" applyBorder="1" applyProtection="1"/>
    <xf numFmtId="10" fontId="23" fillId="0" borderId="0" xfId="25795" applyNumberFormat="1" applyFont="1" applyFill="1" applyBorder="1" applyProtection="1">
      <protection locked="0"/>
    </xf>
    <xf numFmtId="166" fontId="18" fillId="0" borderId="100" xfId="25766" applyNumberFormat="1" applyFont="1" applyFill="1" applyBorder="1" applyProtection="1"/>
    <xf numFmtId="0" fontId="18" fillId="0" borderId="0" xfId="25766" applyNumberFormat="1" applyFont="1" applyFill="1" applyAlignment="1">
      <alignment horizontal="left"/>
    </xf>
    <xf numFmtId="37" fontId="18" fillId="0" borderId="85" xfId="25795" applyFont="1" applyFill="1" applyBorder="1"/>
    <xf numFmtId="0" fontId="122" fillId="0" borderId="0" xfId="0" applyFont="1" applyFill="1" applyAlignment="1"/>
    <xf numFmtId="0" fontId="123" fillId="0" borderId="0" xfId="0" applyFont="1" applyFill="1" applyAlignment="1">
      <alignment horizontal="center"/>
    </xf>
    <xf numFmtId="44" fontId="122" fillId="0" borderId="0" xfId="0" applyNumberFormat="1" applyFont="1" applyFill="1"/>
    <xf numFmtId="194" fontId="122" fillId="0" borderId="0" xfId="0" applyNumberFormat="1" applyFont="1" applyFill="1" applyBorder="1"/>
    <xf numFmtId="189" fontId="122" fillId="0" borderId="0" xfId="0" applyNumberFormat="1" applyFont="1" applyFill="1"/>
    <xf numFmtId="0" fontId="122" fillId="0" borderId="77" xfId="0" applyFont="1" applyFill="1" applyBorder="1" applyAlignment="1">
      <alignment horizontal="center"/>
    </xf>
    <xf numFmtId="39" fontId="122" fillId="0" borderId="78" xfId="25745" applyNumberFormat="1" applyFont="1" applyFill="1" applyBorder="1" applyAlignment="1"/>
    <xf numFmtId="0" fontId="122" fillId="0" borderId="35" xfId="0" applyFont="1" applyFill="1" applyBorder="1" applyAlignment="1">
      <alignment horizontal="center"/>
    </xf>
    <xf numFmtId="4" fontId="122" fillId="0" borderId="56" xfId="0" applyNumberFormat="1" applyFont="1" applyFill="1" applyBorder="1" applyAlignment="1"/>
    <xf numFmtId="0" fontId="122" fillId="0" borderId="54" xfId="0" applyFont="1" applyFill="1" applyBorder="1" applyAlignment="1">
      <alignment horizontal="center"/>
    </xf>
    <xf numFmtId="200" fontId="122" fillId="0" borderId="56" xfId="0" applyNumberFormat="1" applyFont="1" applyFill="1" applyBorder="1" applyAlignment="1"/>
    <xf numFmtId="0" fontId="121" fillId="0" borderId="0" xfId="24690" applyFont="1" applyFill="1" applyBorder="1" applyAlignment="1">
      <alignment horizontal="center"/>
    </xf>
    <xf numFmtId="3" fontId="127" fillId="0" borderId="0" xfId="0" applyNumberFormat="1" applyFont="1" applyFill="1" applyBorder="1"/>
    <xf numFmtId="0" fontId="32" fillId="0" borderId="0" xfId="0" applyFont="1" applyFill="1" applyAlignment="1">
      <alignment horizontal="centerContinuous"/>
    </xf>
    <xf numFmtId="0" fontId="127" fillId="0" borderId="0" xfId="0" applyFont="1" applyFill="1" applyAlignment="1">
      <alignment horizontal="center"/>
    </xf>
    <xf numFmtId="0" fontId="127" fillId="0" borderId="0" xfId="0" applyFont="1" applyFill="1"/>
    <xf numFmtId="37" fontId="32" fillId="0" borderId="0" xfId="25741" applyFont="1" applyFill="1" applyAlignment="1" applyProtection="1">
      <alignment horizontal="left"/>
    </xf>
    <xf numFmtId="37" fontId="42" fillId="0" borderId="0" xfId="25741" applyFont="1" applyFill="1"/>
    <xf numFmtId="14" fontId="32" fillId="0" borderId="0" xfId="25741" applyNumberFormat="1" applyFont="1" applyFill="1" applyAlignment="1">
      <alignment horizontal="left"/>
    </xf>
    <xf numFmtId="187" fontId="32" fillId="0" borderId="0" xfId="23895" applyNumberFormat="1" applyFont="1" applyFill="1" applyAlignment="1">
      <alignment horizontal="center"/>
    </xf>
    <xf numFmtId="10" fontId="32" fillId="0" borderId="0" xfId="24219" applyNumberFormat="1" applyFont="1" applyFill="1" applyAlignment="1">
      <alignment horizontal="center"/>
    </xf>
    <xf numFmtId="186" fontId="32" fillId="0" borderId="0" xfId="24219" applyNumberFormat="1" applyFont="1" applyFill="1"/>
    <xf numFmtId="49" fontId="32" fillId="0" borderId="0" xfId="25741" applyNumberFormat="1" applyFont="1" applyFill="1"/>
    <xf numFmtId="0" fontId="32" fillId="0" borderId="133" xfId="25455" applyFont="1" applyFill="1" applyBorder="1" applyAlignment="1">
      <alignment horizontal="center"/>
    </xf>
    <xf numFmtId="38" fontId="129" fillId="0" borderId="0" xfId="0" applyNumberFormat="1" applyFont="1" applyFill="1"/>
    <xf numFmtId="38" fontId="122" fillId="0" borderId="0" xfId="0" applyNumberFormat="1" applyFont="1" applyFill="1"/>
    <xf numFmtId="1" fontId="122" fillId="0" borderId="0" xfId="0" applyNumberFormat="1" applyFont="1" applyFill="1" applyAlignment="1">
      <alignment horizontal="left"/>
    </xf>
    <xf numFmtId="38" fontId="122" fillId="0" borderId="91" xfId="0" applyNumberFormat="1" applyFont="1" applyFill="1" applyBorder="1"/>
    <xf numFmtId="38" fontId="122" fillId="0" borderId="92" xfId="0" applyNumberFormat="1" applyFont="1" applyFill="1" applyBorder="1"/>
    <xf numFmtId="38" fontId="122" fillId="0" borderId="93" xfId="0" applyNumberFormat="1" applyFont="1" applyFill="1" applyBorder="1"/>
    <xf numFmtId="6" fontId="122" fillId="0" borderId="93" xfId="0" applyNumberFormat="1" applyFont="1" applyFill="1" applyBorder="1"/>
    <xf numFmtId="38" fontId="122" fillId="0" borderId="88" xfId="0" applyNumberFormat="1" applyFont="1" applyFill="1" applyBorder="1"/>
    <xf numFmtId="38" fontId="122" fillId="0" borderId="0" xfId="0" applyNumberFormat="1" applyFont="1" applyFill="1" applyBorder="1"/>
    <xf numFmtId="38" fontId="122" fillId="0" borderId="89" xfId="0" applyNumberFormat="1" applyFont="1" applyFill="1" applyBorder="1"/>
    <xf numFmtId="6" fontId="122" fillId="0" borderId="89" xfId="0" applyNumberFormat="1" applyFont="1" applyFill="1" applyBorder="1"/>
    <xf numFmtId="38" fontId="122" fillId="0" borderId="104" xfId="0" applyNumberFormat="1" applyFont="1" applyFill="1" applyBorder="1"/>
    <xf numFmtId="6" fontId="122" fillId="0" borderId="138" xfId="0" applyNumberFormat="1" applyFont="1" applyFill="1" applyBorder="1"/>
    <xf numFmtId="6" fontId="122" fillId="0" borderId="100" xfId="0" applyNumberFormat="1" applyFont="1" applyFill="1" applyBorder="1"/>
    <xf numFmtId="38" fontId="122" fillId="0" borderId="128" xfId="0" applyNumberFormat="1" applyFont="1" applyFill="1" applyBorder="1"/>
    <xf numFmtId="38" fontId="122" fillId="0" borderId="135" xfId="0" applyNumberFormat="1" applyFont="1" applyFill="1" applyBorder="1"/>
    <xf numFmtId="6" fontId="122" fillId="0" borderId="135" xfId="0" applyNumberFormat="1" applyFont="1" applyFill="1" applyBorder="1"/>
    <xf numFmtId="38" fontId="122" fillId="0" borderId="136" xfId="0" applyNumberFormat="1" applyFont="1" applyFill="1" applyBorder="1"/>
    <xf numFmtId="40" fontId="122" fillId="0" borderId="136" xfId="0" applyNumberFormat="1" applyFont="1" applyFill="1" applyBorder="1"/>
    <xf numFmtId="40" fontId="122" fillId="0" borderId="0" xfId="0" applyNumberFormat="1" applyFont="1" applyFill="1" applyBorder="1"/>
    <xf numFmtId="38" fontId="122" fillId="0" borderId="85" xfId="0" applyNumberFormat="1" applyFont="1" applyFill="1" applyBorder="1"/>
    <xf numFmtId="38" fontId="122" fillId="0" borderId="137" xfId="0" applyNumberFormat="1" applyFont="1" applyFill="1" applyBorder="1"/>
    <xf numFmtId="38" fontId="122" fillId="0" borderId="49" xfId="0" applyNumberFormat="1" applyFont="1" applyFill="1" applyBorder="1"/>
    <xf numFmtId="49" fontId="32" fillId="0" borderId="56" xfId="25455" applyNumberFormat="1" applyFont="1" applyFill="1" applyBorder="1" applyAlignment="1">
      <alignment horizontal="center"/>
    </xf>
    <xf numFmtId="6" fontId="122" fillId="91" borderId="0" xfId="0" applyNumberFormat="1" applyFont="1" applyFill="1" applyBorder="1"/>
    <xf numFmtId="0" fontId="32" fillId="0" borderId="11" xfId="25455" applyFont="1" applyBorder="1" applyAlignment="1">
      <alignment horizontal="center"/>
    </xf>
    <xf numFmtId="49" fontId="32" fillId="0" borderId="56" xfId="25455" applyNumberFormat="1" applyFont="1" applyBorder="1" applyAlignment="1">
      <alignment horizontal="center"/>
    </xf>
    <xf numFmtId="49" fontId="32" fillId="0" borderId="99" xfId="25455" applyNumberFormat="1" applyFont="1" applyBorder="1" applyAlignment="1">
      <alignment horizontal="center"/>
    </xf>
    <xf numFmtId="49" fontId="32" fillId="0" borderId="99" xfId="25455" applyNumberFormat="1" applyFont="1" applyFill="1" applyBorder="1" applyAlignment="1">
      <alignment horizontal="center"/>
    </xf>
    <xf numFmtId="0" fontId="121" fillId="0" borderId="131" xfId="25455" applyFont="1" applyBorder="1" applyAlignment="1">
      <alignment horizontal="center"/>
    </xf>
    <xf numFmtId="0" fontId="121" fillId="0" borderId="15" xfId="25455" applyFont="1" applyBorder="1" applyAlignment="1">
      <alignment horizontal="center"/>
    </xf>
    <xf numFmtId="0" fontId="32" fillId="0" borderId="99" xfId="25455" applyFont="1" applyBorder="1"/>
    <xf numFmtId="0" fontId="32" fillId="0" borderId="14" xfId="25455" applyFont="1" applyFill="1" applyBorder="1"/>
    <xf numFmtId="43" fontId="18" fillId="0" borderId="0" xfId="25742" applyNumberFormat="1" applyFont="1" applyFill="1"/>
    <xf numFmtId="43" fontId="18" fillId="0" borderId="85" xfId="25742" applyNumberFormat="1" applyFont="1" applyFill="1" applyBorder="1"/>
    <xf numFmtId="43" fontId="18" fillId="0" borderId="128" xfId="25742" applyNumberFormat="1" applyFont="1" applyFill="1" applyBorder="1"/>
    <xf numFmtId="43" fontId="18" fillId="0" borderId="0" xfId="25742" applyNumberFormat="1" applyFont="1" applyFill="1" applyBorder="1"/>
    <xf numFmtId="49" fontId="18" fillId="0" borderId="0" xfId="27901" applyNumberFormat="1" applyFont="1" applyFill="1" applyAlignment="1">
      <alignment horizontal="center"/>
    </xf>
    <xf numFmtId="49" fontId="138" fillId="0" borderId="0" xfId="27901" applyNumberFormat="1" applyFont="1" applyFill="1" applyAlignment="1">
      <alignment horizontal="center"/>
    </xf>
    <xf numFmtId="0" fontId="57" fillId="0" borderId="0" xfId="0" applyFont="1" applyFill="1" applyAlignment="1">
      <alignment horizontal="left"/>
    </xf>
    <xf numFmtId="0" fontId="57" fillId="0" borderId="0" xfId="0" applyFont="1" applyFill="1" applyAlignment="1">
      <alignment vertical="center"/>
    </xf>
    <xf numFmtId="17" fontId="139" fillId="0" borderId="85" xfId="0" quotePrefix="1" applyNumberFormat="1" applyFont="1" applyFill="1" applyBorder="1"/>
    <xf numFmtId="17" fontId="139" fillId="0" borderId="0" xfId="0" quotePrefix="1" applyNumberFormat="1" applyFont="1" applyFill="1" applyBorder="1"/>
    <xf numFmtId="49" fontId="57" fillId="0" borderId="0" xfId="3264" applyNumberFormat="1" applyFont="1" applyFill="1"/>
    <xf numFmtId="49" fontId="18" fillId="0" borderId="0" xfId="27907" applyNumberFormat="1" applyFont="1" applyFill="1"/>
    <xf numFmtId="43" fontId="18" fillId="0" borderId="0" xfId="27903" applyNumberFormat="1" applyFont="1" applyFill="1"/>
    <xf numFmtId="43" fontId="18" fillId="0" borderId="129" xfId="27903" applyNumberFormat="1" applyFont="1" applyFill="1" applyBorder="1"/>
    <xf numFmtId="43" fontId="18" fillId="0" borderId="129" xfId="25742" applyNumberFormat="1" applyFont="1" applyFill="1" applyBorder="1"/>
    <xf numFmtId="43" fontId="18" fillId="0" borderId="85" xfId="27903" applyNumberFormat="1" applyFont="1" applyFill="1" applyBorder="1"/>
    <xf numFmtId="0" fontId="18" fillId="0" borderId="0" xfId="166" applyNumberFormat="1" applyFont="1" applyFill="1"/>
    <xf numFmtId="0" fontId="57" fillId="0" borderId="0" xfId="3264" applyFont="1" applyFill="1"/>
    <xf numFmtId="0" fontId="57" fillId="0" borderId="0" xfId="451" applyNumberFormat="1" applyFont="1" applyFill="1"/>
    <xf numFmtId="0" fontId="18" fillId="0" borderId="0" xfId="52" applyNumberFormat="1" applyFont="1" applyFill="1"/>
    <xf numFmtId="0" fontId="57" fillId="0" borderId="0" xfId="419" applyNumberFormat="1" applyFont="1" applyFill="1"/>
    <xf numFmtId="0" fontId="57" fillId="0" borderId="0" xfId="370" applyNumberFormat="1" applyFont="1" applyFill="1"/>
    <xf numFmtId="0" fontId="18" fillId="0" borderId="0" xfId="27904" applyNumberFormat="1" applyFont="1" applyFill="1"/>
    <xf numFmtId="0" fontId="18" fillId="0" borderId="0" xfId="27905" applyNumberFormat="1" applyFont="1" applyFill="1"/>
    <xf numFmtId="0" fontId="57" fillId="0" borderId="0" xfId="0" applyNumberFormat="1" applyFont="1" applyFill="1"/>
    <xf numFmtId="0" fontId="18" fillId="0" borderId="0" xfId="27906" applyNumberFormat="1" applyFont="1" applyFill="1"/>
    <xf numFmtId="0" fontId="18" fillId="0" borderId="0" xfId="27907" applyNumberFormat="1" applyFont="1" applyFill="1"/>
    <xf numFmtId="43" fontId="18" fillId="0" borderId="0" xfId="166" applyNumberFormat="1" applyFont="1" applyFill="1"/>
    <xf numFmtId="43" fontId="18" fillId="0" borderId="128" xfId="27908" applyFont="1" applyFill="1" applyBorder="1"/>
    <xf numFmtId="43" fontId="18" fillId="0" borderId="128" xfId="27909" applyFont="1" applyFill="1" applyBorder="1"/>
    <xf numFmtId="43" fontId="18" fillId="0" borderId="128" xfId="27910" applyFont="1" applyFill="1" applyBorder="1"/>
    <xf numFmtId="43" fontId="18" fillId="0" borderId="128" xfId="27911" applyFont="1" applyFill="1" applyBorder="1"/>
    <xf numFmtId="43" fontId="18" fillId="0" borderId="128" xfId="27912" applyFont="1" applyFill="1" applyBorder="1"/>
    <xf numFmtId="43" fontId="18" fillId="0" borderId="128" xfId="27913" applyFont="1" applyFill="1" applyBorder="1"/>
    <xf numFmtId="43" fontId="18" fillId="0" borderId="128" xfId="27914" applyFont="1" applyFill="1" applyBorder="1"/>
    <xf numFmtId="43" fontId="57" fillId="0" borderId="128" xfId="25766" applyFont="1" applyFill="1" applyBorder="1"/>
    <xf numFmtId="43" fontId="18" fillId="0" borderId="128" xfId="27915" applyFont="1" applyFill="1" applyBorder="1"/>
    <xf numFmtId="43" fontId="18" fillId="0" borderId="128" xfId="27916" applyFont="1" applyFill="1" applyBorder="1"/>
    <xf numFmtId="0" fontId="18" fillId="0" borderId="0" xfId="0" quotePrefix="1" applyFont="1" applyFill="1"/>
    <xf numFmtId="43" fontId="18" fillId="0" borderId="0" xfId="25766" applyFont="1" applyFill="1"/>
    <xf numFmtId="49" fontId="18" fillId="0" borderId="0" xfId="27920" applyNumberFormat="1" applyFont="1" applyFill="1"/>
    <xf numFmtId="49" fontId="18" fillId="0" borderId="0" xfId="27921" applyNumberFormat="1" applyFont="1" applyFill="1"/>
    <xf numFmtId="49" fontId="18" fillId="0" borderId="0" xfId="27921" applyNumberFormat="1" applyFill="1"/>
    <xf numFmtId="0" fontId="139" fillId="0" borderId="0" xfId="0" applyFont="1" applyFill="1"/>
    <xf numFmtId="2" fontId="18" fillId="0" borderId="0" xfId="25764" applyNumberFormat="1" applyFont="1" applyFill="1" applyAlignment="1">
      <alignment wrapText="1"/>
    </xf>
    <xf numFmtId="39" fontId="32" fillId="0" borderId="0" xfId="25794" applyNumberFormat="1" applyFont="1" applyFill="1" applyBorder="1"/>
    <xf numFmtId="184" fontId="32" fillId="0" borderId="0" xfId="3" applyNumberFormat="1" applyFont="1" applyFill="1" applyBorder="1">
      <alignment horizontal="right"/>
    </xf>
    <xf numFmtId="38" fontId="32" fillId="0" borderId="11" xfId="1" applyNumberFormat="1" applyFont="1" applyFill="1" applyBorder="1"/>
    <xf numFmtId="38" fontId="32" fillId="0" borderId="0" xfId="3" applyNumberFormat="1" applyFont="1" applyFill="1" applyBorder="1">
      <alignment horizontal="right"/>
    </xf>
    <xf numFmtId="37" fontId="32" fillId="87" borderId="14" xfId="25457" applyNumberFormat="1" applyFont="1" applyFill="1" applyBorder="1">
      <alignment horizontal="right"/>
    </xf>
    <xf numFmtId="37" fontId="32" fillId="87" borderId="99" xfId="25456" applyNumberFormat="1" applyFont="1" applyFill="1" applyBorder="1"/>
    <xf numFmtId="0" fontId="32" fillId="0" borderId="55" xfId="25455" applyFont="1" applyFill="1" applyBorder="1"/>
    <xf numFmtId="43" fontId="122" fillId="0" borderId="0" xfId="25745" applyNumberFormat="1" applyFont="1" applyFill="1"/>
    <xf numFmtId="0" fontId="121" fillId="0" borderId="77" xfId="0" applyFont="1" applyFill="1" applyBorder="1"/>
    <xf numFmtId="0" fontId="32" fillId="0" borderId="76" xfId="0" applyFont="1" applyFill="1" applyBorder="1"/>
    <xf numFmtId="0" fontId="32" fillId="0" borderId="76" xfId="0" applyFont="1" applyFill="1" applyBorder="1" applyAlignment="1">
      <alignment wrapText="1"/>
    </xf>
    <xf numFmtId="0" fontId="121" fillId="0" borderId="76" xfId="0" applyFont="1" applyFill="1" applyBorder="1" applyAlignment="1">
      <alignment horizontal="center" wrapText="1"/>
    </xf>
    <xf numFmtId="0" fontId="32" fillId="0" borderId="35" xfId="0" applyFont="1" applyFill="1" applyBorder="1"/>
    <xf numFmtId="39" fontId="121" fillId="0" borderId="85" xfId="25743" applyFont="1" applyFill="1" applyBorder="1" applyAlignment="1" applyProtection="1">
      <alignment horizontal="center" wrapText="1"/>
    </xf>
    <xf numFmtId="190" fontId="121" fillId="0" borderId="54" xfId="25743" applyNumberFormat="1" applyFont="1" applyFill="1" applyBorder="1" applyAlignment="1" applyProtection="1">
      <alignment horizontal="center" wrapText="1"/>
    </xf>
    <xf numFmtId="39" fontId="121" fillId="0" borderId="56" xfId="25743" applyFont="1" applyFill="1" applyBorder="1" applyAlignment="1" applyProtection="1">
      <alignment horizontal="center" wrapText="1"/>
    </xf>
    <xf numFmtId="43" fontId="121" fillId="0" borderId="0" xfId="25743" applyNumberFormat="1" applyFont="1" applyFill="1" applyBorder="1" applyAlignment="1" applyProtection="1">
      <alignment horizontal="center" wrapText="1"/>
    </xf>
    <xf numFmtId="43" fontId="121" fillId="0" borderId="0" xfId="25745" applyNumberFormat="1" applyFont="1" applyFill="1" applyBorder="1" applyAlignment="1" applyProtection="1">
      <alignment horizontal="center" wrapText="1"/>
    </xf>
    <xf numFmtId="39" fontId="121" fillId="0" borderId="0" xfId="25743" applyFont="1" applyFill="1" applyBorder="1" applyAlignment="1" applyProtection="1">
      <alignment horizontal="center" wrapText="1"/>
    </xf>
    <xf numFmtId="43" fontId="32" fillId="0" borderId="0" xfId="0" applyNumberFormat="1" applyFont="1" applyFill="1" applyBorder="1"/>
    <xf numFmtId="43" fontId="32" fillId="0" borderId="35" xfId="0" applyNumberFormat="1" applyFont="1" applyFill="1" applyBorder="1"/>
    <xf numFmtId="39" fontId="32" fillId="0" borderId="0" xfId="0" applyNumberFormat="1" applyFont="1" applyFill="1" applyBorder="1"/>
    <xf numFmtId="43" fontId="32" fillId="0" borderId="11" xfId="0" applyNumberFormat="1" applyFont="1" applyFill="1" applyBorder="1"/>
    <xf numFmtId="43" fontId="32" fillId="0" borderId="53" xfId="0" applyNumberFormat="1" applyFont="1" applyFill="1" applyBorder="1"/>
    <xf numFmtId="39" fontId="32" fillId="0" borderId="53" xfId="0" applyNumberFormat="1" applyFont="1" applyFill="1" applyBorder="1"/>
    <xf numFmtId="43" fontId="32" fillId="0" borderId="82" xfId="0" applyNumberFormat="1" applyFont="1" applyFill="1" applyBorder="1"/>
    <xf numFmtId="43" fontId="32" fillId="0" borderId="82" xfId="25745" applyNumberFormat="1" applyFont="1" applyFill="1" applyBorder="1"/>
    <xf numFmtId="39" fontId="32" fillId="0" borderId="35" xfId="25743" applyFont="1" applyFill="1" applyBorder="1" applyAlignment="1" applyProtection="1">
      <alignment horizontal="left"/>
    </xf>
    <xf numFmtId="39" fontId="32" fillId="0" borderId="35" xfId="25743" quotePrefix="1" applyFont="1" applyFill="1" applyBorder="1" applyAlignment="1" applyProtection="1">
      <alignment horizontal="center"/>
    </xf>
    <xf numFmtId="39" fontId="32" fillId="0" borderId="35" xfId="0" applyNumberFormat="1" applyFont="1" applyFill="1" applyBorder="1"/>
    <xf numFmtId="39" fontId="32" fillId="0" borderId="11" xfId="0" applyNumberFormat="1" applyFont="1" applyFill="1" applyBorder="1"/>
    <xf numFmtId="202" fontId="32" fillId="0" borderId="35" xfId="25742" applyNumberFormat="1" applyFont="1" applyFill="1" applyBorder="1" applyAlignment="1" applyProtection="1">
      <alignment horizontal="center"/>
    </xf>
    <xf numFmtId="43" fontId="32" fillId="0" borderId="79" xfId="0" applyNumberFormat="1" applyFont="1" applyFill="1" applyBorder="1"/>
    <xf numFmtId="43" fontId="32" fillId="0" borderId="83" xfId="0" applyNumberFormat="1" applyFont="1" applyFill="1" applyBorder="1"/>
    <xf numFmtId="43" fontId="32" fillId="0" borderId="83" xfId="25745" applyNumberFormat="1" applyFont="1" applyFill="1" applyBorder="1"/>
    <xf numFmtId="181" fontId="32" fillId="0" borderId="35" xfId="0" applyNumberFormat="1" applyFont="1" applyFill="1" applyBorder="1"/>
    <xf numFmtId="39" fontId="121" fillId="0" borderId="11" xfId="25743" applyFont="1" applyFill="1" applyBorder="1"/>
    <xf numFmtId="39" fontId="32" fillId="0" borderId="81" xfId="0" applyNumberFormat="1" applyFont="1" applyFill="1" applyBorder="1"/>
    <xf numFmtId="43" fontId="32" fillId="0" borderId="11" xfId="25745" applyNumberFormat="1" applyFont="1" applyFill="1" applyBorder="1"/>
    <xf numFmtId="43" fontId="32" fillId="0" borderId="56" xfId="0" applyNumberFormat="1" applyFont="1" applyFill="1" applyBorder="1"/>
    <xf numFmtId="43" fontId="32" fillId="0" borderId="56" xfId="25745" applyNumberFormat="1" applyFont="1" applyFill="1" applyBorder="1"/>
    <xf numFmtId="49" fontId="32" fillId="0" borderId="35" xfId="25743" applyNumberFormat="1" applyFont="1" applyFill="1" applyBorder="1" applyAlignment="1" applyProtection="1">
      <alignment horizontal="center"/>
    </xf>
    <xf numFmtId="39" fontId="121" fillId="0" borderId="11" xfId="25743" applyFont="1" applyFill="1" applyBorder="1" applyAlignment="1">
      <alignment horizontal="left" indent="2"/>
    </xf>
    <xf numFmtId="39" fontId="121" fillId="0" borderId="35" xfId="25743" applyFont="1" applyFill="1" applyBorder="1" applyAlignment="1" applyProtection="1">
      <alignment horizontal="center"/>
    </xf>
    <xf numFmtId="37" fontId="122" fillId="0" borderId="0" xfId="0" applyNumberFormat="1" applyFont="1" applyFill="1"/>
    <xf numFmtId="43" fontId="32" fillId="0" borderId="80" xfId="0" applyNumberFormat="1" applyFont="1" applyFill="1" applyBorder="1"/>
    <xf numFmtId="43" fontId="32" fillId="0" borderId="87" xfId="0" applyNumberFormat="1" applyFont="1" applyFill="1" applyBorder="1"/>
    <xf numFmtId="193" fontId="122" fillId="0" borderId="0" xfId="0" applyNumberFormat="1" applyFont="1" applyFill="1"/>
    <xf numFmtId="181" fontId="32" fillId="0" borderId="35" xfId="25743" applyNumberFormat="1" applyFont="1" applyFill="1" applyBorder="1" applyAlignment="1" applyProtection="1">
      <alignment horizontal="center"/>
    </xf>
    <xf numFmtId="39" fontId="121" fillId="0" borderId="54" xfId="25743" applyFont="1" applyFill="1" applyBorder="1" applyAlignment="1" applyProtection="1">
      <alignment horizontal="left"/>
    </xf>
    <xf numFmtId="39" fontId="32" fillId="0" borderId="56" xfId="25743" applyFont="1" applyFill="1" applyBorder="1"/>
    <xf numFmtId="37" fontId="32" fillId="0" borderId="75" xfId="25455" applyNumberFormat="1" applyFont="1" applyFill="1" applyBorder="1" applyAlignment="1">
      <alignment horizontal="center"/>
    </xf>
    <xf numFmtId="37" fontId="32" fillId="0" borderId="15" xfId="25455" applyNumberFormat="1" applyFont="1" applyFill="1" applyBorder="1" applyAlignment="1">
      <alignment horizontal="center"/>
    </xf>
    <xf numFmtId="37" fontId="32" fillId="0" borderId="16" xfId="25455" applyNumberFormat="1" applyFont="1" applyFill="1" applyBorder="1" applyAlignment="1">
      <alignment horizontal="center"/>
    </xf>
    <xf numFmtId="37" fontId="32" fillId="0" borderId="16" xfId="25455" applyNumberFormat="1" applyFont="1" applyFill="1" applyBorder="1"/>
    <xf numFmtId="0" fontId="32" fillId="0" borderId="16" xfId="25455" applyFont="1" applyFill="1" applyBorder="1"/>
    <xf numFmtId="37" fontId="32" fillId="0" borderId="14" xfId="25457" applyNumberFormat="1" applyFont="1" applyFill="1" applyBorder="1">
      <alignment horizontal="right"/>
    </xf>
    <xf numFmtId="37" fontId="121" fillId="0" borderId="64" xfId="25457" applyNumberFormat="1" applyFont="1" applyFill="1" applyBorder="1">
      <alignment horizontal="right"/>
    </xf>
    <xf numFmtId="37" fontId="121" fillId="0" borderId="51" xfId="25457" applyNumberFormat="1" applyFont="1" applyFill="1" applyBorder="1">
      <alignment horizontal="right"/>
    </xf>
    <xf numFmtId="0" fontId="0" fillId="0" borderId="0" xfId="0" applyAlignment="1">
      <alignment horizontal="center"/>
    </xf>
    <xf numFmtId="0" fontId="0" fillId="0" borderId="0" xfId="0" applyFill="1" applyAlignment="1">
      <alignment horizontal="center"/>
    </xf>
    <xf numFmtId="43" fontId="18" fillId="0" borderId="0" xfId="25742" applyFont="1" applyFill="1" applyAlignment="1">
      <alignment horizontal="center"/>
    </xf>
    <xf numFmtId="43" fontId="18" fillId="0" borderId="0" xfId="25742" applyFont="1" applyFill="1"/>
    <xf numFmtId="43" fontId="0" fillId="0" borderId="0" xfId="0" applyNumberFormat="1" applyFill="1"/>
    <xf numFmtId="44" fontId="0" fillId="0" borderId="0" xfId="25745" applyFont="1" applyFill="1" applyAlignment="1">
      <alignment horizontal="center"/>
    </xf>
    <xf numFmtId="14" fontId="32" fillId="0" borderId="0" xfId="25794" applyNumberFormat="1" applyFont="1" applyFill="1" applyBorder="1"/>
    <xf numFmtId="49" fontId="57" fillId="0" borderId="0" xfId="409" applyNumberFormat="1" applyFont="1" applyFill="1"/>
    <xf numFmtId="43" fontId="57" fillId="0" borderId="0" xfId="25766" applyFont="1" applyFill="1"/>
    <xf numFmtId="49" fontId="18" fillId="0" borderId="0" xfId="409" applyNumberFormat="1" applyFont="1" applyFill="1"/>
    <xf numFmtId="43" fontId="18" fillId="0" borderId="0" xfId="183" applyFont="1" applyFill="1"/>
    <xf numFmtId="2" fontId="57" fillId="0" borderId="0" xfId="409" applyNumberFormat="1" applyFont="1" applyFill="1" applyAlignment="1">
      <alignment wrapText="1"/>
    </xf>
    <xf numFmtId="49" fontId="57" fillId="0" borderId="0" xfId="451" applyNumberFormat="1" applyFont="1" applyFill="1"/>
    <xf numFmtId="49" fontId="18" fillId="0" borderId="0" xfId="25764" applyNumberFormat="1" applyFont="1" applyFill="1"/>
    <xf numFmtId="49" fontId="139" fillId="0" borderId="0" xfId="409" applyNumberFormat="1" applyFont="1" applyFill="1"/>
    <xf numFmtId="43" fontId="20" fillId="0" borderId="0" xfId="27902" applyFont="1" applyFill="1"/>
    <xf numFmtId="49" fontId="57" fillId="0" borderId="0" xfId="419" applyNumberFormat="1" applyFont="1" applyFill="1"/>
    <xf numFmtId="43" fontId="18" fillId="0" borderId="0" xfId="27900" applyFont="1" applyFill="1"/>
    <xf numFmtId="49" fontId="18" fillId="0" borderId="0" xfId="27919" applyNumberFormat="1" applyFont="1" applyFill="1"/>
    <xf numFmtId="43" fontId="18" fillId="0" borderId="0" xfId="27903" applyFont="1" applyFill="1" applyBorder="1"/>
    <xf numFmtId="43" fontId="18" fillId="0" borderId="0" xfId="27902" applyFont="1" applyFill="1"/>
    <xf numFmtId="43" fontId="18" fillId="0" borderId="0" xfId="27903" applyFont="1" applyFill="1"/>
    <xf numFmtId="0" fontId="57" fillId="0" borderId="0" xfId="0" applyFont="1" applyFill="1"/>
    <xf numFmtId="41" fontId="32" fillId="87" borderId="14" xfId="25456" applyNumberFormat="1" applyFont="1" applyFill="1" applyBorder="1"/>
    <xf numFmtId="0" fontId="32" fillId="0" borderId="130" xfId="25455" applyFont="1" applyFill="1" applyBorder="1" applyAlignment="1">
      <alignment horizontal="center"/>
    </xf>
    <xf numFmtId="0" fontId="32" fillId="0" borderId="132" xfId="25455" applyFont="1" applyFill="1" applyBorder="1" applyAlignment="1">
      <alignment horizontal="center"/>
    </xf>
    <xf numFmtId="49" fontId="32" fillId="0" borderId="17" xfId="25455" applyNumberFormat="1" applyFont="1" applyFill="1" applyBorder="1" applyAlignment="1">
      <alignment horizontal="center"/>
    </xf>
    <xf numFmtId="0" fontId="140" fillId="0" borderId="0" xfId="0" applyNumberFormat="1" applyFont="1" applyFill="1" applyAlignment="1">
      <alignment horizontal="center"/>
    </xf>
    <xf numFmtId="0" fontId="121" fillId="89" borderId="0" xfId="24690" applyFont="1" applyFill="1" applyBorder="1" applyAlignment="1"/>
    <xf numFmtId="6" fontId="122" fillId="0" borderId="85" xfId="0" applyNumberFormat="1" applyFont="1" applyFill="1" applyBorder="1"/>
    <xf numFmtId="6" fontId="124" fillId="0" borderId="53" xfId="0" applyNumberFormat="1" applyFont="1" applyFill="1" applyBorder="1"/>
    <xf numFmtId="0" fontId="121" fillId="0" borderId="0" xfId="27280" applyFont="1" applyFill="1" applyBorder="1" applyAlignment="1"/>
    <xf numFmtId="0" fontId="0" fillId="0" borderId="0" xfId="0"/>
    <xf numFmtId="43" fontId="32" fillId="0" borderId="145" xfId="25455" applyNumberFormat="1" applyFont="1" applyFill="1" applyBorder="1" applyAlignment="1">
      <alignment horizontal="center"/>
    </xf>
    <xf numFmtId="43" fontId="32" fillId="0" borderId="145" xfId="25745" applyNumberFormat="1" applyFont="1" applyFill="1" applyBorder="1" applyAlignment="1">
      <alignment horizontal="center"/>
    </xf>
    <xf numFmtId="39" fontId="32" fillId="0" borderId="75" xfId="25455" applyNumberFormat="1" applyFont="1" applyFill="1" applyBorder="1" applyAlignment="1">
      <alignment horizontal="center"/>
    </xf>
    <xf numFmtId="43" fontId="32" fillId="0" borderId="131" xfId="25455" applyNumberFormat="1" applyFont="1" applyFill="1" applyBorder="1" applyAlignment="1">
      <alignment horizontal="center"/>
    </xf>
    <xf numFmtId="39" fontId="32" fillId="0" borderId="15" xfId="25455" applyNumberFormat="1" applyFont="1" applyFill="1" applyBorder="1" applyAlignment="1">
      <alignment horizontal="center"/>
    </xf>
    <xf numFmtId="39" fontId="32" fillId="0" borderId="145" xfId="25455" applyNumberFormat="1" applyFont="1" applyFill="1" applyBorder="1" applyAlignment="1">
      <alignment horizontal="center"/>
    </xf>
    <xf numFmtId="0" fontId="32" fillId="0" borderId="145" xfId="25455" applyFont="1" applyFill="1" applyBorder="1" applyAlignment="1">
      <alignment horizontal="center"/>
    </xf>
    <xf numFmtId="0" fontId="32" fillId="0" borderId="152" xfId="25455" applyFont="1" applyFill="1" applyBorder="1" applyAlignment="1">
      <alignment horizontal="center"/>
    </xf>
    <xf numFmtId="39" fontId="121" fillId="0" borderId="0" xfId="25743" applyNumberFormat="1" applyFont="1" applyFill="1" applyBorder="1" applyAlignment="1" applyProtection="1">
      <alignment horizontal="center" wrapText="1"/>
    </xf>
    <xf numFmtId="39" fontId="32" fillId="0" borderId="83" xfId="0" applyNumberFormat="1" applyFont="1" applyFill="1" applyBorder="1"/>
    <xf numFmtId="39" fontId="32" fillId="0" borderId="56" xfId="0" applyNumberFormat="1" applyFont="1" applyFill="1" applyBorder="1"/>
    <xf numFmtId="5" fontId="32" fillId="0" borderId="0" xfId="0" applyNumberFormat="1" applyFont="1" applyFill="1"/>
    <xf numFmtId="8" fontId="32" fillId="0" borderId="11" xfId="0" applyNumberFormat="1" applyFont="1" applyFill="1" applyBorder="1"/>
    <xf numFmtId="39" fontId="32" fillId="0" borderId="87" xfId="0" applyNumberFormat="1" applyFont="1" applyFill="1" applyBorder="1"/>
    <xf numFmtId="37" fontId="121" fillId="0" borderId="79" xfId="25741" applyFont="1" applyFill="1" applyBorder="1" applyAlignment="1">
      <alignment horizontal="center"/>
    </xf>
    <xf numFmtId="4" fontId="122" fillId="0" borderId="153" xfId="0" applyNumberFormat="1" applyFont="1" applyFill="1" applyBorder="1"/>
    <xf numFmtId="4" fontId="122" fillId="0" borderId="140" xfId="0" applyNumberFormat="1" applyFont="1" applyFill="1" applyBorder="1"/>
    <xf numFmtId="203" fontId="122" fillId="0" borderId="0" xfId="0" applyNumberFormat="1" applyFont="1" applyFill="1"/>
    <xf numFmtId="166" fontId="32" fillId="0" borderId="14" xfId="25457" applyNumberFormat="1" applyFont="1" applyFill="1" applyBorder="1">
      <alignment horizontal="right"/>
    </xf>
    <xf numFmtId="0" fontId="121" fillId="0" borderId="0" xfId="24690" applyFont="1" applyFill="1" applyBorder="1" applyAlignment="1">
      <alignment horizontal="center"/>
    </xf>
    <xf numFmtId="43" fontId="124" fillId="0" borderId="140" xfId="0" applyNumberFormat="1" applyFont="1" applyFill="1" applyBorder="1" applyAlignment="1">
      <alignment horizontal="center"/>
    </xf>
    <xf numFmtId="39" fontId="124" fillId="0" borderId="140" xfId="0" applyNumberFormat="1" applyFont="1" applyFill="1" applyBorder="1" applyAlignment="1">
      <alignment horizontal="center"/>
    </xf>
    <xf numFmtId="0" fontId="124" fillId="0" borderId="140" xfId="0" applyFont="1" applyFill="1" applyBorder="1" applyAlignment="1">
      <alignment horizontal="center"/>
    </xf>
    <xf numFmtId="0" fontId="0" fillId="0" borderId="0" xfId="0" applyBorder="1" applyAlignment="1">
      <alignment vertical="center"/>
    </xf>
    <xf numFmtId="0" fontId="32" fillId="0" borderId="0" xfId="0" applyFont="1" applyAlignment="1">
      <alignment horizontal="left"/>
    </xf>
    <xf numFmtId="0" fontId="32" fillId="0" borderId="0" xfId="0" applyFont="1" applyBorder="1" applyAlignment="1">
      <alignment horizontal="left"/>
    </xf>
    <xf numFmtId="44" fontId="0" fillId="0" borderId="0" xfId="25745" applyFont="1" applyBorder="1"/>
    <xf numFmtId="10" fontId="57" fillId="0" borderId="0" xfId="25793" applyNumberFormat="1" applyFont="1" applyFill="1"/>
    <xf numFmtId="166" fontId="57" fillId="0" borderId="0" xfId="25742" applyNumberFormat="1" applyFont="1" applyFill="1" applyBorder="1"/>
    <xf numFmtId="0" fontId="57" fillId="0" borderId="0" xfId="0" applyFont="1" applyFill="1" applyBorder="1"/>
    <xf numFmtId="43" fontId="57" fillId="0" borderId="0" xfId="0" applyNumberFormat="1" applyFont="1" applyFill="1" applyBorder="1"/>
    <xf numFmtId="166" fontId="57" fillId="0" borderId="0" xfId="0" applyNumberFormat="1" applyFont="1" applyFill="1" applyBorder="1"/>
    <xf numFmtId="166" fontId="18" fillId="0" borderId="0" xfId="25742" applyNumberFormat="1" applyFont="1" applyFill="1" applyBorder="1"/>
    <xf numFmtId="166" fontId="139" fillId="0" borderId="0" xfId="25742" applyNumberFormat="1" applyFont="1" applyFill="1" applyBorder="1"/>
    <xf numFmtId="0" fontId="139" fillId="0" borderId="0" xfId="0" applyFont="1" applyFill="1" applyBorder="1"/>
    <xf numFmtId="0" fontId="0" fillId="0" borderId="0" xfId="0" applyFill="1" applyBorder="1"/>
    <xf numFmtId="43" fontId="0" fillId="0" borderId="0" xfId="0" applyNumberFormat="1" applyFill="1" applyBorder="1"/>
    <xf numFmtId="10" fontId="57" fillId="0" borderId="0" xfId="25793" applyNumberFormat="1" applyFont="1" applyFill="1" applyBorder="1"/>
    <xf numFmtId="0" fontId="32" fillId="0" borderId="36" xfId="1" applyFont="1" applyBorder="1"/>
    <xf numFmtId="0" fontId="32" fillId="0" borderId="132" xfId="1" applyFont="1" applyBorder="1"/>
    <xf numFmtId="0" fontId="32" fillId="0" borderId="153" xfId="1" applyFont="1" applyBorder="1"/>
    <xf numFmtId="14" fontId="32" fillId="0" borderId="36" xfId="1" applyNumberFormat="1" applyFont="1" applyFill="1" applyBorder="1" applyAlignment="1">
      <alignment horizontal="center"/>
    </xf>
    <xf numFmtId="0" fontId="32" fillId="0" borderId="33" xfId="1" applyFont="1" applyBorder="1" applyAlignment="1">
      <alignment horizontal="center"/>
    </xf>
    <xf numFmtId="0" fontId="32" fillId="0" borderId="34" xfId="1" applyFont="1" applyBorder="1" applyAlignment="1">
      <alignment horizontal="center"/>
    </xf>
    <xf numFmtId="0" fontId="32" fillId="0" borderId="152" xfId="1" applyFont="1" applyBorder="1"/>
    <xf numFmtId="0" fontId="32" fillId="0" borderId="140" xfId="1" applyFont="1" applyBorder="1"/>
    <xf numFmtId="0" fontId="32" fillId="0" borderId="132" xfId="1" applyFont="1" applyFill="1" applyBorder="1"/>
    <xf numFmtId="38" fontId="32" fillId="0" borderId="132" xfId="3" applyNumberFormat="1" applyFont="1" applyFill="1" applyBorder="1" applyProtection="1">
      <alignment horizontal="right"/>
    </xf>
    <xf numFmtId="38" fontId="32" fillId="0" borderId="132" xfId="2" applyNumberFormat="1" applyFont="1" applyFill="1" applyBorder="1" applyProtection="1"/>
    <xf numFmtId="38" fontId="32" fillId="0" borderId="153" xfId="2" applyNumberFormat="1" applyFont="1" applyFill="1" applyBorder="1" applyProtection="1"/>
    <xf numFmtId="38" fontId="122" fillId="0" borderId="132" xfId="0" applyNumberFormat="1" applyFont="1" applyFill="1" applyBorder="1"/>
    <xf numFmtId="38" fontId="32" fillId="33" borderId="132" xfId="3" applyNumberFormat="1" applyFont="1" applyFill="1" applyBorder="1">
      <alignment horizontal="right"/>
    </xf>
    <xf numFmtId="38" fontId="32" fillId="0" borderId="132" xfId="2" applyNumberFormat="1" applyFont="1" applyFill="1" applyBorder="1"/>
    <xf numFmtId="0" fontId="121" fillId="0" borderId="140" xfId="1" applyFont="1" applyFill="1" applyBorder="1"/>
    <xf numFmtId="0" fontId="32" fillId="0" borderId="152" xfId="1" applyFont="1" applyFill="1" applyBorder="1"/>
    <xf numFmtId="10" fontId="32" fillId="0" borderId="153" xfId="4" applyNumberFormat="1" applyFont="1" applyFill="1" applyBorder="1"/>
    <xf numFmtId="10" fontId="32" fillId="0" borderId="140" xfId="4" applyNumberFormat="1" applyFont="1" applyFill="1" applyBorder="1"/>
    <xf numFmtId="10" fontId="32" fillId="0" borderId="145" xfId="4" applyNumberFormat="1" applyFont="1" applyFill="1" applyBorder="1"/>
    <xf numFmtId="0" fontId="32" fillId="0" borderId="132" xfId="1" applyFont="1" applyFill="1" applyBorder="1" applyAlignment="1">
      <alignment horizontal="center"/>
    </xf>
    <xf numFmtId="49" fontId="32" fillId="0" borderId="132" xfId="1" applyNumberFormat="1" applyFont="1" applyBorder="1" applyAlignment="1">
      <alignment horizontal="center"/>
    </xf>
    <xf numFmtId="16" fontId="122" fillId="0" borderId="0" xfId="0" applyNumberFormat="1" applyFont="1"/>
    <xf numFmtId="166" fontId="122" fillId="88" borderId="0" xfId="25742" applyNumberFormat="1" applyFont="1" applyFill="1"/>
    <xf numFmtId="166" fontId="122" fillId="95" borderId="0" xfId="25742" applyNumberFormat="1" applyFont="1" applyFill="1"/>
    <xf numFmtId="166" fontId="122" fillId="93" borderId="0" xfId="25742" applyNumberFormat="1" applyFont="1" applyFill="1"/>
    <xf numFmtId="0" fontId="57" fillId="0" borderId="0" xfId="0" quotePrefix="1" applyFont="1" applyFill="1" applyAlignment="1">
      <alignment horizontal="left"/>
    </xf>
    <xf numFmtId="166" fontId="0" fillId="0" borderId="0" xfId="0" applyNumberFormat="1" applyFill="1"/>
    <xf numFmtId="43" fontId="57" fillId="0" borderId="0" xfId="25793" applyNumberFormat="1" applyFont="1" applyFill="1"/>
    <xf numFmtId="43" fontId="57" fillId="0" borderId="0" xfId="25742" applyNumberFormat="1" applyFont="1" applyFill="1" applyBorder="1"/>
    <xf numFmtId="43" fontId="139" fillId="0" borderId="0" xfId="25742" applyNumberFormat="1" applyFont="1" applyFill="1" applyBorder="1"/>
    <xf numFmtId="43" fontId="139" fillId="0" borderId="0" xfId="25742" applyNumberFormat="1" applyFont="1" applyFill="1"/>
    <xf numFmtId="49" fontId="122" fillId="0" borderId="0" xfId="0" applyNumberFormat="1" applyFont="1" applyFill="1" applyBorder="1" applyAlignment="1">
      <alignment horizontal="center"/>
    </xf>
    <xf numFmtId="0" fontId="124" fillId="0" borderId="0" xfId="0" applyFont="1" applyFill="1" applyBorder="1" applyAlignment="1">
      <alignment horizontal="center"/>
    </xf>
    <xf numFmtId="38" fontId="122" fillId="91" borderId="137" xfId="0" applyNumberFormat="1" applyFont="1" applyFill="1" applyBorder="1"/>
    <xf numFmtId="38" fontId="122" fillId="0" borderId="156" xfId="0" applyNumberFormat="1" applyFont="1" applyFill="1" applyBorder="1"/>
    <xf numFmtId="38" fontId="122" fillId="0" borderId="154" xfId="0" applyNumberFormat="1" applyFont="1" applyFill="1" applyBorder="1"/>
    <xf numFmtId="38" fontId="122" fillId="0" borderId="155" xfId="0" applyNumberFormat="1" applyFont="1" applyFill="1" applyBorder="1"/>
    <xf numFmtId="38" fontId="122" fillId="0" borderId="95" xfId="0" applyNumberFormat="1" applyFont="1" applyFill="1" applyBorder="1"/>
    <xf numFmtId="38" fontId="122" fillId="0" borderId="157" xfId="0" applyNumberFormat="1" applyFont="1" applyFill="1" applyBorder="1"/>
    <xf numFmtId="38" fontId="122" fillId="0" borderId="158" xfId="0" applyNumberFormat="1" applyFont="1" applyFill="1" applyBorder="1"/>
    <xf numFmtId="49" fontId="122" fillId="0" borderId="88" xfId="0" applyNumberFormat="1" applyFont="1" applyFill="1" applyBorder="1" applyAlignment="1">
      <alignment horizontal="center"/>
    </xf>
    <xf numFmtId="49" fontId="122" fillId="0" borderId="89" xfId="0" applyNumberFormat="1" applyFont="1" applyFill="1" applyBorder="1" applyAlignment="1">
      <alignment horizontal="center"/>
    </xf>
    <xf numFmtId="0" fontId="121" fillId="0" borderId="0" xfId="0" applyFont="1" applyFill="1" applyAlignment="1">
      <alignment horizontal="center"/>
    </xf>
    <xf numFmtId="43" fontId="57" fillId="0" borderId="0" xfId="25742" applyNumberFormat="1" applyFont="1" applyFill="1"/>
    <xf numFmtId="43" fontId="139" fillId="0" borderId="85" xfId="25742" applyNumberFormat="1" applyFont="1" applyFill="1" applyBorder="1"/>
    <xf numFmtId="43" fontId="57" fillId="0" borderId="85" xfId="25742" applyNumberFormat="1" applyFont="1" applyFill="1" applyBorder="1"/>
    <xf numFmtId="166" fontId="57" fillId="0" borderId="85" xfId="25742" applyNumberFormat="1" applyFont="1" applyFill="1" applyBorder="1"/>
    <xf numFmtId="166" fontId="139" fillId="0" borderId="0" xfId="25742" applyNumberFormat="1" applyFont="1" applyFill="1" applyAlignment="1">
      <alignment horizontal="center"/>
    </xf>
    <xf numFmtId="43" fontId="139" fillId="0" borderId="0" xfId="25742" applyNumberFormat="1" applyFont="1" applyFill="1" applyAlignment="1">
      <alignment horizontal="center"/>
    </xf>
    <xf numFmtId="166" fontId="139" fillId="0" borderId="0" xfId="25742" applyNumberFormat="1" applyFont="1" applyFill="1" applyBorder="1" applyAlignment="1">
      <alignment horizontal="center"/>
    </xf>
    <xf numFmtId="43" fontId="139" fillId="0" borderId="0" xfId="25742" applyNumberFormat="1" applyFont="1" applyFill="1" applyBorder="1" applyAlignment="1">
      <alignment horizontal="center"/>
    </xf>
    <xf numFmtId="43" fontId="57" fillId="0" borderId="11" xfId="25742" applyNumberFormat="1" applyFont="1" applyFill="1" applyBorder="1"/>
    <xf numFmtId="43" fontId="18" fillId="0" borderId="0" xfId="27909" applyFill="1"/>
    <xf numFmtId="43" fontId="18" fillId="0" borderId="140" xfId="27903" applyFont="1" applyFill="1" applyBorder="1"/>
    <xf numFmtId="43" fontId="139" fillId="0" borderId="11" xfId="25742" applyNumberFormat="1" applyFont="1" applyFill="1" applyBorder="1"/>
    <xf numFmtId="43" fontId="18" fillId="0" borderId="140" xfId="25742" applyNumberFormat="1" applyFont="1" applyFill="1" applyBorder="1"/>
    <xf numFmtId="43" fontId="57" fillId="0" borderId="132" xfId="25742" applyNumberFormat="1" applyFont="1" applyFill="1" applyBorder="1"/>
    <xf numFmtId="166" fontId="57" fillId="0" borderId="140" xfId="25742" applyNumberFormat="1" applyFont="1" applyFill="1" applyBorder="1"/>
    <xf numFmtId="43" fontId="57" fillId="0" borderId="140" xfId="25742" applyNumberFormat="1" applyFont="1" applyFill="1" applyBorder="1"/>
    <xf numFmtId="0" fontId="57" fillId="0" borderId="140" xfId="0" applyFont="1" applyFill="1" applyBorder="1"/>
    <xf numFmtId="43" fontId="139" fillId="0" borderId="0" xfId="0" applyNumberFormat="1" applyFont="1" applyFill="1"/>
    <xf numFmtId="43" fontId="57" fillId="0" borderId="14" xfId="25742" applyNumberFormat="1" applyFont="1" applyFill="1" applyBorder="1"/>
    <xf numFmtId="3" fontId="127" fillId="0" borderId="0" xfId="0" applyNumberFormat="1" applyFont="1" applyFill="1"/>
    <xf numFmtId="3" fontId="127" fillId="0" borderId="85" xfId="0" applyNumberFormat="1" applyFont="1" applyFill="1" applyBorder="1"/>
    <xf numFmtId="189" fontId="127" fillId="0" borderId="80" xfId="0" applyNumberFormat="1" applyFont="1" applyFill="1" applyBorder="1"/>
    <xf numFmtId="189" fontId="127" fillId="0" borderId="0" xfId="0" applyNumberFormat="1" applyFont="1" applyFill="1"/>
    <xf numFmtId="43" fontId="121" fillId="0" borderId="96" xfId="25742" applyFont="1" applyFill="1" applyBorder="1" applyAlignment="1">
      <alignment horizontal="center" vertical="center" wrapText="1"/>
    </xf>
    <xf numFmtId="6" fontId="122" fillId="0" borderId="90" xfId="0" applyNumberFormat="1" applyFont="1" applyFill="1" applyBorder="1"/>
    <xf numFmtId="204" fontId="122" fillId="0" borderId="0" xfId="0" applyNumberFormat="1" applyFont="1" applyFill="1"/>
    <xf numFmtId="8" fontId="32" fillId="0" borderId="82" xfId="0" applyNumberFormat="1" applyFont="1" applyFill="1" applyBorder="1"/>
    <xf numFmtId="0" fontId="122" fillId="0" borderId="0" xfId="0" quotePrefix="1" applyFont="1" applyFill="1"/>
    <xf numFmtId="0" fontId="122" fillId="0" borderId="49" xfId="0" applyFont="1" applyFill="1" applyBorder="1"/>
    <xf numFmtId="0" fontId="122" fillId="0" borderId="0" xfId="0" applyFont="1" applyFill="1" applyAlignment="1">
      <alignment horizontal="left" indent="1"/>
    </xf>
    <xf numFmtId="43" fontId="122" fillId="0" borderId="0" xfId="0" applyNumberFormat="1" applyFont="1" applyFill="1" applyBorder="1"/>
    <xf numFmtId="0" fontId="122" fillId="0" borderId="0" xfId="0" applyFont="1" applyFill="1" applyAlignment="1">
      <alignment horizontal="left"/>
    </xf>
    <xf numFmtId="44" fontId="122" fillId="0" borderId="0" xfId="25751" applyFont="1" applyFill="1"/>
    <xf numFmtId="0" fontId="121" fillId="0" borderId="76" xfId="0" applyFont="1" applyFill="1" applyBorder="1" applyAlignment="1">
      <alignment horizontal="center"/>
    </xf>
    <xf numFmtId="0" fontId="140" fillId="0" borderId="0" xfId="0" applyFont="1" applyFill="1"/>
    <xf numFmtId="0" fontId="140" fillId="0" borderId="0" xfId="0" applyFont="1" applyFill="1" applyAlignment="1">
      <alignment horizontal="center"/>
    </xf>
    <xf numFmtId="0" fontId="20" fillId="0" borderId="0" xfId="28781" applyFont="1" applyFill="1"/>
    <xf numFmtId="43" fontId="20" fillId="0" borderId="0" xfId="25742" applyFont="1" applyFill="1" applyAlignment="1">
      <alignment horizontal="center"/>
    </xf>
    <xf numFmtId="0" fontId="20" fillId="0" borderId="0" xfId="28781" applyFont="1" applyFill="1" applyAlignment="1">
      <alignment horizontal="center"/>
    </xf>
    <xf numFmtId="14" fontId="20" fillId="0" borderId="0" xfId="25742" applyNumberFormat="1" applyFont="1" applyFill="1" applyAlignment="1">
      <alignment horizontal="center"/>
    </xf>
    <xf numFmtId="0" fontId="20" fillId="0" borderId="140" xfId="28781" applyFont="1" applyFill="1" applyBorder="1" applyAlignment="1">
      <alignment horizontal="center"/>
    </xf>
    <xf numFmtId="43" fontId="20" fillId="0" borderId="140" xfId="25742" applyFont="1" applyFill="1" applyBorder="1" applyAlignment="1">
      <alignment horizontal="center"/>
    </xf>
    <xf numFmtId="0" fontId="18" fillId="0" borderId="0" xfId="25771" applyFill="1"/>
    <xf numFmtId="43" fontId="0" fillId="0" borderId="0" xfId="25742" applyFont="1" applyFill="1"/>
    <xf numFmtId="10" fontId="143" fillId="0" borderId="0" xfId="25793" applyNumberFormat="1" applyFont="1" applyFill="1"/>
    <xf numFmtId="43" fontId="143" fillId="0" borderId="0" xfId="25742" applyFont="1" applyFill="1"/>
    <xf numFmtId="43" fontId="140" fillId="0" borderId="0" xfId="25742" applyFont="1" applyFill="1" applyAlignment="1">
      <alignment horizontal="center"/>
    </xf>
    <xf numFmtId="43" fontId="144" fillId="0" borderId="0" xfId="0" applyNumberFormat="1" applyFont="1" applyFill="1"/>
    <xf numFmtId="0" fontId="0" fillId="0" borderId="0" xfId="0" applyFill="1" applyAlignment="1">
      <alignment horizontal="left"/>
    </xf>
    <xf numFmtId="43" fontId="16" fillId="0" borderId="150" xfId="25766" applyFont="1" applyFill="1" applyBorder="1"/>
    <xf numFmtId="43" fontId="145" fillId="0" borderId="150" xfId="25766" applyFont="1" applyFill="1" applyBorder="1"/>
    <xf numFmtId="43" fontId="143" fillId="0" borderId="150" xfId="25742" applyFont="1" applyFill="1" applyBorder="1"/>
    <xf numFmtId="0" fontId="18" fillId="0" borderId="0" xfId="28781" applyFill="1"/>
    <xf numFmtId="44" fontId="140" fillId="0" borderId="0" xfId="25745" applyFont="1" applyFill="1"/>
    <xf numFmtId="44" fontId="0" fillId="0" borderId="0" xfId="25745" applyFont="1" applyFill="1"/>
    <xf numFmtId="44" fontId="140" fillId="0" borderId="0" xfId="0" applyNumberFormat="1" applyFont="1" applyFill="1"/>
    <xf numFmtId="0" fontId="121" fillId="0" borderId="0" xfId="0" applyFont="1" applyFill="1" applyBorder="1" applyAlignment="1">
      <alignment horizontal="right"/>
    </xf>
    <xf numFmtId="10" fontId="32" fillId="0" borderId="0" xfId="25758" applyNumberFormat="1" applyFont="1" applyFill="1" applyBorder="1" applyAlignment="1" applyProtection="1">
      <alignment horizontal="center"/>
    </xf>
    <xf numFmtId="10" fontId="32" fillId="0" borderId="0" xfId="25758" applyNumberFormat="1" applyFont="1" applyFill="1" applyBorder="1" applyAlignment="1">
      <alignment horizontal="center"/>
    </xf>
    <xf numFmtId="43" fontId="32" fillId="0" borderId="81" xfId="0" applyNumberFormat="1" applyFont="1" applyFill="1" applyBorder="1"/>
    <xf numFmtId="39" fontId="32" fillId="0" borderId="132" xfId="0" applyNumberFormat="1" applyFont="1" applyFill="1" applyBorder="1"/>
    <xf numFmtId="43" fontId="32" fillId="0" borderId="84" xfId="0" applyNumberFormat="1" applyFont="1" applyFill="1" applyBorder="1"/>
    <xf numFmtId="43" fontId="32" fillId="0" borderId="54" xfId="0" applyNumberFormat="1" applyFont="1" applyFill="1" applyBorder="1"/>
    <xf numFmtId="39" fontId="32" fillId="0" borderId="85" xfId="0" applyNumberFormat="1" applyFont="1" applyFill="1" applyBorder="1"/>
    <xf numFmtId="39" fontId="32" fillId="0" borderId="79" xfId="0" applyNumberFormat="1" applyFont="1" applyFill="1" applyBorder="1"/>
    <xf numFmtId="43" fontId="32" fillId="0" borderId="86" xfId="0" applyNumberFormat="1" applyFont="1" applyFill="1" applyBorder="1"/>
    <xf numFmtId="0" fontId="122" fillId="0" borderId="0" xfId="0" applyFont="1" applyFill="1" applyAlignment="1">
      <alignment horizontal="center" vertical="center"/>
    </xf>
    <xf numFmtId="16" fontId="32" fillId="0" borderId="0" xfId="0" applyNumberFormat="1" applyFont="1" applyFill="1" applyAlignment="1">
      <alignment horizontal="center"/>
    </xf>
    <xf numFmtId="16" fontId="32" fillId="0" borderId="0" xfId="25295" quotePrefix="1" applyNumberFormat="1" applyFont="1" applyFill="1" applyBorder="1" applyAlignment="1"/>
    <xf numFmtId="0" fontId="122" fillId="0" borderId="0" xfId="0" applyFont="1" applyFill="1" applyAlignment="1">
      <alignment vertical="center"/>
    </xf>
    <xf numFmtId="0" fontId="122" fillId="0" borderId="0" xfId="0" applyFont="1" applyFill="1" applyAlignment="1">
      <alignment vertical="top" wrapText="1"/>
    </xf>
    <xf numFmtId="0" fontId="122" fillId="0" borderId="0" xfId="0" applyFont="1" applyFill="1" applyBorder="1" applyAlignment="1">
      <alignment vertical="center" wrapText="1"/>
    </xf>
    <xf numFmtId="39" fontId="122" fillId="0" borderId="0" xfId="25745" applyNumberFormat="1" applyFont="1"/>
    <xf numFmtId="39" fontId="122" fillId="0" borderId="0" xfId="0" applyNumberFormat="1" applyFont="1"/>
    <xf numFmtId="39" fontId="122" fillId="0" borderId="49" xfId="0" applyNumberFormat="1" applyFont="1" applyBorder="1"/>
    <xf numFmtId="14" fontId="32" fillId="0" borderId="0" xfId="25742" applyNumberFormat="1" applyFont="1" applyFill="1" applyBorder="1"/>
    <xf numFmtId="14" fontId="32" fillId="0" borderId="0" xfId="25750" applyNumberFormat="1" applyFont="1" applyFill="1" applyBorder="1"/>
    <xf numFmtId="14" fontId="121" fillId="0" borderId="0" xfId="25742" applyNumberFormat="1" applyFont="1" applyFill="1" applyBorder="1"/>
    <xf numFmtId="14" fontId="32" fillId="0" borderId="0" xfId="25750" applyNumberFormat="1" applyFont="1" applyFill="1"/>
    <xf numFmtId="14" fontId="32" fillId="0" borderId="0" xfId="25794" applyNumberFormat="1" applyFont="1" applyFill="1"/>
    <xf numFmtId="14" fontId="32" fillId="0" borderId="0" xfId="25794" applyNumberFormat="1" applyFont="1" applyFill="1" applyAlignment="1">
      <alignment horizontal="center"/>
    </xf>
    <xf numFmtId="14" fontId="122" fillId="0" borderId="0" xfId="0" applyNumberFormat="1" applyFont="1" applyFill="1" applyAlignment="1">
      <alignment horizontal="center"/>
    </xf>
    <xf numFmtId="0" fontId="121" fillId="0" borderId="0" xfId="25750" applyFont="1" applyFill="1" applyAlignment="1">
      <alignment horizontal="center" vertical="center" wrapText="1"/>
    </xf>
    <xf numFmtId="14" fontId="121" fillId="0" borderId="0" xfId="25750" applyNumberFormat="1" applyFont="1" applyFill="1" applyAlignment="1">
      <alignment horizontal="center" vertical="center" wrapText="1"/>
    </xf>
    <xf numFmtId="10" fontId="32" fillId="0" borderId="0" xfId="25750" applyNumberFormat="1" applyFont="1" applyFill="1"/>
    <xf numFmtId="10" fontId="32" fillId="0" borderId="0" xfId="25793" applyNumberFormat="1" applyFont="1" applyFill="1"/>
    <xf numFmtId="43" fontId="32" fillId="0" borderId="159" xfId="25742" applyFont="1" applyFill="1" applyBorder="1"/>
    <xf numFmtId="43" fontId="122" fillId="0" borderId="159" xfId="25742" applyFont="1" applyFill="1" applyBorder="1"/>
    <xf numFmtId="43" fontId="122" fillId="0" borderId="96" xfId="25742" applyFont="1" applyFill="1" applyBorder="1"/>
    <xf numFmtId="4" fontId="32" fillId="0" borderId="0" xfId="25794" applyNumberFormat="1" applyFont="1" applyFill="1"/>
    <xf numFmtId="0" fontId="122" fillId="0" borderId="0" xfId="0" applyFont="1" applyFill="1" applyAlignment="1">
      <alignment wrapText="1"/>
    </xf>
    <xf numFmtId="205" fontId="32" fillId="0" borderId="140" xfId="25745" applyNumberFormat="1" applyFont="1" applyBorder="1" applyAlignment="1"/>
    <xf numFmtId="206" fontId="32" fillId="86" borderId="0" xfId="25292" applyNumberFormat="1" applyFont="1" applyFill="1" applyBorder="1" applyAlignment="1">
      <alignment horizontal="center"/>
    </xf>
    <xf numFmtId="0" fontId="0" fillId="0" borderId="0" xfId="0" applyAlignment="1">
      <alignment horizontal="left"/>
    </xf>
    <xf numFmtId="38" fontId="32" fillId="96" borderId="132" xfId="3" applyNumberFormat="1" applyFont="1" applyFill="1" applyBorder="1" applyProtection="1">
      <alignment horizontal="right"/>
    </xf>
    <xf numFmtId="38" fontId="32" fillId="96" borderId="132" xfId="2" applyNumberFormat="1" applyFont="1" applyFill="1" applyBorder="1" applyProtection="1"/>
    <xf numFmtId="37" fontId="32" fillId="96" borderId="14" xfId="25456" applyNumberFormat="1" applyFont="1" applyFill="1" applyBorder="1"/>
    <xf numFmtId="37" fontId="32" fillId="96" borderId="16" xfId="25456" applyNumberFormat="1" applyFont="1" applyFill="1" applyBorder="1"/>
    <xf numFmtId="5" fontId="32" fillId="96" borderId="51" xfId="25456" applyNumberFormat="1" applyFont="1" applyFill="1" applyBorder="1"/>
    <xf numFmtId="205" fontId="32" fillId="96" borderId="0" xfId="25745" applyNumberFormat="1" applyFont="1" applyFill="1" applyAlignment="1"/>
    <xf numFmtId="205" fontId="121" fillId="96" borderId="80" xfId="25745" applyNumberFormat="1" applyFont="1" applyFill="1" applyBorder="1" applyAlignment="1"/>
    <xf numFmtId="166" fontId="32" fillId="96" borderId="14" xfId="25457" applyNumberFormat="1" applyFont="1" applyFill="1" applyBorder="1">
      <alignment horizontal="right"/>
    </xf>
    <xf numFmtId="0" fontId="0" fillId="96" borderId="0" xfId="0" applyFill="1" applyAlignment="1">
      <alignment horizontal="left"/>
    </xf>
    <xf numFmtId="0" fontId="0" fillId="96" borderId="0" xfId="0" applyFill="1"/>
    <xf numFmtId="44" fontId="0" fillId="96" borderId="0" xfId="25745" applyFont="1" applyFill="1"/>
    <xf numFmtId="44" fontId="0" fillId="96" borderId="79" xfId="25745" applyNumberFormat="1" applyFont="1" applyFill="1" applyBorder="1"/>
    <xf numFmtId="39" fontId="122" fillId="0" borderId="0" xfId="0" applyNumberFormat="1" applyFont="1" applyFill="1" applyBorder="1"/>
    <xf numFmtId="39" fontId="122" fillId="96" borderId="49" xfId="0" applyNumberFormat="1" applyFont="1" applyFill="1" applyBorder="1"/>
    <xf numFmtId="39" fontId="122" fillId="96" borderId="79" xfId="25745" applyNumberFormat="1" applyFont="1" applyFill="1" applyBorder="1"/>
    <xf numFmtId="44" fontId="122" fillId="96" borderId="0" xfId="25745" applyFont="1" applyFill="1" applyAlignment="1"/>
    <xf numFmtId="5" fontId="32" fillId="96" borderId="51" xfId="25457" applyNumberFormat="1" applyFont="1" applyFill="1" applyBorder="1">
      <alignment horizontal="right"/>
    </xf>
    <xf numFmtId="5" fontId="121" fillId="96" borderId="16" xfId="25455" applyNumberFormat="1" applyFont="1" applyFill="1" applyBorder="1"/>
    <xf numFmtId="43" fontId="32" fillId="96" borderId="14" xfId="25457" applyNumberFormat="1" applyFont="1" applyFill="1" applyBorder="1">
      <alignment horizontal="right"/>
    </xf>
    <xf numFmtId="5" fontId="121" fillId="96" borderId="51" xfId="25457" applyNumberFormat="1" applyFont="1" applyFill="1" applyBorder="1">
      <alignment horizontal="right"/>
    </xf>
    <xf numFmtId="5" fontId="32" fillId="96" borderId="14" xfId="25457" applyNumberFormat="1" applyFont="1" applyFill="1" applyBorder="1">
      <alignment horizontal="right"/>
    </xf>
    <xf numFmtId="5" fontId="32" fillId="96" borderId="16" xfId="25457" applyNumberFormat="1" applyFont="1" applyFill="1" applyBorder="1">
      <alignment horizontal="right"/>
    </xf>
    <xf numFmtId="39" fontId="122" fillId="96" borderId="0" xfId="0" applyNumberFormat="1" applyFont="1" applyFill="1"/>
    <xf numFmtId="43" fontId="122" fillId="96" borderId="0" xfId="0" applyNumberFormat="1" applyFont="1" applyFill="1"/>
    <xf numFmtId="189" fontId="124" fillId="96" borderId="79" xfId="0" applyNumberFormat="1" applyFont="1" applyFill="1" applyBorder="1"/>
    <xf numFmtId="167" fontId="124" fillId="96" borderId="0" xfId="0" applyNumberFormat="1" applyFont="1" applyFill="1"/>
    <xf numFmtId="189" fontId="122" fillId="96" borderId="55" xfId="0" applyNumberFormat="1" applyFont="1" applyFill="1" applyBorder="1"/>
    <xf numFmtId="189" fontId="122" fillId="96" borderId="0" xfId="0" applyNumberFormat="1" applyFont="1" applyFill="1"/>
    <xf numFmtId="0" fontId="121" fillId="33" borderId="0" xfId="1" applyFont="1" applyFill="1" applyBorder="1" applyAlignment="1">
      <alignment horizontal="center"/>
    </xf>
    <xf numFmtId="0" fontId="121" fillId="33" borderId="0" xfId="1" quotePrefix="1" applyFont="1" applyFill="1" applyBorder="1" applyAlignment="1">
      <alignment horizontal="center"/>
    </xf>
    <xf numFmtId="0" fontId="121" fillId="33" borderId="77" xfId="24690" applyFont="1" applyFill="1" applyBorder="1" applyAlignment="1">
      <alignment horizontal="center"/>
    </xf>
    <xf numFmtId="0" fontId="121" fillId="33" borderId="76" xfId="24690" applyFont="1" applyFill="1" applyBorder="1" applyAlignment="1">
      <alignment horizontal="center"/>
    </xf>
    <xf numFmtId="0" fontId="121" fillId="33" borderId="78" xfId="24690" applyFont="1" applyFill="1" applyBorder="1" applyAlignment="1">
      <alignment horizontal="center"/>
    </xf>
    <xf numFmtId="0" fontId="121" fillId="33" borderId="35" xfId="24690" applyFont="1" applyFill="1" applyBorder="1" applyAlignment="1">
      <alignment horizontal="center"/>
    </xf>
    <xf numFmtId="0" fontId="121" fillId="33" borderId="0" xfId="24690" applyFont="1" applyFill="1" applyBorder="1" applyAlignment="1">
      <alignment horizontal="center"/>
    </xf>
    <xf numFmtId="0" fontId="121" fillId="33" borderId="11" xfId="24690" applyFont="1" applyFill="1" applyBorder="1" applyAlignment="1">
      <alignment horizontal="center"/>
    </xf>
    <xf numFmtId="0" fontId="121" fillId="33" borderId="77" xfId="25276" applyFont="1" applyFill="1" applyBorder="1" applyAlignment="1">
      <alignment horizontal="center"/>
    </xf>
    <xf numFmtId="0" fontId="121" fillId="33" borderId="76" xfId="25276" applyFont="1" applyFill="1" applyBorder="1" applyAlignment="1">
      <alignment horizontal="center"/>
    </xf>
    <xf numFmtId="0" fontId="121" fillId="33" borderId="78" xfId="25276" applyFont="1" applyFill="1" applyBorder="1" applyAlignment="1">
      <alignment horizontal="center"/>
    </xf>
    <xf numFmtId="0" fontId="121" fillId="33" borderId="55" xfId="1" quotePrefix="1" applyFont="1" applyFill="1" applyBorder="1" applyAlignment="1">
      <alignment horizontal="center"/>
    </xf>
    <xf numFmtId="0" fontId="121" fillId="0" borderId="0" xfId="24690" applyFont="1" applyFill="1" applyBorder="1" applyAlignment="1">
      <alignment horizontal="center"/>
    </xf>
    <xf numFmtId="0" fontId="121" fillId="89" borderId="0" xfId="24690" applyFont="1" applyFill="1" applyBorder="1" applyAlignment="1">
      <alignment horizontal="center"/>
    </xf>
    <xf numFmtId="0" fontId="122" fillId="0" borderId="0" xfId="0" applyFont="1" applyFill="1" applyBorder="1" applyAlignment="1">
      <alignment horizontal="center"/>
    </xf>
    <xf numFmtId="0" fontId="121" fillId="98" borderId="0" xfId="24690" applyFont="1" applyFill="1" applyBorder="1" applyAlignment="1">
      <alignment horizontal="center"/>
    </xf>
    <xf numFmtId="0" fontId="124" fillId="0" borderId="0" xfId="0" applyFont="1" applyAlignment="1">
      <alignment horizontal="center"/>
    </xf>
    <xf numFmtId="0" fontId="121" fillId="0" borderId="54" xfId="0" applyFont="1" applyFill="1" applyBorder="1" applyAlignment="1">
      <alignment horizontal="left"/>
    </xf>
    <xf numFmtId="0" fontId="121" fillId="0" borderId="56" xfId="0" applyFont="1" applyFill="1" applyBorder="1" applyAlignment="1">
      <alignment horizontal="left"/>
    </xf>
    <xf numFmtId="39" fontId="121" fillId="0" borderId="35" xfId="25743" applyFont="1" applyFill="1" applyBorder="1" applyAlignment="1" applyProtection="1">
      <alignment horizontal="left" wrapText="1" indent="1"/>
    </xf>
    <xf numFmtId="39" fontId="121" fillId="0" borderId="11" xfId="25743" applyFont="1" applyFill="1" applyBorder="1" applyAlignment="1" applyProtection="1">
      <alignment horizontal="left" wrapText="1" indent="1"/>
    </xf>
    <xf numFmtId="0" fontId="121" fillId="0" borderId="77" xfId="0" applyFont="1" applyFill="1" applyBorder="1" applyAlignment="1">
      <alignment horizontal="left" vertical="center"/>
    </xf>
    <xf numFmtId="0" fontId="121" fillId="0" borderId="78" xfId="0" applyFont="1" applyFill="1" applyBorder="1" applyAlignment="1">
      <alignment horizontal="left" vertical="center"/>
    </xf>
    <xf numFmtId="0" fontId="121" fillId="0" borderId="35" xfId="0" applyFont="1" applyFill="1" applyBorder="1" applyAlignment="1">
      <alignment horizontal="left" vertical="center"/>
    </xf>
    <xf numFmtId="0" fontId="121" fillId="0" borderId="11" xfId="0" applyFont="1" applyFill="1" applyBorder="1" applyAlignment="1">
      <alignment horizontal="left" vertical="center"/>
    </xf>
    <xf numFmtId="0" fontId="121" fillId="0" borderId="81" xfId="0" applyFont="1" applyFill="1" applyBorder="1" applyAlignment="1">
      <alignment horizontal="center"/>
    </xf>
    <xf numFmtId="0" fontId="121" fillId="0" borderId="53" xfId="0" applyFont="1" applyFill="1" applyBorder="1" applyAlignment="1">
      <alignment horizontal="center"/>
    </xf>
    <xf numFmtId="0" fontId="121" fillId="0" borderId="77" xfId="0" applyFont="1" applyFill="1" applyBorder="1" applyAlignment="1">
      <alignment horizontal="center"/>
    </xf>
    <xf numFmtId="0" fontId="121" fillId="0" borderId="76" xfId="0" applyFont="1" applyFill="1" applyBorder="1" applyAlignment="1">
      <alignment horizontal="center"/>
    </xf>
    <xf numFmtId="0" fontId="121" fillId="0" borderId="78" xfId="0" applyFont="1" applyFill="1" applyBorder="1" applyAlignment="1">
      <alignment horizontal="center"/>
    </xf>
    <xf numFmtId="0" fontId="128" fillId="0" borderId="76" xfId="0" applyFont="1" applyFill="1" applyBorder="1" applyAlignment="1">
      <alignment horizontal="left"/>
    </xf>
    <xf numFmtId="0" fontId="128" fillId="0" borderId="53" xfId="0" applyFont="1" applyFill="1" applyBorder="1" applyAlignment="1">
      <alignment horizontal="left"/>
    </xf>
    <xf numFmtId="0" fontId="122" fillId="97" borderId="0" xfId="0" applyFont="1" applyFill="1" applyAlignment="1">
      <alignment horizontal="center" wrapText="1"/>
    </xf>
    <xf numFmtId="0" fontId="136" fillId="96" borderId="91" xfId="0" applyFont="1" applyFill="1" applyBorder="1" applyAlignment="1">
      <alignment horizontal="center" vertical="center" wrapText="1"/>
    </xf>
    <xf numFmtId="0" fontId="136" fillId="96" borderId="92" xfId="0" applyFont="1" applyFill="1" applyBorder="1" applyAlignment="1">
      <alignment horizontal="center" vertical="center" wrapText="1"/>
    </xf>
    <xf numFmtId="0" fontId="136" fillId="96" borderId="93" xfId="0" applyFont="1" applyFill="1" applyBorder="1" applyAlignment="1">
      <alignment horizontal="center" vertical="center" wrapText="1"/>
    </xf>
    <xf numFmtId="0" fontId="136" fillId="96" borderId="88" xfId="0" applyFont="1" applyFill="1" applyBorder="1" applyAlignment="1">
      <alignment horizontal="center" vertical="center" wrapText="1"/>
    </xf>
    <xf numFmtId="0" fontId="136" fillId="96" borderId="0" xfId="0" applyFont="1" applyFill="1" applyBorder="1" applyAlignment="1">
      <alignment horizontal="center" vertical="center" wrapText="1"/>
    </xf>
    <xf numFmtId="0" fontId="136" fillId="96" borderId="89" xfId="0" applyFont="1" applyFill="1" applyBorder="1" applyAlignment="1">
      <alignment horizontal="center" vertical="center" wrapText="1"/>
    </xf>
    <xf numFmtId="0" fontId="129" fillId="0" borderId="88" xfId="0" applyFont="1" applyBorder="1" applyAlignment="1">
      <alignment horizontal="left"/>
    </xf>
    <xf numFmtId="0" fontId="129" fillId="0" borderId="0" xfId="0" applyFont="1" applyBorder="1" applyAlignment="1">
      <alignment horizontal="left"/>
    </xf>
    <xf numFmtId="0" fontId="129" fillId="0" borderId="89" xfId="0" applyFont="1" applyBorder="1" applyAlignment="1">
      <alignment horizontal="left"/>
    </xf>
    <xf numFmtId="0" fontId="136" fillId="0" borderId="91" xfId="0" applyFont="1" applyBorder="1" applyAlignment="1">
      <alignment horizontal="center" vertical="center" wrapText="1"/>
    </xf>
    <xf numFmtId="0" fontId="136" fillId="0" borderId="92" xfId="0" applyFont="1" applyBorder="1" applyAlignment="1">
      <alignment horizontal="center" vertical="center" wrapText="1"/>
    </xf>
    <xf numFmtId="0" fontId="136" fillId="0" borderId="93" xfId="0" applyFont="1" applyBorder="1" applyAlignment="1">
      <alignment horizontal="center" vertical="center" wrapText="1"/>
    </xf>
    <xf numFmtId="0" fontId="136" fillId="0" borderId="88" xfId="0" applyFont="1" applyBorder="1" applyAlignment="1">
      <alignment horizontal="center" vertical="center" wrapText="1"/>
    </xf>
    <xf numFmtId="0" fontId="136" fillId="0" borderId="0" xfId="0" applyFont="1" applyBorder="1" applyAlignment="1">
      <alignment horizontal="center" vertical="center" wrapText="1"/>
    </xf>
    <xf numFmtId="0" fontId="136" fillId="0" borderId="89" xfId="0" applyFont="1" applyBorder="1" applyAlignment="1">
      <alignment horizontal="center" vertical="center" wrapText="1"/>
    </xf>
    <xf numFmtId="0" fontId="136" fillId="0" borderId="94" xfId="0" applyFont="1" applyBorder="1" applyAlignment="1">
      <alignment horizontal="center" vertical="center" wrapText="1"/>
    </xf>
    <xf numFmtId="0" fontId="136" fillId="0" borderId="49" xfId="0" applyFont="1" applyBorder="1" applyAlignment="1">
      <alignment horizontal="center" vertical="center" wrapText="1"/>
    </xf>
    <xf numFmtId="0" fontId="136" fillId="0" borderId="95" xfId="0" applyFont="1" applyBorder="1" applyAlignment="1">
      <alignment horizontal="center" vertical="center" wrapText="1"/>
    </xf>
    <xf numFmtId="0" fontId="122" fillId="33" borderId="92" xfId="0" applyFont="1" applyFill="1" applyBorder="1" applyAlignment="1">
      <alignment horizontal="right"/>
    </xf>
    <xf numFmtId="0" fontId="122" fillId="33" borderId="93" xfId="0" applyFont="1" applyFill="1" applyBorder="1" applyAlignment="1">
      <alignment horizontal="right"/>
    </xf>
    <xf numFmtId="0" fontId="122" fillId="33" borderId="0" xfId="0" applyFont="1" applyFill="1" applyBorder="1" applyAlignment="1">
      <alignment horizontal="right"/>
    </xf>
    <xf numFmtId="0" fontId="122" fillId="33" borderId="89" xfId="0" applyFont="1" applyFill="1" applyBorder="1" applyAlignment="1">
      <alignment horizontal="right"/>
    </xf>
    <xf numFmtId="49" fontId="121" fillId="0" borderId="0" xfId="25293" applyNumberFormat="1" applyFont="1" applyFill="1" applyBorder="1" applyAlignment="1">
      <alignment horizontal="center"/>
    </xf>
    <xf numFmtId="0" fontId="121" fillId="0" borderId="0" xfId="27280" applyFont="1" applyFill="1" applyBorder="1" applyAlignment="1">
      <alignment horizontal="center"/>
    </xf>
    <xf numFmtId="0" fontId="121" fillId="0" borderId="0" xfId="0" applyFont="1" applyFill="1" applyAlignment="1">
      <alignment horizontal="center"/>
    </xf>
    <xf numFmtId="0" fontId="32" fillId="0" borderId="0" xfId="0" applyFont="1" applyFill="1" applyAlignment="1">
      <alignment horizontal="center" wrapText="1"/>
    </xf>
    <xf numFmtId="0" fontId="32" fillId="0" borderId="85" xfId="0" applyFont="1" applyFill="1" applyBorder="1" applyAlignment="1">
      <alignment horizontal="center" wrapText="1"/>
    </xf>
    <xf numFmtId="0" fontId="122" fillId="0" borderId="0" xfId="0" applyFont="1" applyBorder="1" applyAlignment="1">
      <alignment horizontal="left" vertical="center" wrapText="1"/>
    </xf>
    <xf numFmtId="0" fontId="122" fillId="0" borderId="0" xfId="0" applyFont="1" applyBorder="1" applyAlignment="1">
      <alignment horizontal="left"/>
    </xf>
    <xf numFmtId="0" fontId="0" fillId="0" borderId="0" xfId="0" applyAlignment="1">
      <alignment horizontal="left"/>
    </xf>
    <xf numFmtId="0" fontId="124" fillId="0" borderId="91" xfId="0" applyFont="1" applyFill="1" applyBorder="1" applyAlignment="1">
      <alignment vertical="center"/>
    </xf>
    <xf numFmtId="0" fontId="124" fillId="0" borderId="92" xfId="0" applyFont="1" applyFill="1" applyBorder="1" applyAlignment="1">
      <alignment vertical="center"/>
    </xf>
    <xf numFmtId="0" fontId="124" fillId="0" borderId="93" xfId="0" applyFont="1" applyFill="1" applyBorder="1" applyAlignment="1">
      <alignment vertical="center"/>
    </xf>
    <xf numFmtId="0" fontId="124" fillId="0" borderId="88" xfId="0" applyFont="1" applyFill="1" applyBorder="1" applyAlignment="1">
      <alignment vertical="center"/>
    </xf>
    <xf numFmtId="0" fontId="124" fillId="0" borderId="0" xfId="0" applyFont="1" applyFill="1" applyBorder="1" applyAlignment="1">
      <alignment vertical="center"/>
    </xf>
    <xf numFmtId="0" fontId="124" fillId="0" borderId="89" xfId="0" applyFont="1" applyFill="1" applyBorder="1" applyAlignment="1">
      <alignment vertical="center"/>
    </xf>
    <xf numFmtId="0" fontId="124" fillId="0" borderId="94" xfId="0" applyFont="1" applyFill="1" applyBorder="1" applyAlignment="1">
      <alignment vertical="center"/>
    </xf>
    <xf numFmtId="0" fontId="124" fillId="0" borderId="49" xfId="0" applyFont="1" applyFill="1" applyBorder="1" applyAlignment="1">
      <alignment vertical="center"/>
    </xf>
    <xf numFmtId="0" fontId="124" fillId="0" borderId="95" xfId="0" applyFont="1" applyFill="1" applyBorder="1" applyAlignment="1">
      <alignment vertical="center"/>
    </xf>
    <xf numFmtId="0" fontId="57" fillId="0" borderId="0" xfId="0" applyFont="1" applyFill="1" applyAlignment="1">
      <alignment horizontal="left" wrapText="1"/>
    </xf>
    <xf numFmtId="10" fontId="32" fillId="96" borderId="132" xfId="4" applyNumberFormat="1" applyFont="1" applyFill="1" applyBorder="1"/>
    <xf numFmtId="10" fontId="32" fillId="96" borderId="0" xfId="4" applyNumberFormat="1" applyFont="1" applyFill="1" applyBorder="1"/>
    <xf numFmtId="38" fontId="32" fillId="96" borderId="0" xfId="2" applyNumberFormat="1" applyFont="1" applyFill="1" applyBorder="1"/>
    <xf numFmtId="38" fontId="32" fillId="96" borderId="18" xfId="3" applyNumberFormat="1" applyFont="1" applyFill="1" applyBorder="1">
      <alignment horizontal="right"/>
    </xf>
    <xf numFmtId="38" fontId="32" fillId="96" borderId="11" xfId="1" applyNumberFormat="1" applyFont="1" applyFill="1" applyBorder="1"/>
    <xf numFmtId="38" fontId="32" fillId="96" borderId="33" xfId="2" applyNumberFormat="1" applyFont="1" applyFill="1" applyBorder="1" applyProtection="1"/>
    <xf numFmtId="38" fontId="32" fillId="96" borderId="79" xfId="3" applyNumberFormat="1" applyFont="1" applyFill="1" applyBorder="1">
      <alignment horizontal="right"/>
    </xf>
    <xf numFmtId="38" fontId="32" fillId="96" borderId="0" xfId="3" applyNumberFormat="1" applyFont="1" applyFill="1" applyBorder="1">
      <alignment horizontal="right"/>
    </xf>
    <xf numFmtId="38" fontId="32" fillId="96" borderId="11" xfId="3" applyNumberFormat="1" applyFont="1" applyFill="1" applyBorder="1">
      <alignment horizontal="right"/>
    </xf>
    <xf numFmtId="38" fontId="32" fillId="96" borderId="34" xfId="2" applyNumberFormat="1" applyFont="1" applyFill="1" applyBorder="1" applyProtection="1"/>
    <xf numFmtId="38" fontId="32" fillId="96" borderId="83" xfId="3" applyNumberFormat="1" applyFont="1" applyFill="1" applyBorder="1">
      <alignment horizontal="right"/>
    </xf>
  </cellXfs>
  <cellStyles count="33354">
    <cellStyle name="20% - Accent1 10" xfId="666" xr:uid="{00000000-0005-0000-0000-000000000000}"/>
    <cellStyle name="20% - Accent1 10 2" xfId="3622" xr:uid="{00000000-0005-0000-0000-000001000000}"/>
    <cellStyle name="20% - Accent1 10 2 2" xfId="11601" xr:uid="{00000000-0005-0000-0000-000002000000}"/>
    <cellStyle name="20% - Accent1 10 2 2 2" xfId="22889" xr:uid="{00000000-0005-0000-0000-000003000000}"/>
    <cellStyle name="20% - Accent1 10 2 3" xfId="9607" xr:uid="{00000000-0005-0000-0000-000004000000}"/>
    <cellStyle name="20% - Accent1 10 2 3 2" xfId="20895" xr:uid="{00000000-0005-0000-0000-000005000000}"/>
    <cellStyle name="20% - Accent1 10 2 4" xfId="7613" xr:uid="{00000000-0005-0000-0000-000006000000}"/>
    <cellStyle name="20% - Accent1 10 2 4 2" xfId="18901" xr:uid="{00000000-0005-0000-0000-000007000000}"/>
    <cellStyle name="20% - Accent1 10 2 5" xfId="5619" xr:uid="{00000000-0005-0000-0000-000008000000}"/>
    <cellStyle name="20% - Accent1 10 2 5 2" xfId="16907" xr:uid="{00000000-0005-0000-0000-000009000000}"/>
    <cellStyle name="20% - Accent1 10 2 6" xfId="14913" xr:uid="{00000000-0005-0000-0000-00000A000000}"/>
    <cellStyle name="20% - Accent1 10 3" xfId="10604" xr:uid="{00000000-0005-0000-0000-00000B000000}"/>
    <cellStyle name="20% - Accent1 10 3 2" xfId="21892" xr:uid="{00000000-0005-0000-0000-00000C000000}"/>
    <cellStyle name="20% - Accent1 10 4" xfId="8619" xr:uid="{00000000-0005-0000-0000-00000D000000}"/>
    <cellStyle name="20% - Accent1 10 4 2" xfId="19907" xr:uid="{00000000-0005-0000-0000-00000E000000}"/>
    <cellStyle name="20% - Accent1 10 5" xfId="6616" xr:uid="{00000000-0005-0000-0000-00000F000000}"/>
    <cellStyle name="20% - Accent1 10 5 2" xfId="17904" xr:uid="{00000000-0005-0000-0000-000010000000}"/>
    <cellStyle name="20% - Accent1 10 6" xfId="4622" xr:uid="{00000000-0005-0000-0000-000011000000}"/>
    <cellStyle name="20% - Accent1 10 6 2" xfId="15910" xr:uid="{00000000-0005-0000-0000-000012000000}"/>
    <cellStyle name="20% - Accent1 10 7" xfId="13916" xr:uid="{00000000-0005-0000-0000-000013000000}"/>
    <cellStyle name="20% - Accent1 10 8" xfId="12602" xr:uid="{00000000-0005-0000-0000-000014000000}"/>
    <cellStyle name="20% - Accent1 11" xfId="667" xr:uid="{00000000-0005-0000-0000-000015000000}"/>
    <cellStyle name="20% - Accent1 11 2" xfId="3623" xr:uid="{00000000-0005-0000-0000-000016000000}"/>
    <cellStyle name="20% - Accent1 11 2 2" xfId="11602" xr:uid="{00000000-0005-0000-0000-000017000000}"/>
    <cellStyle name="20% - Accent1 11 2 2 2" xfId="22890" xr:uid="{00000000-0005-0000-0000-000018000000}"/>
    <cellStyle name="20% - Accent1 11 2 3" xfId="9608" xr:uid="{00000000-0005-0000-0000-000019000000}"/>
    <cellStyle name="20% - Accent1 11 2 3 2" xfId="20896" xr:uid="{00000000-0005-0000-0000-00001A000000}"/>
    <cellStyle name="20% - Accent1 11 2 4" xfId="7614" xr:uid="{00000000-0005-0000-0000-00001B000000}"/>
    <cellStyle name="20% - Accent1 11 2 4 2" xfId="18902" xr:uid="{00000000-0005-0000-0000-00001C000000}"/>
    <cellStyle name="20% - Accent1 11 2 5" xfId="5620" xr:uid="{00000000-0005-0000-0000-00001D000000}"/>
    <cellStyle name="20% - Accent1 11 2 5 2" xfId="16908" xr:uid="{00000000-0005-0000-0000-00001E000000}"/>
    <cellStyle name="20% - Accent1 11 2 6" xfId="14914" xr:uid="{00000000-0005-0000-0000-00001F000000}"/>
    <cellStyle name="20% - Accent1 11 3" xfId="10605" xr:uid="{00000000-0005-0000-0000-000020000000}"/>
    <cellStyle name="20% - Accent1 11 3 2" xfId="21893" xr:uid="{00000000-0005-0000-0000-000021000000}"/>
    <cellStyle name="20% - Accent1 11 4" xfId="8611" xr:uid="{00000000-0005-0000-0000-000022000000}"/>
    <cellStyle name="20% - Accent1 11 4 2" xfId="19899" xr:uid="{00000000-0005-0000-0000-000023000000}"/>
    <cellStyle name="20% - Accent1 11 5" xfId="6617" xr:uid="{00000000-0005-0000-0000-000024000000}"/>
    <cellStyle name="20% - Accent1 11 5 2" xfId="17905" xr:uid="{00000000-0005-0000-0000-000025000000}"/>
    <cellStyle name="20% - Accent1 11 6" xfId="4623" xr:uid="{00000000-0005-0000-0000-000026000000}"/>
    <cellStyle name="20% - Accent1 11 6 2" xfId="15911" xr:uid="{00000000-0005-0000-0000-000027000000}"/>
    <cellStyle name="20% - Accent1 11 7" xfId="13917" xr:uid="{00000000-0005-0000-0000-000028000000}"/>
    <cellStyle name="20% - Accent1 11 8" xfId="12603" xr:uid="{00000000-0005-0000-0000-000029000000}"/>
    <cellStyle name="20% - Accent1 12" xfId="668" xr:uid="{00000000-0005-0000-0000-00002A000000}"/>
    <cellStyle name="20% - Accent1 12 2" xfId="3624" xr:uid="{00000000-0005-0000-0000-00002B000000}"/>
    <cellStyle name="20% - Accent1 12 2 2" xfId="11603" xr:uid="{00000000-0005-0000-0000-00002C000000}"/>
    <cellStyle name="20% - Accent1 12 2 2 2" xfId="22891" xr:uid="{00000000-0005-0000-0000-00002D000000}"/>
    <cellStyle name="20% - Accent1 12 2 3" xfId="9609" xr:uid="{00000000-0005-0000-0000-00002E000000}"/>
    <cellStyle name="20% - Accent1 12 2 3 2" xfId="20897" xr:uid="{00000000-0005-0000-0000-00002F000000}"/>
    <cellStyle name="20% - Accent1 12 2 4" xfId="7615" xr:uid="{00000000-0005-0000-0000-000030000000}"/>
    <cellStyle name="20% - Accent1 12 2 4 2" xfId="18903" xr:uid="{00000000-0005-0000-0000-000031000000}"/>
    <cellStyle name="20% - Accent1 12 2 5" xfId="5621" xr:uid="{00000000-0005-0000-0000-000032000000}"/>
    <cellStyle name="20% - Accent1 12 2 5 2" xfId="16909" xr:uid="{00000000-0005-0000-0000-000033000000}"/>
    <cellStyle name="20% - Accent1 12 2 6" xfId="14915" xr:uid="{00000000-0005-0000-0000-000034000000}"/>
    <cellStyle name="20% - Accent1 12 3" xfId="10606" xr:uid="{00000000-0005-0000-0000-000035000000}"/>
    <cellStyle name="20% - Accent1 12 3 2" xfId="21894" xr:uid="{00000000-0005-0000-0000-000036000000}"/>
    <cellStyle name="20% - Accent1 12 4" xfId="8620" xr:uid="{00000000-0005-0000-0000-000037000000}"/>
    <cellStyle name="20% - Accent1 12 4 2" xfId="19908" xr:uid="{00000000-0005-0000-0000-000038000000}"/>
    <cellStyle name="20% - Accent1 12 5" xfId="6618" xr:uid="{00000000-0005-0000-0000-000039000000}"/>
    <cellStyle name="20% - Accent1 12 5 2" xfId="17906" xr:uid="{00000000-0005-0000-0000-00003A000000}"/>
    <cellStyle name="20% - Accent1 12 6" xfId="4624" xr:uid="{00000000-0005-0000-0000-00003B000000}"/>
    <cellStyle name="20% - Accent1 12 6 2" xfId="15912" xr:uid="{00000000-0005-0000-0000-00003C000000}"/>
    <cellStyle name="20% - Accent1 12 7" xfId="13918" xr:uid="{00000000-0005-0000-0000-00003D000000}"/>
    <cellStyle name="20% - Accent1 12 8" xfId="12604" xr:uid="{00000000-0005-0000-0000-00003E000000}"/>
    <cellStyle name="20% - Accent1 13" xfId="669" xr:uid="{00000000-0005-0000-0000-00003F000000}"/>
    <cellStyle name="20% - Accent1 13 2" xfId="3625" xr:uid="{00000000-0005-0000-0000-000040000000}"/>
    <cellStyle name="20% - Accent1 13 2 2" xfId="11604" xr:uid="{00000000-0005-0000-0000-000041000000}"/>
    <cellStyle name="20% - Accent1 13 2 2 2" xfId="22892" xr:uid="{00000000-0005-0000-0000-000042000000}"/>
    <cellStyle name="20% - Accent1 13 2 3" xfId="9610" xr:uid="{00000000-0005-0000-0000-000043000000}"/>
    <cellStyle name="20% - Accent1 13 2 3 2" xfId="20898" xr:uid="{00000000-0005-0000-0000-000044000000}"/>
    <cellStyle name="20% - Accent1 13 2 4" xfId="7616" xr:uid="{00000000-0005-0000-0000-000045000000}"/>
    <cellStyle name="20% - Accent1 13 2 4 2" xfId="18904" xr:uid="{00000000-0005-0000-0000-000046000000}"/>
    <cellStyle name="20% - Accent1 13 2 5" xfId="5622" xr:uid="{00000000-0005-0000-0000-000047000000}"/>
    <cellStyle name="20% - Accent1 13 2 5 2" xfId="16910" xr:uid="{00000000-0005-0000-0000-000048000000}"/>
    <cellStyle name="20% - Accent1 13 2 6" xfId="14916" xr:uid="{00000000-0005-0000-0000-000049000000}"/>
    <cellStyle name="20% - Accent1 13 3" xfId="10607" xr:uid="{00000000-0005-0000-0000-00004A000000}"/>
    <cellStyle name="20% - Accent1 13 3 2" xfId="21895" xr:uid="{00000000-0005-0000-0000-00004B000000}"/>
    <cellStyle name="20% - Accent1 13 4" xfId="8612" xr:uid="{00000000-0005-0000-0000-00004C000000}"/>
    <cellStyle name="20% - Accent1 13 4 2" xfId="19900" xr:uid="{00000000-0005-0000-0000-00004D000000}"/>
    <cellStyle name="20% - Accent1 13 5" xfId="6619" xr:uid="{00000000-0005-0000-0000-00004E000000}"/>
    <cellStyle name="20% - Accent1 13 5 2" xfId="17907" xr:uid="{00000000-0005-0000-0000-00004F000000}"/>
    <cellStyle name="20% - Accent1 13 6" xfId="4625" xr:uid="{00000000-0005-0000-0000-000050000000}"/>
    <cellStyle name="20% - Accent1 13 6 2" xfId="15913" xr:uid="{00000000-0005-0000-0000-000051000000}"/>
    <cellStyle name="20% - Accent1 13 7" xfId="13919" xr:uid="{00000000-0005-0000-0000-000052000000}"/>
    <cellStyle name="20% - Accent1 13 8" xfId="12605" xr:uid="{00000000-0005-0000-0000-000053000000}"/>
    <cellStyle name="20% - Accent1 14" xfId="670" xr:uid="{00000000-0005-0000-0000-000054000000}"/>
    <cellStyle name="20% - Accent1 14 2" xfId="3626" xr:uid="{00000000-0005-0000-0000-000055000000}"/>
    <cellStyle name="20% - Accent1 14 2 2" xfId="11605" xr:uid="{00000000-0005-0000-0000-000056000000}"/>
    <cellStyle name="20% - Accent1 14 2 2 2" xfId="22893" xr:uid="{00000000-0005-0000-0000-000057000000}"/>
    <cellStyle name="20% - Accent1 14 2 3" xfId="9611" xr:uid="{00000000-0005-0000-0000-000058000000}"/>
    <cellStyle name="20% - Accent1 14 2 3 2" xfId="20899" xr:uid="{00000000-0005-0000-0000-000059000000}"/>
    <cellStyle name="20% - Accent1 14 2 4" xfId="7617" xr:uid="{00000000-0005-0000-0000-00005A000000}"/>
    <cellStyle name="20% - Accent1 14 2 4 2" xfId="18905" xr:uid="{00000000-0005-0000-0000-00005B000000}"/>
    <cellStyle name="20% - Accent1 14 2 5" xfId="5623" xr:uid="{00000000-0005-0000-0000-00005C000000}"/>
    <cellStyle name="20% - Accent1 14 2 5 2" xfId="16911" xr:uid="{00000000-0005-0000-0000-00005D000000}"/>
    <cellStyle name="20% - Accent1 14 2 6" xfId="14917" xr:uid="{00000000-0005-0000-0000-00005E000000}"/>
    <cellStyle name="20% - Accent1 14 3" xfId="10608" xr:uid="{00000000-0005-0000-0000-00005F000000}"/>
    <cellStyle name="20% - Accent1 14 3 2" xfId="21896" xr:uid="{00000000-0005-0000-0000-000060000000}"/>
    <cellStyle name="20% - Accent1 14 4" xfId="8610" xr:uid="{00000000-0005-0000-0000-000061000000}"/>
    <cellStyle name="20% - Accent1 14 4 2" xfId="19898" xr:uid="{00000000-0005-0000-0000-000062000000}"/>
    <cellStyle name="20% - Accent1 14 5" xfId="6620" xr:uid="{00000000-0005-0000-0000-000063000000}"/>
    <cellStyle name="20% - Accent1 14 5 2" xfId="17908" xr:uid="{00000000-0005-0000-0000-000064000000}"/>
    <cellStyle name="20% - Accent1 14 6" xfId="4626" xr:uid="{00000000-0005-0000-0000-000065000000}"/>
    <cellStyle name="20% - Accent1 14 6 2" xfId="15914" xr:uid="{00000000-0005-0000-0000-000066000000}"/>
    <cellStyle name="20% - Accent1 14 7" xfId="13920" xr:uid="{00000000-0005-0000-0000-000067000000}"/>
    <cellStyle name="20% - Accent1 14 8" xfId="12606" xr:uid="{00000000-0005-0000-0000-000068000000}"/>
    <cellStyle name="20% - Accent1 15" xfId="671" xr:uid="{00000000-0005-0000-0000-000069000000}"/>
    <cellStyle name="20% - Accent1 15 2" xfId="3627" xr:uid="{00000000-0005-0000-0000-00006A000000}"/>
    <cellStyle name="20% - Accent1 15 2 2" xfId="11606" xr:uid="{00000000-0005-0000-0000-00006B000000}"/>
    <cellStyle name="20% - Accent1 15 2 2 2" xfId="22894" xr:uid="{00000000-0005-0000-0000-00006C000000}"/>
    <cellStyle name="20% - Accent1 15 2 3" xfId="9612" xr:uid="{00000000-0005-0000-0000-00006D000000}"/>
    <cellStyle name="20% - Accent1 15 2 3 2" xfId="20900" xr:uid="{00000000-0005-0000-0000-00006E000000}"/>
    <cellStyle name="20% - Accent1 15 2 4" xfId="7618" xr:uid="{00000000-0005-0000-0000-00006F000000}"/>
    <cellStyle name="20% - Accent1 15 2 4 2" xfId="18906" xr:uid="{00000000-0005-0000-0000-000070000000}"/>
    <cellStyle name="20% - Accent1 15 2 5" xfId="5624" xr:uid="{00000000-0005-0000-0000-000071000000}"/>
    <cellStyle name="20% - Accent1 15 2 5 2" xfId="16912" xr:uid="{00000000-0005-0000-0000-000072000000}"/>
    <cellStyle name="20% - Accent1 15 2 6" xfId="14918" xr:uid="{00000000-0005-0000-0000-000073000000}"/>
    <cellStyle name="20% - Accent1 15 3" xfId="10609" xr:uid="{00000000-0005-0000-0000-000074000000}"/>
    <cellStyle name="20% - Accent1 15 3 2" xfId="21897" xr:uid="{00000000-0005-0000-0000-000075000000}"/>
    <cellStyle name="20% - Accent1 15 4" xfId="8613" xr:uid="{00000000-0005-0000-0000-000076000000}"/>
    <cellStyle name="20% - Accent1 15 4 2" xfId="19901" xr:uid="{00000000-0005-0000-0000-000077000000}"/>
    <cellStyle name="20% - Accent1 15 5" xfId="6621" xr:uid="{00000000-0005-0000-0000-000078000000}"/>
    <cellStyle name="20% - Accent1 15 5 2" xfId="17909" xr:uid="{00000000-0005-0000-0000-000079000000}"/>
    <cellStyle name="20% - Accent1 15 6" xfId="4627" xr:uid="{00000000-0005-0000-0000-00007A000000}"/>
    <cellStyle name="20% - Accent1 15 6 2" xfId="15915" xr:uid="{00000000-0005-0000-0000-00007B000000}"/>
    <cellStyle name="20% - Accent1 15 7" xfId="13921" xr:uid="{00000000-0005-0000-0000-00007C000000}"/>
    <cellStyle name="20% - Accent1 15 8" xfId="12607" xr:uid="{00000000-0005-0000-0000-00007D000000}"/>
    <cellStyle name="20% - Accent1 16" xfId="672" xr:uid="{00000000-0005-0000-0000-00007E000000}"/>
    <cellStyle name="20% - Accent1 16 2" xfId="3628" xr:uid="{00000000-0005-0000-0000-00007F000000}"/>
    <cellStyle name="20% - Accent1 16 2 2" xfId="11607" xr:uid="{00000000-0005-0000-0000-000080000000}"/>
    <cellStyle name="20% - Accent1 16 2 2 2" xfId="22895" xr:uid="{00000000-0005-0000-0000-000081000000}"/>
    <cellStyle name="20% - Accent1 16 2 3" xfId="9613" xr:uid="{00000000-0005-0000-0000-000082000000}"/>
    <cellStyle name="20% - Accent1 16 2 3 2" xfId="20901" xr:uid="{00000000-0005-0000-0000-000083000000}"/>
    <cellStyle name="20% - Accent1 16 2 4" xfId="7619" xr:uid="{00000000-0005-0000-0000-000084000000}"/>
    <cellStyle name="20% - Accent1 16 2 4 2" xfId="18907" xr:uid="{00000000-0005-0000-0000-000085000000}"/>
    <cellStyle name="20% - Accent1 16 2 5" xfId="5625" xr:uid="{00000000-0005-0000-0000-000086000000}"/>
    <cellStyle name="20% - Accent1 16 2 5 2" xfId="16913" xr:uid="{00000000-0005-0000-0000-000087000000}"/>
    <cellStyle name="20% - Accent1 16 2 6" xfId="14919" xr:uid="{00000000-0005-0000-0000-000088000000}"/>
    <cellStyle name="20% - Accent1 16 3" xfId="10610" xr:uid="{00000000-0005-0000-0000-000089000000}"/>
    <cellStyle name="20% - Accent1 16 3 2" xfId="21898" xr:uid="{00000000-0005-0000-0000-00008A000000}"/>
    <cellStyle name="20% - Accent1 16 4" xfId="8614" xr:uid="{00000000-0005-0000-0000-00008B000000}"/>
    <cellStyle name="20% - Accent1 16 4 2" xfId="19902" xr:uid="{00000000-0005-0000-0000-00008C000000}"/>
    <cellStyle name="20% - Accent1 16 5" xfId="6622" xr:uid="{00000000-0005-0000-0000-00008D000000}"/>
    <cellStyle name="20% - Accent1 16 5 2" xfId="17910" xr:uid="{00000000-0005-0000-0000-00008E000000}"/>
    <cellStyle name="20% - Accent1 16 6" xfId="4628" xr:uid="{00000000-0005-0000-0000-00008F000000}"/>
    <cellStyle name="20% - Accent1 16 6 2" xfId="15916" xr:uid="{00000000-0005-0000-0000-000090000000}"/>
    <cellStyle name="20% - Accent1 16 7" xfId="13922" xr:uid="{00000000-0005-0000-0000-000091000000}"/>
    <cellStyle name="20% - Accent1 16 8" xfId="12608" xr:uid="{00000000-0005-0000-0000-000092000000}"/>
    <cellStyle name="20% - Accent1 17" xfId="673" xr:uid="{00000000-0005-0000-0000-000093000000}"/>
    <cellStyle name="20% - Accent1 17 2" xfId="3629" xr:uid="{00000000-0005-0000-0000-000094000000}"/>
    <cellStyle name="20% - Accent1 17 2 2" xfId="11608" xr:uid="{00000000-0005-0000-0000-000095000000}"/>
    <cellStyle name="20% - Accent1 17 2 2 2" xfId="22896" xr:uid="{00000000-0005-0000-0000-000096000000}"/>
    <cellStyle name="20% - Accent1 17 2 3" xfId="9614" xr:uid="{00000000-0005-0000-0000-000097000000}"/>
    <cellStyle name="20% - Accent1 17 2 3 2" xfId="20902" xr:uid="{00000000-0005-0000-0000-000098000000}"/>
    <cellStyle name="20% - Accent1 17 2 4" xfId="7620" xr:uid="{00000000-0005-0000-0000-000099000000}"/>
    <cellStyle name="20% - Accent1 17 2 4 2" xfId="18908" xr:uid="{00000000-0005-0000-0000-00009A000000}"/>
    <cellStyle name="20% - Accent1 17 2 5" xfId="5626" xr:uid="{00000000-0005-0000-0000-00009B000000}"/>
    <cellStyle name="20% - Accent1 17 2 5 2" xfId="16914" xr:uid="{00000000-0005-0000-0000-00009C000000}"/>
    <cellStyle name="20% - Accent1 17 2 6" xfId="14920" xr:uid="{00000000-0005-0000-0000-00009D000000}"/>
    <cellStyle name="20% - Accent1 17 3" xfId="10611" xr:uid="{00000000-0005-0000-0000-00009E000000}"/>
    <cellStyle name="20% - Accent1 17 3 2" xfId="21899" xr:uid="{00000000-0005-0000-0000-00009F000000}"/>
    <cellStyle name="20% - Accent1 17 4" xfId="8617" xr:uid="{00000000-0005-0000-0000-0000A0000000}"/>
    <cellStyle name="20% - Accent1 17 4 2" xfId="19905" xr:uid="{00000000-0005-0000-0000-0000A1000000}"/>
    <cellStyle name="20% - Accent1 17 5" xfId="6623" xr:uid="{00000000-0005-0000-0000-0000A2000000}"/>
    <cellStyle name="20% - Accent1 17 5 2" xfId="17911" xr:uid="{00000000-0005-0000-0000-0000A3000000}"/>
    <cellStyle name="20% - Accent1 17 6" xfId="4629" xr:uid="{00000000-0005-0000-0000-0000A4000000}"/>
    <cellStyle name="20% - Accent1 17 6 2" xfId="15917" xr:uid="{00000000-0005-0000-0000-0000A5000000}"/>
    <cellStyle name="20% - Accent1 17 7" xfId="13923" xr:uid="{00000000-0005-0000-0000-0000A6000000}"/>
    <cellStyle name="20% - Accent1 17 8" xfId="12609" xr:uid="{00000000-0005-0000-0000-0000A7000000}"/>
    <cellStyle name="20% - Accent1 18" xfId="674" xr:uid="{00000000-0005-0000-0000-0000A8000000}"/>
    <cellStyle name="20% - Accent1 18 2" xfId="3630" xr:uid="{00000000-0005-0000-0000-0000A9000000}"/>
    <cellStyle name="20% - Accent1 18 2 2" xfId="11609" xr:uid="{00000000-0005-0000-0000-0000AA000000}"/>
    <cellStyle name="20% - Accent1 18 2 2 2" xfId="22897" xr:uid="{00000000-0005-0000-0000-0000AB000000}"/>
    <cellStyle name="20% - Accent1 18 2 3" xfId="9615" xr:uid="{00000000-0005-0000-0000-0000AC000000}"/>
    <cellStyle name="20% - Accent1 18 2 3 2" xfId="20903" xr:uid="{00000000-0005-0000-0000-0000AD000000}"/>
    <cellStyle name="20% - Accent1 18 2 4" xfId="7621" xr:uid="{00000000-0005-0000-0000-0000AE000000}"/>
    <cellStyle name="20% - Accent1 18 2 4 2" xfId="18909" xr:uid="{00000000-0005-0000-0000-0000AF000000}"/>
    <cellStyle name="20% - Accent1 18 2 5" xfId="5627" xr:uid="{00000000-0005-0000-0000-0000B0000000}"/>
    <cellStyle name="20% - Accent1 18 2 5 2" xfId="16915" xr:uid="{00000000-0005-0000-0000-0000B1000000}"/>
    <cellStyle name="20% - Accent1 18 2 6" xfId="14921" xr:uid="{00000000-0005-0000-0000-0000B2000000}"/>
    <cellStyle name="20% - Accent1 18 3" xfId="10612" xr:uid="{00000000-0005-0000-0000-0000B3000000}"/>
    <cellStyle name="20% - Accent1 18 3 2" xfId="21900" xr:uid="{00000000-0005-0000-0000-0000B4000000}"/>
    <cellStyle name="20% - Accent1 18 4" xfId="8618" xr:uid="{00000000-0005-0000-0000-0000B5000000}"/>
    <cellStyle name="20% - Accent1 18 4 2" xfId="19906" xr:uid="{00000000-0005-0000-0000-0000B6000000}"/>
    <cellStyle name="20% - Accent1 18 5" xfId="6624" xr:uid="{00000000-0005-0000-0000-0000B7000000}"/>
    <cellStyle name="20% - Accent1 18 5 2" xfId="17912" xr:uid="{00000000-0005-0000-0000-0000B8000000}"/>
    <cellStyle name="20% - Accent1 18 6" xfId="4630" xr:uid="{00000000-0005-0000-0000-0000B9000000}"/>
    <cellStyle name="20% - Accent1 18 6 2" xfId="15918" xr:uid="{00000000-0005-0000-0000-0000BA000000}"/>
    <cellStyle name="20% - Accent1 18 7" xfId="13924" xr:uid="{00000000-0005-0000-0000-0000BB000000}"/>
    <cellStyle name="20% - Accent1 18 8" xfId="12610" xr:uid="{00000000-0005-0000-0000-0000BC000000}"/>
    <cellStyle name="20% - Accent1 19" xfId="675" xr:uid="{00000000-0005-0000-0000-0000BD000000}"/>
    <cellStyle name="20% - Accent1 19 2" xfId="3631" xr:uid="{00000000-0005-0000-0000-0000BE000000}"/>
    <cellStyle name="20% - Accent1 19 2 2" xfId="11610" xr:uid="{00000000-0005-0000-0000-0000BF000000}"/>
    <cellStyle name="20% - Accent1 19 2 2 2" xfId="22898" xr:uid="{00000000-0005-0000-0000-0000C0000000}"/>
    <cellStyle name="20% - Accent1 19 2 3" xfId="9616" xr:uid="{00000000-0005-0000-0000-0000C1000000}"/>
    <cellStyle name="20% - Accent1 19 2 3 2" xfId="20904" xr:uid="{00000000-0005-0000-0000-0000C2000000}"/>
    <cellStyle name="20% - Accent1 19 2 4" xfId="7622" xr:uid="{00000000-0005-0000-0000-0000C3000000}"/>
    <cellStyle name="20% - Accent1 19 2 4 2" xfId="18910" xr:uid="{00000000-0005-0000-0000-0000C4000000}"/>
    <cellStyle name="20% - Accent1 19 2 5" xfId="5628" xr:uid="{00000000-0005-0000-0000-0000C5000000}"/>
    <cellStyle name="20% - Accent1 19 2 5 2" xfId="16916" xr:uid="{00000000-0005-0000-0000-0000C6000000}"/>
    <cellStyle name="20% - Accent1 19 2 6" xfId="14922" xr:uid="{00000000-0005-0000-0000-0000C7000000}"/>
    <cellStyle name="20% - Accent1 19 3" xfId="10613" xr:uid="{00000000-0005-0000-0000-0000C8000000}"/>
    <cellStyle name="20% - Accent1 19 3 2" xfId="21901" xr:uid="{00000000-0005-0000-0000-0000C9000000}"/>
    <cellStyle name="20% - Accent1 19 4" xfId="8615" xr:uid="{00000000-0005-0000-0000-0000CA000000}"/>
    <cellStyle name="20% - Accent1 19 4 2" xfId="19903" xr:uid="{00000000-0005-0000-0000-0000CB000000}"/>
    <cellStyle name="20% - Accent1 19 5" xfId="6625" xr:uid="{00000000-0005-0000-0000-0000CC000000}"/>
    <cellStyle name="20% - Accent1 19 5 2" xfId="17913" xr:uid="{00000000-0005-0000-0000-0000CD000000}"/>
    <cellStyle name="20% - Accent1 19 6" xfId="4631" xr:uid="{00000000-0005-0000-0000-0000CE000000}"/>
    <cellStyle name="20% - Accent1 19 6 2" xfId="15919" xr:uid="{00000000-0005-0000-0000-0000CF000000}"/>
    <cellStyle name="20% - Accent1 19 7" xfId="13925" xr:uid="{00000000-0005-0000-0000-0000D0000000}"/>
    <cellStyle name="20% - Accent1 19 8" xfId="12611" xr:uid="{00000000-0005-0000-0000-0000D1000000}"/>
    <cellStyle name="20% - Accent1 2" xfId="676" xr:uid="{00000000-0005-0000-0000-0000D2000000}"/>
    <cellStyle name="20% - Accent1 2 10" xfId="24559" xr:uid="{00000000-0005-0000-0000-0000D3000000}"/>
    <cellStyle name="20% - Accent1 2 11" xfId="24949" xr:uid="{00000000-0005-0000-0000-0000D4000000}"/>
    <cellStyle name="20% - Accent1 2 2" xfId="3632" xr:uid="{00000000-0005-0000-0000-0000D5000000}"/>
    <cellStyle name="20% - Accent1 2 2 2" xfId="11611" xr:uid="{00000000-0005-0000-0000-0000D6000000}"/>
    <cellStyle name="20% - Accent1 2 2 2 2" xfId="22899" xr:uid="{00000000-0005-0000-0000-0000D7000000}"/>
    <cellStyle name="20% - Accent1 2 2 3" xfId="9617" xr:uid="{00000000-0005-0000-0000-0000D8000000}"/>
    <cellStyle name="20% - Accent1 2 2 3 2" xfId="20905" xr:uid="{00000000-0005-0000-0000-0000D9000000}"/>
    <cellStyle name="20% - Accent1 2 2 4" xfId="7623" xr:uid="{00000000-0005-0000-0000-0000DA000000}"/>
    <cellStyle name="20% - Accent1 2 2 4 2" xfId="18911" xr:uid="{00000000-0005-0000-0000-0000DB000000}"/>
    <cellStyle name="20% - Accent1 2 2 5" xfId="5629" xr:uid="{00000000-0005-0000-0000-0000DC000000}"/>
    <cellStyle name="20% - Accent1 2 2 5 2" xfId="16917" xr:uid="{00000000-0005-0000-0000-0000DD000000}"/>
    <cellStyle name="20% - Accent1 2 2 6" xfId="14923" xr:uid="{00000000-0005-0000-0000-0000DE000000}"/>
    <cellStyle name="20% - Accent1 2 2 7" xfId="24320" xr:uid="{00000000-0005-0000-0000-0000DF000000}"/>
    <cellStyle name="20% - Accent1 2 2 8" xfId="24784" xr:uid="{00000000-0005-0000-0000-0000E0000000}"/>
    <cellStyle name="20% - Accent1 2 2 9" xfId="25151" xr:uid="{00000000-0005-0000-0000-0000E1000000}"/>
    <cellStyle name="20% - Accent1 2 3" xfId="10614" xr:uid="{00000000-0005-0000-0000-0000E2000000}"/>
    <cellStyle name="20% - Accent1 2 3 2" xfId="21902" xr:uid="{00000000-0005-0000-0000-0000E3000000}"/>
    <cellStyle name="20% - Accent1 2 4" xfId="8616" xr:uid="{00000000-0005-0000-0000-0000E4000000}"/>
    <cellStyle name="20% - Accent1 2 4 2" xfId="19904" xr:uid="{00000000-0005-0000-0000-0000E5000000}"/>
    <cellStyle name="20% - Accent1 2 5" xfId="6626" xr:uid="{00000000-0005-0000-0000-0000E6000000}"/>
    <cellStyle name="20% - Accent1 2 5 2" xfId="17914" xr:uid="{00000000-0005-0000-0000-0000E7000000}"/>
    <cellStyle name="20% - Accent1 2 6" xfId="4632" xr:uid="{00000000-0005-0000-0000-0000E8000000}"/>
    <cellStyle name="20% - Accent1 2 6 2" xfId="15920" xr:uid="{00000000-0005-0000-0000-0000E9000000}"/>
    <cellStyle name="20% - Accent1 2 7" xfId="13926" xr:uid="{00000000-0005-0000-0000-0000EA000000}"/>
    <cellStyle name="20% - Accent1 2 8" xfId="12612" xr:uid="{00000000-0005-0000-0000-0000EB000000}"/>
    <cellStyle name="20% - Accent1 2 9" xfId="23932" xr:uid="{00000000-0005-0000-0000-0000EC000000}"/>
    <cellStyle name="20% - Accent1 20" xfId="677" xr:uid="{00000000-0005-0000-0000-0000ED000000}"/>
    <cellStyle name="20% - Accent1 20 2" xfId="3633" xr:uid="{00000000-0005-0000-0000-0000EE000000}"/>
    <cellStyle name="20% - Accent1 20 2 2" xfId="11612" xr:uid="{00000000-0005-0000-0000-0000EF000000}"/>
    <cellStyle name="20% - Accent1 20 2 2 2" xfId="22900" xr:uid="{00000000-0005-0000-0000-0000F0000000}"/>
    <cellStyle name="20% - Accent1 20 2 3" xfId="9618" xr:uid="{00000000-0005-0000-0000-0000F1000000}"/>
    <cellStyle name="20% - Accent1 20 2 3 2" xfId="20906" xr:uid="{00000000-0005-0000-0000-0000F2000000}"/>
    <cellStyle name="20% - Accent1 20 2 4" xfId="7624" xr:uid="{00000000-0005-0000-0000-0000F3000000}"/>
    <cellStyle name="20% - Accent1 20 2 4 2" xfId="18912" xr:uid="{00000000-0005-0000-0000-0000F4000000}"/>
    <cellStyle name="20% - Accent1 20 2 5" xfId="5630" xr:uid="{00000000-0005-0000-0000-0000F5000000}"/>
    <cellStyle name="20% - Accent1 20 2 5 2" xfId="16918" xr:uid="{00000000-0005-0000-0000-0000F6000000}"/>
    <cellStyle name="20% - Accent1 20 2 6" xfId="14924" xr:uid="{00000000-0005-0000-0000-0000F7000000}"/>
    <cellStyle name="20% - Accent1 20 3" xfId="10615" xr:uid="{00000000-0005-0000-0000-0000F8000000}"/>
    <cellStyle name="20% - Accent1 20 3 2" xfId="21903" xr:uid="{00000000-0005-0000-0000-0000F9000000}"/>
    <cellStyle name="20% - Accent1 20 4" xfId="8621" xr:uid="{00000000-0005-0000-0000-0000FA000000}"/>
    <cellStyle name="20% - Accent1 20 4 2" xfId="19909" xr:uid="{00000000-0005-0000-0000-0000FB000000}"/>
    <cellStyle name="20% - Accent1 20 5" xfId="6627" xr:uid="{00000000-0005-0000-0000-0000FC000000}"/>
    <cellStyle name="20% - Accent1 20 5 2" xfId="17915" xr:uid="{00000000-0005-0000-0000-0000FD000000}"/>
    <cellStyle name="20% - Accent1 20 6" xfId="4633" xr:uid="{00000000-0005-0000-0000-0000FE000000}"/>
    <cellStyle name="20% - Accent1 20 6 2" xfId="15921" xr:uid="{00000000-0005-0000-0000-0000FF000000}"/>
    <cellStyle name="20% - Accent1 20 7" xfId="13927" xr:uid="{00000000-0005-0000-0000-000000010000}"/>
    <cellStyle name="20% - Accent1 20 8" xfId="12613" xr:uid="{00000000-0005-0000-0000-000001010000}"/>
    <cellStyle name="20% - Accent1 21" xfId="678" xr:uid="{00000000-0005-0000-0000-000002010000}"/>
    <cellStyle name="20% - Accent1 21 2" xfId="3634" xr:uid="{00000000-0005-0000-0000-000003010000}"/>
    <cellStyle name="20% - Accent1 21 2 2" xfId="11613" xr:uid="{00000000-0005-0000-0000-000004010000}"/>
    <cellStyle name="20% - Accent1 21 2 2 2" xfId="22901" xr:uid="{00000000-0005-0000-0000-000005010000}"/>
    <cellStyle name="20% - Accent1 21 2 3" xfId="9619" xr:uid="{00000000-0005-0000-0000-000006010000}"/>
    <cellStyle name="20% - Accent1 21 2 3 2" xfId="20907" xr:uid="{00000000-0005-0000-0000-000007010000}"/>
    <cellStyle name="20% - Accent1 21 2 4" xfId="7625" xr:uid="{00000000-0005-0000-0000-000008010000}"/>
    <cellStyle name="20% - Accent1 21 2 4 2" xfId="18913" xr:uid="{00000000-0005-0000-0000-000009010000}"/>
    <cellStyle name="20% - Accent1 21 2 5" xfId="5631" xr:uid="{00000000-0005-0000-0000-00000A010000}"/>
    <cellStyle name="20% - Accent1 21 2 5 2" xfId="16919" xr:uid="{00000000-0005-0000-0000-00000B010000}"/>
    <cellStyle name="20% - Accent1 21 2 6" xfId="14925" xr:uid="{00000000-0005-0000-0000-00000C010000}"/>
    <cellStyle name="20% - Accent1 21 3" xfId="10616" xr:uid="{00000000-0005-0000-0000-00000D010000}"/>
    <cellStyle name="20% - Accent1 21 3 2" xfId="21904" xr:uid="{00000000-0005-0000-0000-00000E010000}"/>
    <cellStyle name="20% - Accent1 21 4" xfId="8622" xr:uid="{00000000-0005-0000-0000-00000F010000}"/>
    <cellStyle name="20% - Accent1 21 4 2" xfId="19910" xr:uid="{00000000-0005-0000-0000-000010010000}"/>
    <cellStyle name="20% - Accent1 21 5" xfId="6628" xr:uid="{00000000-0005-0000-0000-000011010000}"/>
    <cellStyle name="20% - Accent1 21 5 2" xfId="17916" xr:uid="{00000000-0005-0000-0000-000012010000}"/>
    <cellStyle name="20% - Accent1 21 6" xfId="4634" xr:uid="{00000000-0005-0000-0000-000013010000}"/>
    <cellStyle name="20% - Accent1 21 6 2" xfId="15922" xr:uid="{00000000-0005-0000-0000-000014010000}"/>
    <cellStyle name="20% - Accent1 21 7" xfId="13928" xr:uid="{00000000-0005-0000-0000-000015010000}"/>
    <cellStyle name="20% - Accent1 21 8" xfId="12614" xr:uid="{00000000-0005-0000-0000-000016010000}"/>
    <cellStyle name="20% - Accent1 22" xfId="679" xr:uid="{00000000-0005-0000-0000-000017010000}"/>
    <cellStyle name="20% - Accent1 22 2" xfId="3635" xr:uid="{00000000-0005-0000-0000-000018010000}"/>
    <cellStyle name="20% - Accent1 22 2 2" xfId="11614" xr:uid="{00000000-0005-0000-0000-000019010000}"/>
    <cellStyle name="20% - Accent1 22 2 2 2" xfId="22902" xr:uid="{00000000-0005-0000-0000-00001A010000}"/>
    <cellStyle name="20% - Accent1 22 2 3" xfId="9620" xr:uid="{00000000-0005-0000-0000-00001B010000}"/>
    <cellStyle name="20% - Accent1 22 2 3 2" xfId="20908" xr:uid="{00000000-0005-0000-0000-00001C010000}"/>
    <cellStyle name="20% - Accent1 22 2 4" xfId="7626" xr:uid="{00000000-0005-0000-0000-00001D010000}"/>
    <cellStyle name="20% - Accent1 22 2 4 2" xfId="18914" xr:uid="{00000000-0005-0000-0000-00001E010000}"/>
    <cellStyle name="20% - Accent1 22 2 5" xfId="5632" xr:uid="{00000000-0005-0000-0000-00001F010000}"/>
    <cellStyle name="20% - Accent1 22 2 5 2" xfId="16920" xr:uid="{00000000-0005-0000-0000-000020010000}"/>
    <cellStyle name="20% - Accent1 22 2 6" xfId="14926" xr:uid="{00000000-0005-0000-0000-000021010000}"/>
    <cellStyle name="20% - Accent1 22 3" xfId="10617" xr:uid="{00000000-0005-0000-0000-000022010000}"/>
    <cellStyle name="20% - Accent1 22 3 2" xfId="21905" xr:uid="{00000000-0005-0000-0000-000023010000}"/>
    <cellStyle name="20% - Accent1 22 4" xfId="8623" xr:uid="{00000000-0005-0000-0000-000024010000}"/>
    <cellStyle name="20% - Accent1 22 4 2" xfId="19911" xr:uid="{00000000-0005-0000-0000-000025010000}"/>
    <cellStyle name="20% - Accent1 22 5" xfId="6629" xr:uid="{00000000-0005-0000-0000-000026010000}"/>
    <cellStyle name="20% - Accent1 22 5 2" xfId="17917" xr:uid="{00000000-0005-0000-0000-000027010000}"/>
    <cellStyle name="20% - Accent1 22 6" xfId="4635" xr:uid="{00000000-0005-0000-0000-000028010000}"/>
    <cellStyle name="20% - Accent1 22 6 2" xfId="15923" xr:uid="{00000000-0005-0000-0000-000029010000}"/>
    <cellStyle name="20% - Accent1 22 7" xfId="13929" xr:uid="{00000000-0005-0000-0000-00002A010000}"/>
    <cellStyle name="20% - Accent1 22 8" xfId="12615" xr:uid="{00000000-0005-0000-0000-00002B010000}"/>
    <cellStyle name="20% - Accent1 23" xfId="680" xr:uid="{00000000-0005-0000-0000-00002C010000}"/>
    <cellStyle name="20% - Accent1 23 2" xfId="3636" xr:uid="{00000000-0005-0000-0000-00002D010000}"/>
    <cellStyle name="20% - Accent1 23 2 2" xfId="11615" xr:uid="{00000000-0005-0000-0000-00002E010000}"/>
    <cellStyle name="20% - Accent1 23 2 2 2" xfId="22903" xr:uid="{00000000-0005-0000-0000-00002F010000}"/>
    <cellStyle name="20% - Accent1 23 2 3" xfId="9621" xr:uid="{00000000-0005-0000-0000-000030010000}"/>
    <cellStyle name="20% - Accent1 23 2 3 2" xfId="20909" xr:uid="{00000000-0005-0000-0000-000031010000}"/>
    <cellStyle name="20% - Accent1 23 2 4" xfId="7627" xr:uid="{00000000-0005-0000-0000-000032010000}"/>
    <cellStyle name="20% - Accent1 23 2 4 2" xfId="18915" xr:uid="{00000000-0005-0000-0000-000033010000}"/>
    <cellStyle name="20% - Accent1 23 2 5" xfId="5633" xr:uid="{00000000-0005-0000-0000-000034010000}"/>
    <cellStyle name="20% - Accent1 23 2 5 2" xfId="16921" xr:uid="{00000000-0005-0000-0000-000035010000}"/>
    <cellStyle name="20% - Accent1 23 2 6" xfId="14927" xr:uid="{00000000-0005-0000-0000-000036010000}"/>
    <cellStyle name="20% - Accent1 23 3" xfId="10618" xr:uid="{00000000-0005-0000-0000-000037010000}"/>
    <cellStyle name="20% - Accent1 23 3 2" xfId="21906" xr:uid="{00000000-0005-0000-0000-000038010000}"/>
    <cellStyle name="20% - Accent1 23 4" xfId="8624" xr:uid="{00000000-0005-0000-0000-000039010000}"/>
    <cellStyle name="20% - Accent1 23 4 2" xfId="19912" xr:uid="{00000000-0005-0000-0000-00003A010000}"/>
    <cellStyle name="20% - Accent1 23 5" xfId="6630" xr:uid="{00000000-0005-0000-0000-00003B010000}"/>
    <cellStyle name="20% - Accent1 23 5 2" xfId="17918" xr:uid="{00000000-0005-0000-0000-00003C010000}"/>
    <cellStyle name="20% - Accent1 23 6" xfId="4636" xr:uid="{00000000-0005-0000-0000-00003D010000}"/>
    <cellStyle name="20% - Accent1 23 6 2" xfId="15924" xr:uid="{00000000-0005-0000-0000-00003E010000}"/>
    <cellStyle name="20% - Accent1 23 7" xfId="13930" xr:uid="{00000000-0005-0000-0000-00003F010000}"/>
    <cellStyle name="20% - Accent1 23 8" xfId="12616" xr:uid="{00000000-0005-0000-0000-000040010000}"/>
    <cellStyle name="20% - Accent1 24" xfId="681" xr:uid="{00000000-0005-0000-0000-000041010000}"/>
    <cellStyle name="20% - Accent1 24 2" xfId="3637" xr:uid="{00000000-0005-0000-0000-000042010000}"/>
    <cellStyle name="20% - Accent1 24 2 2" xfId="11616" xr:uid="{00000000-0005-0000-0000-000043010000}"/>
    <cellStyle name="20% - Accent1 24 2 2 2" xfId="22904" xr:uid="{00000000-0005-0000-0000-000044010000}"/>
    <cellStyle name="20% - Accent1 24 2 3" xfId="9622" xr:uid="{00000000-0005-0000-0000-000045010000}"/>
    <cellStyle name="20% - Accent1 24 2 3 2" xfId="20910" xr:uid="{00000000-0005-0000-0000-000046010000}"/>
    <cellStyle name="20% - Accent1 24 2 4" xfId="7628" xr:uid="{00000000-0005-0000-0000-000047010000}"/>
    <cellStyle name="20% - Accent1 24 2 4 2" xfId="18916" xr:uid="{00000000-0005-0000-0000-000048010000}"/>
    <cellStyle name="20% - Accent1 24 2 5" xfId="5634" xr:uid="{00000000-0005-0000-0000-000049010000}"/>
    <cellStyle name="20% - Accent1 24 2 5 2" xfId="16922" xr:uid="{00000000-0005-0000-0000-00004A010000}"/>
    <cellStyle name="20% - Accent1 24 2 6" xfId="14928" xr:uid="{00000000-0005-0000-0000-00004B010000}"/>
    <cellStyle name="20% - Accent1 24 3" xfId="10619" xr:uid="{00000000-0005-0000-0000-00004C010000}"/>
    <cellStyle name="20% - Accent1 24 3 2" xfId="21907" xr:uid="{00000000-0005-0000-0000-00004D010000}"/>
    <cellStyle name="20% - Accent1 24 4" xfId="8625" xr:uid="{00000000-0005-0000-0000-00004E010000}"/>
    <cellStyle name="20% - Accent1 24 4 2" xfId="19913" xr:uid="{00000000-0005-0000-0000-00004F010000}"/>
    <cellStyle name="20% - Accent1 24 5" xfId="6631" xr:uid="{00000000-0005-0000-0000-000050010000}"/>
    <cellStyle name="20% - Accent1 24 5 2" xfId="17919" xr:uid="{00000000-0005-0000-0000-000051010000}"/>
    <cellStyle name="20% - Accent1 24 6" xfId="4637" xr:uid="{00000000-0005-0000-0000-000052010000}"/>
    <cellStyle name="20% - Accent1 24 6 2" xfId="15925" xr:uid="{00000000-0005-0000-0000-000053010000}"/>
    <cellStyle name="20% - Accent1 24 7" xfId="13931" xr:uid="{00000000-0005-0000-0000-000054010000}"/>
    <cellStyle name="20% - Accent1 24 8" xfId="12617" xr:uid="{00000000-0005-0000-0000-000055010000}"/>
    <cellStyle name="20% - Accent1 25" xfId="682" xr:uid="{00000000-0005-0000-0000-000056010000}"/>
    <cellStyle name="20% - Accent1 25 2" xfId="3638" xr:uid="{00000000-0005-0000-0000-000057010000}"/>
    <cellStyle name="20% - Accent1 25 2 2" xfId="11617" xr:uid="{00000000-0005-0000-0000-000058010000}"/>
    <cellStyle name="20% - Accent1 25 2 2 2" xfId="22905" xr:uid="{00000000-0005-0000-0000-000059010000}"/>
    <cellStyle name="20% - Accent1 25 2 3" xfId="9623" xr:uid="{00000000-0005-0000-0000-00005A010000}"/>
    <cellStyle name="20% - Accent1 25 2 3 2" xfId="20911" xr:uid="{00000000-0005-0000-0000-00005B010000}"/>
    <cellStyle name="20% - Accent1 25 2 4" xfId="7629" xr:uid="{00000000-0005-0000-0000-00005C010000}"/>
    <cellStyle name="20% - Accent1 25 2 4 2" xfId="18917" xr:uid="{00000000-0005-0000-0000-00005D010000}"/>
    <cellStyle name="20% - Accent1 25 2 5" xfId="5635" xr:uid="{00000000-0005-0000-0000-00005E010000}"/>
    <cellStyle name="20% - Accent1 25 2 5 2" xfId="16923" xr:uid="{00000000-0005-0000-0000-00005F010000}"/>
    <cellStyle name="20% - Accent1 25 2 6" xfId="14929" xr:uid="{00000000-0005-0000-0000-000060010000}"/>
    <cellStyle name="20% - Accent1 25 3" xfId="10620" xr:uid="{00000000-0005-0000-0000-000061010000}"/>
    <cellStyle name="20% - Accent1 25 3 2" xfId="21908" xr:uid="{00000000-0005-0000-0000-000062010000}"/>
    <cellStyle name="20% - Accent1 25 4" xfId="8626" xr:uid="{00000000-0005-0000-0000-000063010000}"/>
    <cellStyle name="20% - Accent1 25 4 2" xfId="19914" xr:uid="{00000000-0005-0000-0000-000064010000}"/>
    <cellStyle name="20% - Accent1 25 5" xfId="6632" xr:uid="{00000000-0005-0000-0000-000065010000}"/>
    <cellStyle name="20% - Accent1 25 5 2" xfId="17920" xr:uid="{00000000-0005-0000-0000-000066010000}"/>
    <cellStyle name="20% - Accent1 25 6" xfId="4638" xr:uid="{00000000-0005-0000-0000-000067010000}"/>
    <cellStyle name="20% - Accent1 25 6 2" xfId="15926" xr:uid="{00000000-0005-0000-0000-000068010000}"/>
    <cellStyle name="20% - Accent1 25 7" xfId="13932" xr:uid="{00000000-0005-0000-0000-000069010000}"/>
    <cellStyle name="20% - Accent1 25 8" xfId="12618" xr:uid="{00000000-0005-0000-0000-00006A010000}"/>
    <cellStyle name="20% - Accent1 26" xfId="683" xr:uid="{00000000-0005-0000-0000-00006B010000}"/>
    <cellStyle name="20% - Accent1 26 2" xfId="3639" xr:uid="{00000000-0005-0000-0000-00006C010000}"/>
    <cellStyle name="20% - Accent1 26 2 2" xfId="11618" xr:uid="{00000000-0005-0000-0000-00006D010000}"/>
    <cellStyle name="20% - Accent1 26 2 2 2" xfId="22906" xr:uid="{00000000-0005-0000-0000-00006E010000}"/>
    <cellStyle name="20% - Accent1 26 2 3" xfId="9624" xr:uid="{00000000-0005-0000-0000-00006F010000}"/>
    <cellStyle name="20% - Accent1 26 2 3 2" xfId="20912" xr:uid="{00000000-0005-0000-0000-000070010000}"/>
    <cellStyle name="20% - Accent1 26 2 4" xfId="7630" xr:uid="{00000000-0005-0000-0000-000071010000}"/>
    <cellStyle name="20% - Accent1 26 2 4 2" xfId="18918" xr:uid="{00000000-0005-0000-0000-000072010000}"/>
    <cellStyle name="20% - Accent1 26 2 5" xfId="5636" xr:uid="{00000000-0005-0000-0000-000073010000}"/>
    <cellStyle name="20% - Accent1 26 2 5 2" xfId="16924" xr:uid="{00000000-0005-0000-0000-000074010000}"/>
    <cellStyle name="20% - Accent1 26 2 6" xfId="14930" xr:uid="{00000000-0005-0000-0000-000075010000}"/>
    <cellStyle name="20% - Accent1 26 3" xfId="10621" xr:uid="{00000000-0005-0000-0000-000076010000}"/>
    <cellStyle name="20% - Accent1 26 3 2" xfId="21909" xr:uid="{00000000-0005-0000-0000-000077010000}"/>
    <cellStyle name="20% - Accent1 26 4" xfId="8627" xr:uid="{00000000-0005-0000-0000-000078010000}"/>
    <cellStyle name="20% - Accent1 26 4 2" xfId="19915" xr:uid="{00000000-0005-0000-0000-000079010000}"/>
    <cellStyle name="20% - Accent1 26 5" xfId="6633" xr:uid="{00000000-0005-0000-0000-00007A010000}"/>
    <cellStyle name="20% - Accent1 26 5 2" xfId="17921" xr:uid="{00000000-0005-0000-0000-00007B010000}"/>
    <cellStyle name="20% - Accent1 26 6" xfId="4639" xr:uid="{00000000-0005-0000-0000-00007C010000}"/>
    <cellStyle name="20% - Accent1 26 6 2" xfId="15927" xr:uid="{00000000-0005-0000-0000-00007D010000}"/>
    <cellStyle name="20% - Accent1 26 7" xfId="13933" xr:uid="{00000000-0005-0000-0000-00007E010000}"/>
    <cellStyle name="20% - Accent1 26 8" xfId="12619" xr:uid="{00000000-0005-0000-0000-00007F010000}"/>
    <cellStyle name="20% - Accent1 27" xfId="684" xr:uid="{00000000-0005-0000-0000-000080010000}"/>
    <cellStyle name="20% - Accent1 27 2" xfId="3640" xr:uid="{00000000-0005-0000-0000-000081010000}"/>
    <cellStyle name="20% - Accent1 27 2 2" xfId="11619" xr:uid="{00000000-0005-0000-0000-000082010000}"/>
    <cellStyle name="20% - Accent1 27 2 2 2" xfId="22907" xr:uid="{00000000-0005-0000-0000-000083010000}"/>
    <cellStyle name="20% - Accent1 27 2 3" xfId="9625" xr:uid="{00000000-0005-0000-0000-000084010000}"/>
    <cellStyle name="20% - Accent1 27 2 3 2" xfId="20913" xr:uid="{00000000-0005-0000-0000-000085010000}"/>
    <cellStyle name="20% - Accent1 27 2 4" xfId="7631" xr:uid="{00000000-0005-0000-0000-000086010000}"/>
    <cellStyle name="20% - Accent1 27 2 4 2" xfId="18919" xr:uid="{00000000-0005-0000-0000-000087010000}"/>
    <cellStyle name="20% - Accent1 27 2 5" xfId="5637" xr:uid="{00000000-0005-0000-0000-000088010000}"/>
    <cellStyle name="20% - Accent1 27 2 5 2" xfId="16925" xr:uid="{00000000-0005-0000-0000-000089010000}"/>
    <cellStyle name="20% - Accent1 27 2 6" xfId="14931" xr:uid="{00000000-0005-0000-0000-00008A010000}"/>
    <cellStyle name="20% - Accent1 27 3" xfId="10622" xr:uid="{00000000-0005-0000-0000-00008B010000}"/>
    <cellStyle name="20% - Accent1 27 3 2" xfId="21910" xr:uid="{00000000-0005-0000-0000-00008C010000}"/>
    <cellStyle name="20% - Accent1 27 4" xfId="8628" xr:uid="{00000000-0005-0000-0000-00008D010000}"/>
    <cellStyle name="20% - Accent1 27 4 2" xfId="19916" xr:uid="{00000000-0005-0000-0000-00008E010000}"/>
    <cellStyle name="20% - Accent1 27 5" xfId="6634" xr:uid="{00000000-0005-0000-0000-00008F010000}"/>
    <cellStyle name="20% - Accent1 27 5 2" xfId="17922" xr:uid="{00000000-0005-0000-0000-000090010000}"/>
    <cellStyle name="20% - Accent1 27 6" xfId="4640" xr:uid="{00000000-0005-0000-0000-000091010000}"/>
    <cellStyle name="20% - Accent1 27 6 2" xfId="15928" xr:uid="{00000000-0005-0000-0000-000092010000}"/>
    <cellStyle name="20% - Accent1 27 7" xfId="13934" xr:uid="{00000000-0005-0000-0000-000093010000}"/>
    <cellStyle name="20% - Accent1 27 8" xfId="12620" xr:uid="{00000000-0005-0000-0000-000094010000}"/>
    <cellStyle name="20% - Accent1 28" xfId="685" xr:uid="{00000000-0005-0000-0000-000095010000}"/>
    <cellStyle name="20% - Accent1 28 2" xfId="3641" xr:uid="{00000000-0005-0000-0000-000096010000}"/>
    <cellStyle name="20% - Accent1 28 2 2" xfId="11620" xr:uid="{00000000-0005-0000-0000-000097010000}"/>
    <cellStyle name="20% - Accent1 28 2 2 2" xfId="22908" xr:uid="{00000000-0005-0000-0000-000098010000}"/>
    <cellStyle name="20% - Accent1 28 2 3" xfId="9626" xr:uid="{00000000-0005-0000-0000-000099010000}"/>
    <cellStyle name="20% - Accent1 28 2 3 2" xfId="20914" xr:uid="{00000000-0005-0000-0000-00009A010000}"/>
    <cellStyle name="20% - Accent1 28 2 4" xfId="7632" xr:uid="{00000000-0005-0000-0000-00009B010000}"/>
    <cellStyle name="20% - Accent1 28 2 4 2" xfId="18920" xr:uid="{00000000-0005-0000-0000-00009C010000}"/>
    <cellStyle name="20% - Accent1 28 2 5" xfId="5638" xr:uid="{00000000-0005-0000-0000-00009D010000}"/>
    <cellStyle name="20% - Accent1 28 2 5 2" xfId="16926" xr:uid="{00000000-0005-0000-0000-00009E010000}"/>
    <cellStyle name="20% - Accent1 28 2 6" xfId="14932" xr:uid="{00000000-0005-0000-0000-00009F010000}"/>
    <cellStyle name="20% - Accent1 28 3" xfId="10623" xr:uid="{00000000-0005-0000-0000-0000A0010000}"/>
    <cellStyle name="20% - Accent1 28 3 2" xfId="21911" xr:uid="{00000000-0005-0000-0000-0000A1010000}"/>
    <cellStyle name="20% - Accent1 28 4" xfId="8629" xr:uid="{00000000-0005-0000-0000-0000A2010000}"/>
    <cellStyle name="20% - Accent1 28 4 2" xfId="19917" xr:uid="{00000000-0005-0000-0000-0000A3010000}"/>
    <cellStyle name="20% - Accent1 28 5" xfId="6635" xr:uid="{00000000-0005-0000-0000-0000A4010000}"/>
    <cellStyle name="20% - Accent1 28 5 2" xfId="17923" xr:uid="{00000000-0005-0000-0000-0000A5010000}"/>
    <cellStyle name="20% - Accent1 28 6" xfId="4641" xr:uid="{00000000-0005-0000-0000-0000A6010000}"/>
    <cellStyle name="20% - Accent1 28 6 2" xfId="15929" xr:uid="{00000000-0005-0000-0000-0000A7010000}"/>
    <cellStyle name="20% - Accent1 28 7" xfId="13935" xr:uid="{00000000-0005-0000-0000-0000A8010000}"/>
    <cellStyle name="20% - Accent1 28 8" xfId="12621" xr:uid="{00000000-0005-0000-0000-0000A9010000}"/>
    <cellStyle name="20% - Accent1 29" xfId="686" xr:uid="{00000000-0005-0000-0000-0000AA010000}"/>
    <cellStyle name="20% - Accent1 29 2" xfId="3642" xr:uid="{00000000-0005-0000-0000-0000AB010000}"/>
    <cellStyle name="20% - Accent1 29 2 2" xfId="11621" xr:uid="{00000000-0005-0000-0000-0000AC010000}"/>
    <cellStyle name="20% - Accent1 29 2 2 2" xfId="22909" xr:uid="{00000000-0005-0000-0000-0000AD010000}"/>
    <cellStyle name="20% - Accent1 29 2 3" xfId="9627" xr:uid="{00000000-0005-0000-0000-0000AE010000}"/>
    <cellStyle name="20% - Accent1 29 2 3 2" xfId="20915" xr:uid="{00000000-0005-0000-0000-0000AF010000}"/>
    <cellStyle name="20% - Accent1 29 2 4" xfId="7633" xr:uid="{00000000-0005-0000-0000-0000B0010000}"/>
    <cellStyle name="20% - Accent1 29 2 4 2" xfId="18921" xr:uid="{00000000-0005-0000-0000-0000B1010000}"/>
    <cellStyle name="20% - Accent1 29 2 5" xfId="5639" xr:uid="{00000000-0005-0000-0000-0000B2010000}"/>
    <cellStyle name="20% - Accent1 29 2 5 2" xfId="16927" xr:uid="{00000000-0005-0000-0000-0000B3010000}"/>
    <cellStyle name="20% - Accent1 29 2 6" xfId="14933" xr:uid="{00000000-0005-0000-0000-0000B4010000}"/>
    <cellStyle name="20% - Accent1 29 3" xfId="10624" xr:uid="{00000000-0005-0000-0000-0000B5010000}"/>
    <cellStyle name="20% - Accent1 29 3 2" xfId="21912" xr:uid="{00000000-0005-0000-0000-0000B6010000}"/>
    <cellStyle name="20% - Accent1 29 4" xfId="8630" xr:uid="{00000000-0005-0000-0000-0000B7010000}"/>
    <cellStyle name="20% - Accent1 29 4 2" xfId="19918" xr:uid="{00000000-0005-0000-0000-0000B8010000}"/>
    <cellStyle name="20% - Accent1 29 5" xfId="6636" xr:uid="{00000000-0005-0000-0000-0000B9010000}"/>
    <cellStyle name="20% - Accent1 29 5 2" xfId="17924" xr:uid="{00000000-0005-0000-0000-0000BA010000}"/>
    <cellStyle name="20% - Accent1 29 6" xfId="4642" xr:uid="{00000000-0005-0000-0000-0000BB010000}"/>
    <cellStyle name="20% - Accent1 29 6 2" xfId="15930" xr:uid="{00000000-0005-0000-0000-0000BC010000}"/>
    <cellStyle name="20% - Accent1 29 7" xfId="13936" xr:uid="{00000000-0005-0000-0000-0000BD010000}"/>
    <cellStyle name="20% - Accent1 29 8" xfId="12622" xr:uid="{00000000-0005-0000-0000-0000BE010000}"/>
    <cellStyle name="20% - Accent1 3" xfId="687" xr:uid="{00000000-0005-0000-0000-0000BF010000}"/>
    <cellStyle name="20% - Accent1 3 10" xfId="24560" xr:uid="{00000000-0005-0000-0000-0000C0010000}"/>
    <cellStyle name="20% - Accent1 3 11" xfId="24950" xr:uid="{00000000-0005-0000-0000-0000C1010000}"/>
    <cellStyle name="20% - Accent1 3 2" xfId="3643" xr:uid="{00000000-0005-0000-0000-0000C2010000}"/>
    <cellStyle name="20% - Accent1 3 2 2" xfId="11622" xr:uid="{00000000-0005-0000-0000-0000C3010000}"/>
    <cellStyle name="20% - Accent1 3 2 2 2" xfId="22910" xr:uid="{00000000-0005-0000-0000-0000C4010000}"/>
    <cellStyle name="20% - Accent1 3 2 3" xfId="9628" xr:uid="{00000000-0005-0000-0000-0000C5010000}"/>
    <cellStyle name="20% - Accent1 3 2 3 2" xfId="20916" xr:uid="{00000000-0005-0000-0000-0000C6010000}"/>
    <cellStyle name="20% - Accent1 3 2 4" xfId="7634" xr:uid="{00000000-0005-0000-0000-0000C7010000}"/>
    <cellStyle name="20% - Accent1 3 2 4 2" xfId="18922" xr:uid="{00000000-0005-0000-0000-0000C8010000}"/>
    <cellStyle name="20% - Accent1 3 2 5" xfId="5640" xr:uid="{00000000-0005-0000-0000-0000C9010000}"/>
    <cellStyle name="20% - Accent1 3 2 5 2" xfId="16928" xr:uid="{00000000-0005-0000-0000-0000CA010000}"/>
    <cellStyle name="20% - Accent1 3 2 6" xfId="14934" xr:uid="{00000000-0005-0000-0000-0000CB010000}"/>
    <cellStyle name="20% - Accent1 3 2 7" xfId="24321" xr:uid="{00000000-0005-0000-0000-0000CC010000}"/>
    <cellStyle name="20% - Accent1 3 2 8" xfId="24785" xr:uid="{00000000-0005-0000-0000-0000CD010000}"/>
    <cellStyle name="20% - Accent1 3 2 9" xfId="25152" xr:uid="{00000000-0005-0000-0000-0000CE010000}"/>
    <cellStyle name="20% - Accent1 3 3" xfId="10625" xr:uid="{00000000-0005-0000-0000-0000CF010000}"/>
    <cellStyle name="20% - Accent1 3 3 2" xfId="21913" xr:uid="{00000000-0005-0000-0000-0000D0010000}"/>
    <cellStyle name="20% - Accent1 3 4" xfId="8631" xr:uid="{00000000-0005-0000-0000-0000D1010000}"/>
    <cellStyle name="20% - Accent1 3 4 2" xfId="19919" xr:uid="{00000000-0005-0000-0000-0000D2010000}"/>
    <cellStyle name="20% - Accent1 3 5" xfId="6637" xr:uid="{00000000-0005-0000-0000-0000D3010000}"/>
    <cellStyle name="20% - Accent1 3 5 2" xfId="17925" xr:uid="{00000000-0005-0000-0000-0000D4010000}"/>
    <cellStyle name="20% - Accent1 3 6" xfId="4643" xr:uid="{00000000-0005-0000-0000-0000D5010000}"/>
    <cellStyle name="20% - Accent1 3 6 2" xfId="15931" xr:uid="{00000000-0005-0000-0000-0000D6010000}"/>
    <cellStyle name="20% - Accent1 3 7" xfId="13937" xr:uid="{00000000-0005-0000-0000-0000D7010000}"/>
    <cellStyle name="20% - Accent1 3 8" xfId="12623" xr:uid="{00000000-0005-0000-0000-0000D8010000}"/>
    <cellStyle name="20% - Accent1 3 9" xfId="23933" xr:uid="{00000000-0005-0000-0000-0000D9010000}"/>
    <cellStyle name="20% - Accent1 30" xfId="688" xr:uid="{00000000-0005-0000-0000-0000DA010000}"/>
    <cellStyle name="20% - Accent1 30 2" xfId="3644" xr:uid="{00000000-0005-0000-0000-0000DB010000}"/>
    <cellStyle name="20% - Accent1 30 2 2" xfId="11623" xr:uid="{00000000-0005-0000-0000-0000DC010000}"/>
    <cellStyle name="20% - Accent1 30 2 2 2" xfId="22911" xr:uid="{00000000-0005-0000-0000-0000DD010000}"/>
    <cellStyle name="20% - Accent1 30 2 3" xfId="9629" xr:uid="{00000000-0005-0000-0000-0000DE010000}"/>
    <cellStyle name="20% - Accent1 30 2 3 2" xfId="20917" xr:uid="{00000000-0005-0000-0000-0000DF010000}"/>
    <cellStyle name="20% - Accent1 30 2 4" xfId="7635" xr:uid="{00000000-0005-0000-0000-0000E0010000}"/>
    <cellStyle name="20% - Accent1 30 2 4 2" xfId="18923" xr:uid="{00000000-0005-0000-0000-0000E1010000}"/>
    <cellStyle name="20% - Accent1 30 2 5" xfId="5641" xr:uid="{00000000-0005-0000-0000-0000E2010000}"/>
    <cellStyle name="20% - Accent1 30 2 5 2" xfId="16929" xr:uid="{00000000-0005-0000-0000-0000E3010000}"/>
    <cellStyle name="20% - Accent1 30 2 6" xfId="14935" xr:uid="{00000000-0005-0000-0000-0000E4010000}"/>
    <cellStyle name="20% - Accent1 30 3" xfId="10626" xr:uid="{00000000-0005-0000-0000-0000E5010000}"/>
    <cellStyle name="20% - Accent1 30 3 2" xfId="21914" xr:uid="{00000000-0005-0000-0000-0000E6010000}"/>
    <cellStyle name="20% - Accent1 30 4" xfId="8632" xr:uid="{00000000-0005-0000-0000-0000E7010000}"/>
    <cellStyle name="20% - Accent1 30 4 2" xfId="19920" xr:uid="{00000000-0005-0000-0000-0000E8010000}"/>
    <cellStyle name="20% - Accent1 30 5" xfId="6638" xr:uid="{00000000-0005-0000-0000-0000E9010000}"/>
    <cellStyle name="20% - Accent1 30 5 2" xfId="17926" xr:uid="{00000000-0005-0000-0000-0000EA010000}"/>
    <cellStyle name="20% - Accent1 30 6" xfId="4644" xr:uid="{00000000-0005-0000-0000-0000EB010000}"/>
    <cellStyle name="20% - Accent1 30 6 2" xfId="15932" xr:uid="{00000000-0005-0000-0000-0000EC010000}"/>
    <cellStyle name="20% - Accent1 30 7" xfId="13938" xr:uid="{00000000-0005-0000-0000-0000ED010000}"/>
    <cellStyle name="20% - Accent1 30 8" xfId="12624" xr:uid="{00000000-0005-0000-0000-0000EE010000}"/>
    <cellStyle name="20% - Accent1 31" xfId="689" xr:uid="{00000000-0005-0000-0000-0000EF010000}"/>
    <cellStyle name="20% - Accent1 31 2" xfId="3645" xr:uid="{00000000-0005-0000-0000-0000F0010000}"/>
    <cellStyle name="20% - Accent1 31 2 2" xfId="11624" xr:uid="{00000000-0005-0000-0000-0000F1010000}"/>
    <cellStyle name="20% - Accent1 31 2 2 2" xfId="22912" xr:uid="{00000000-0005-0000-0000-0000F2010000}"/>
    <cellStyle name="20% - Accent1 31 2 3" xfId="9630" xr:uid="{00000000-0005-0000-0000-0000F3010000}"/>
    <cellStyle name="20% - Accent1 31 2 3 2" xfId="20918" xr:uid="{00000000-0005-0000-0000-0000F4010000}"/>
    <cellStyle name="20% - Accent1 31 2 4" xfId="7636" xr:uid="{00000000-0005-0000-0000-0000F5010000}"/>
    <cellStyle name="20% - Accent1 31 2 4 2" xfId="18924" xr:uid="{00000000-0005-0000-0000-0000F6010000}"/>
    <cellStyle name="20% - Accent1 31 2 5" xfId="5642" xr:uid="{00000000-0005-0000-0000-0000F7010000}"/>
    <cellStyle name="20% - Accent1 31 2 5 2" xfId="16930" xr:uid="{00000000-0005-0000-0000-0000F8010000}"/>
    <cellStyle name="20% - Accent1 31 2 6" xfId="14936" xr:uid="{00000000-0005-0000-0000-0000F9010000}"/>
    <cellStyle name="20% - Accent1 31 3" xfId="10627" xr:uid="{00000000-0005-0000-0000-0000FA010000}"/>
    <cellStyle name="20% - Accent1 31 3 2" xfId="21915" xr:uid="{00000000-0005-0000-0000-0000FB010000}"/>
    <cellStyle name="20% - Accent1 31 4" xfId="8633" xr:uid="{00000000-0005-0000-0000-0000FC010000}"/>
    <cellStyle name="20% - Accent1 31 4 2" xfId="19921" xr:uid="{00000000-0005-0000-0000-0000FD010000}"/>
    <cellStyle name="20% - Accent1 31 5" xfId="6639" xr:uid="{00000000-0005-0000-0000-0000FE010000}"/>
    <cellStyle name="20% - Accent1 31 5 2" xfId="17927" xr:uid="{00000000-0005-0000-0000-0000FF010000}"/>
    <cellStyle name="20% - Accent1 31 6" xfId="4645" xr:uid="{00000000-0005-0000-0000-000000020000}"/>
    <cellStyle name="20% - Accent1 31 6 2" xfId="15933" xr:uid="{00000000-0005-0000-0000-000001020000}"/>
    <cellStyle name="20% - Accent1 31 7" xfId="13939" xr:uid="{00000000-0005-0000-0000-000002020000}"/>
    <cellStyle name="20% - Accent1 31 8" xfId="12625" xr:uid="{00000000-0005-0000-0000-000003020000}"/>
    <cellStyle name="20% - Accent1 32" xfId="690" xr:uid="{00000000-0005-0000-0000-000004020000}"/>
    <cellStyle name="20% - Accent1 32 2" xfId="3646" xr:uid="{00000000-0005-0000-0000-000005020000}"/>
    <cellStyle name="20% - Accent1 32 2 2" xfId="11625" xr:uid="{00000000-0005-0000-0000-000006020000}"/>
    <cellStyle name="20% - Accent1 32 2 2 2" xfId="22913" xr:uid="{00000000-0005-0000-0000-000007020000}"/>
    <cellStyle name="20% - Accent1 32 2 3" xfId="9631" xr:uid="{00000000-0005-0000-0000-000008020000}"/>
    <cellStyle name="20% - Accent1 32 2 3 2" xfId="20919" xr:uid="{00000000-0005-0000-0000-000009020000}"/>
    <cellStyle name="20% - Accent1 32 2 4" xfId="7637" xr:uid="{00000000-0005-0000-0000-00000A020000}"/>
    <cellStyle name="20% - Accent1 32 2 4 2" xfId="18925" xr:uid="{00000000-0005-0000-0000-00000B020000}"/>
    <cellStyle name="20% - Accent1 32 2 5" xfId="5643" xr:uid="{00000000-0005-0000-0000-00000C020000}"/>
    <cellStyle name="20% - Accent1 32 2 5 2" xfId="16931" xr:uid="{00000000-0005-0000-0000-00000D020000}"/>
    <cellStyle name="20% - Accent1 32 2 6" xfId="14937" xr:uid="{00000000-0005-0000-0000-00000E020000}"/>
    <cellStyle name="20% - Accent1 32 3" xfId="10628" xr:uid="{00000000-0005-0000-0000-00000F020000}"/>
    <cellStyle name="20% - Accent1 32 3 2" xfId="21916" xr:uid="{00000000-0005-0000-0000-000010020000}"/>
    <cellStyle name="20% - Accent1 32 4" xfId="8634" xr:uid="{00000000-0005-0000-0000-000011020000}"/>
    <cellStyle name="20% - Accent1 32 4 2" xfId="19922" xr:uid="{00000000-0005-0000-0000-000012020000}"/>
    <cellStyle name="20% - Accent1 32 5" xfId="6640" xr:uid="{00000000-0005-0000-0000-000013020000}"/>
    <cellStyle name="20% - Accent1 32 5 2" xfId="17928" xr:uid="{00000000-0005-0000-0000-000014020000}"/>
    <cellStyle name="20% - Accent1 32 6" xfId="4646" xr:uid="{00000000-0005-0000-0000-000015020000}"/>
    <cellStyle name="20% - Accent1 32 6 2" xfId="15934" xr:uid="{00000000-0005-0000-0000-000016020000}"/>
    <cellStyle name="20% - Accent1 32 7" xfId="13940" xr:uid="{00000000-0005-0000-0000-000017020000}"/>
    <cellStyle name="20% - Accent1 32 8" xfId="12626" xr:uid="{00000000-0005-0000-0000-000018020000}"/>
    <cellStyle name="20% - Accent1 33" xfId="691" xr:uid="{00000000-0005-0000-0000-000019020000}"/>
    <cellStyle name="20% - Accent1 33 2" xfId="3647" xr:uid="{00000000-0005-0000-0000-00001A020000}"/>
    <cellStyle name="20% - Accent1 33 2 2" xfId="11626" xr:uid="{00000000-0005-0000-0000-00001B020000}"/>
    <cellStyle name="20% - Accent1 33 2 2 2" xfId="22914" xr:uid="{00000000-0005-0000-0000-00001C020000}"/>
    <cellStyle name="20% - Accent1 33 2 3" xfId="9632" xr:uid="{00000000-0005-0000-0000-00001D020000}"/>
    <cellStyle name="20% - Accent1 33 2 3 2" xfId="20920" xr:uid="{00000000-0005-0000-0000-00001E020000}"/>
    <cellStyle name="20% - Accent1 33 2 4" xfId="7638" xr:uid="{00000000-0005-0000-0000-00001F020000}"/>
    <cellStyle name="20% - Accent1 33 2 4 2" xfId="18926" xr:uid="{00000000-0005-0000-0000-000020020000}"/>
    <cellStyle name="20% - Accent1 33 2 5" xfId="5644" xr:uid="{00000000-0005-0000-0000-000021020000}"/>
    <cellStyle name="20% - Accent1 33 2 5 2" xfId="16932" xr:uid="{00000000-0005-0000-0000-000022020000}"/>
    <cellStyle name="20% - Accent1 33 2 6" xfId="14938" xr:uid="{00000000-0005-0000-0000-000023020000}"/>
    <cellStyle name="20% - Accent1 33 3" xfId="10629" xr:uid="{00000000-0005-0000-0000-000024020000}"/>
    <cellStyle name="20% - Accent1 33 3 2" xfId="21917" xr:uid="{00000000-0005-0000-0000-000025020000}"/>
    <cellStyle name="20% - Accent1 33 4" xfId="8635" xr:uid="{00000000-0005-0000-0000-000026020000}"/>
    <cellStyle name="20% - Accent1 33 4 2" xfId="19923" xr:uid="{00000000-0005-0000-0000-000027020000}"/>
    <cellStyle name="20% - Accent1 33 5" xfId="6641" xr:uid="{00000000-0005-0000-0000-000028020000}"/>
    <cellStyle name="20% - Accent1 33 5 2" xfId="17929" xr:uid="{00000000-0005-0000-0000-000029020000}"/>
    <cellStyle name="20% - Accent1 33 6" xfId="4647" xr:uid="{00000000-0005-0000-0000-00002A020000}"/>
    <cellStyle name="20% - Accent1 33 6 2" xfId="15935" xr:uid="{00000000-0005-0000-0000-00002B020000}"/>
    <cellStyle name="20% - Accent1 33 7" xfId="13941" xr:uid="{00000000-0005-0000-0000-00002C020000}"/>
    <cellStyle name="20% - Accent1 33 8" xfId="12627" xr:uid="{00000000-0005-0000-0000-00002D020000}"/>
    <cellStyle name="20% - Accent1 34" xfId="692" xr:uid="{00000000-0005-0000-0000-00002E020000}"/>
    <cellStyle name="20% - Accent1 34 2" xfId="3648" xr:uid="{00000000-0005-0000-0000-00002F020000}"/>
    <cellStyle name="20% - Accent1 34 2 2" xfId="11627" xr:uid="{00000000-0005-0000-0000-000030020000}"/>
    <cellStyle name="20% - Accent1 34 2 2 2" xfId="22915" xr:uid="{00000000-0005-0000-0000-000031020000}"/>
    <cellStyle name="20% - Accent1 34 2 3" xfId="9633" xr:uid="{00000000-0005-0000-0000-000032020000}"/>
    <cellStyle name="20% - Accent1 34 2 3 2" xfId="20921" xr:uid="{00000000-0005-0000-0000-000033020000}"/>
    <cellStyle name="20% - Accent1 34 2 4" xfId="7639" xr:uid="{00000000-0005-0000-0000-000034020000}"/>
    <cellStyle name="20% - Accent1 34 2 4 2" xfId="18927" xr:uid="{00000000-0005-0000-0000-000035020000}"/>
    <cellStyle name="20% - Accent1 34 2 5" xfId="5645" xr:uid="{00000000-0005-0000-0000-000036020000}"/>
    <cellStyle name="20% - Accent1 34 2 5 2" xfId="16933" xr:uid="{00000000-0005-0000-0000-000037020000}"/>
    <cellStyle name="20% - Accent1 34 2 6" xfId="14939" xr:uid="{00000000-0005-0000-0000-000038020000}"/>
    <cellStyle name="20% - Accent1 34 3" xfId="10630" xr:uid="{00000000-0005-0000-0000-000039020000}"/>
    <cellStyle name="20% - Accent1 34 3 2" xfId="21918" xr:uid="{00000000-0005-0000-0000-00003A020000}"/>
    <cellStyle name="20% - Accent1 34 4" xfId="8636" xr:uid="{00000000-0005-0000-0000-00003B020000}"/>
    <cellStyle name="20% - Accent1 34 4 2" xfId="19924" xr:uid="{00000000-0005-0000-0000-00003C020000}"/>
    <cellStyle name="20% - Accent1 34 5" xfId="6642" xr:uid="{00000000-0005-0000-0000-00003D020000}"/>
    <cellStyle name="20% - Accent1 34 5 2" xfId="17930" xr:uid="{00000000-0005-0000-0000-00003E020000}"/>
    <cellStyle name="20% - Accent1 34 6" xfId="4648" xr:uid="{00000000-0005-0000-0000-00003F020000}"/>
    <cellStyle name="20% - Accent1 34 6 2" xfId="15936" xr:uid="{00000000-0005-0000-0000-000040020000}"/>
    <cellStyle name="20% - Accent1 34 7" xfId="13942" xr:uid="{00000000-0005-0000-0000-000041020000}"/>
    <cellStyle name="20% - Accent1 34 8" xfId="12628" xr:uid="{00000000-0005-0000-0000-000042020000}"/>
    <cellStyle name="20% - Accent1 35" xfId="693" xr:uid="{00000000-0005-0000-0000-000043020000}"/>
    <cellStyle name="20% - Accent1 35 2" xfId="3649" xr:uid="{00000000-0005-0000-0000-000044020000}"/>
    <cellStyle name="20% - Accent1 35 2 2" xfId="11628" xr:uid="{00000000-0005-0000-0000-000045020000}"/>
    <cellStyle name="20% - Accent1 35 2 2 2" xfId="22916" xr:uid="{00000000-0005-0000-0000-000046020000}"/>
    <cellStyle name="20% - Accent1 35 2 3" xfId="9634" xr:uid="{00000000-0005-0000-0000-000047020000}"/>
    <cellStyle name="20% - Accent1 35 2 3 2" xfId="20922" xr:uid="{00000000-0005-0000-0000-000048020000}"/>
    <cellStyle name="20% - Accent1 35 2 4" xfId="7640" xr:uid="{00000000-0005-0000-0000-000049020000}"/>
    <cellStyle name="20% - Accent1 35 2 4 2" xfId="18928" xr:uid="{00000000-0005-0000-0000-00004A020000}"/>
    <cellStyle name="20% - Accent1 35 2 5" xfId="5646" xr:uid="{00000000-0005-0000-0000-00004B020000}"/>
    <cellStyle name="20% - Accent1 35 2 5 2" xfId="16934" xr:uid="{00000000-0005-0000-0000-00004C020000}"/>
    <cellStyle name="20% - Accent1 35 2 6" xfId="14940" xr:uid="{00000000-0005-0000-0000-00004D020000}"/>
    <cellStyle name="20% - Accent1 35 3" xfId="10631" xr:uid="{00000000-0005-0000-0000-00004E020000}"/>
    <cellStyle name="20% - Accent1 35 3 2" xfId="21919" xr:uid="{00000000-0005-0000-0000-00004F020000}"/>
    <cellStyle name="20% - Accent1 35 4" xfId="8637" xr:uid="{00000000-0005-0000-0000-000050020000}"/>
    <cellStyle name="20% - Accent1 35 4 2" xfId="19925" xr:uid="{00000000-0005-0000-0000-000051020000}"/>
    <cellStyle name="20% - Accent1 35 5" xfId="6643" xr:uid="{00000000-0005-0000-0000-000052020000}"/>
    <cellStyle name="20% - Accent1 35 5 2" xfId="17931" xr:uid="{00000000-0005-0000-0000-000053020000}"/>
    <cellStyle name="20% - Accent1 35 6" xfId="4649" xr:uid="{00000000-0005-0000-0000-000054020000}"/>
    <cellStyle name="20% - Accent1 35 6 2" xfId="15937" xr:uid="{00000000-0005-0000-0000-000055020000}"/>
    <cellStyle name="20% - Accent1 35 7" xfId="13943" xr:uid="{00000000-0005-0000-0000-000056020000}"/>
    <cellStyle name="20% - Accent1 35 8" xfId="12629" xr:uid="{00000000-0005-0000-0000-000057020000}"/>
    <cellStyle name="20% - Accent1 36" xfId="694" xr:uid="{00000000-0005-0000-0000-000058020000}"/>
    <cellStyle name="20% - Accent1 36 2" xfId="3650" xr:uid="{00000000-0005-0000-0000-000059020000}"/>
    <cellStyle name="20% - Accent1 36 2 2" xfId="11629" xr:uid="{00000000-0005-0000-0000-00005A020000}"/>
    <cellStyle name="20% - Accent1 36 2 2 2" xfId="22917" xr:uid="{00000000-0005-0000-0000-00005B020000}"/>
    <cellStyle name="20% - Accent1 36 2 3" xfId="9635" xr:uid="{00000000-0005-0000-0000-00005C020000}"/>
    <cellStyle name="20% - Accent1 36 2 3 2" xfId="20923" xr:uid="{00000000-0005-0000-0000-00005D020000}"/>
    <cellStyle name="20% - Accent1 36 2 4" xfId="7641" xr:uid="{00000000-0005-0000-0000-00005E020000}"/>
    <cellStyle name="20% - Accent1 36 2 4 2" xfId="18929" xr:uid="{00000000-0005-0000-0000-00005F020000}"/>
    <cellStyle name="20% - Accent1 36 2 5" xfId="5647" xr:uid="{00000000-0005-0000-0000-000060020000}"/>
    <cellStyle name="20% - Accent1 36 2 5 2" xfId="16935" xr:uid="{00000000-0005-0000-0000-000061020000}"/>
    <cellStyle name="20% - Accent1 36 2 6" xfId="14941" xr:uid="{00000000-0005-0000-0000-000062020000}"/>
    <cellStyle name="20% - Accent1 36 3" xfId="10632" xr:uid="{00000000-0005-0000-0000-000063020000}"/>
    <cellStyle name="20% - Accent1 36 3 2" xfId="21920" xr:uid="{00000000-0005-0000-0000-000064020000}"/>
    <cellStyle name="20% - Accent1 36 4" xfId="8638" xr:uid="{00000000-0005-0000-0000-000065020000}"/>
    <cellStyle name="20% - Accent1 36 4 2" xfId="19926" xr:uid="{00000000-0005-0000-0000-000066020000}"/>
    <cellStyle name="20% - Accent1 36 5" xfId="6644" xr:uid="{00000000-0005-0000-0000-000067020000}"/>
    <cellStyle name="20% - Accent1 36 5 2" xfId="17932" xr:uid="{00000000-0005-0000-0000-000068020000}"/>
    <cellStyle name="20% - Accent1 36 6" xfId="4650" xr:uid="{00000000-0005-0000-0000-000069020000}"/>
    <cellStyle name="20% - Accent1 36 6 2" xfId="15938" xr:uid="{00000000-0005-0000-0000-00006A020000}"/>
    <cellStyle name="20% - Accent1 36 7" xfId="13944" xr:uid="{00000000-0005-0000-0000-00006B020000}"/>
    <cellStyle name="20% - Accent1 36 8" xfId="12630" xr:uid="{00000000-0005-0000-0000-00006C020000}"/>
    <cellStyle name="20% - Accent1 37" xfId="695" xr:uid="{00000000-0005-0000-0000-00006D020000}"/>
    <cellStyle name="20% - Accent1 37 2" xfId="3651" xr:uid="{00000000-0005-0000-0000-00006E020000}"/>
    <cellStyle name="20% - Accent1 37 2 2" xfId="11630" xr:uid="{00000000-0005-0000-0000-00006F020000}"/>
    <cellStyle name="20% - Accent1 37 2 2 2" xfId="22918" xr:uid="{00000000-0005-0000-0000-000070020000}"/>
    <cellStyle name="20% - Accent1 37 2 3" xfId="9636" xr:uid="{00000000-0005-0000-0000-000071020000}"/>
    <cellStyle name="20% - Accent1 37 2 3 2" xfId="20924" xr:uid="{00000000-0005-0000-0000-000072020000}"/>
    <cellStyle name="20% - Accent1 37 2 4" xfId="7642" xr:uid="{00000000-0005-0000-0000-000073020000}"/>
    <cellStyle name="20% - Accent1 37 2 4 2" xfId="18930" xr:uid="{00000000-0005-0000-0000-000074020000}"/>
    <cellStyle name="20% - Accent1 37 2 5" xfId="5648" xr:uid="{00000000-0005-0000-0000-000075020000}"/>
    <cellStyle name="20% - Accent1 37 2 5 2" xfId="16936" xr:uid="{00000000-0005-0000-0000-000076020000}"/>
    <cellStyle name="20% - Accent1 37 2 6" xfId="14942" xr:uid="{00000000-0005-0000-0000-000077020000}"/>
    <cellStyle name="20% - Accent1 37 3" xfId="10633" xr:uid="{00000000-0005-0000-0000-000078020000}"/>
    <cellStyle name="20% - Accent1 37 3 2" xfId="21921" xr:uid="{00000000-0005-0000-0000-000079020000}"/>
    <cellStyle name="20% - Accent1 37 4" xfId="8639" xr:uid="{00000000-0005-0000-0000-00007A020000}"/>
    <cellStyle name="20% - Accent1 37 4 2" xfId="19927" xr:uid="{00000000-0005-0000-0000-00007B020000}"/>
    <cellStyle name="20% - Accent1 37 5" xfId="6645" xr:uid="{00000000-0005-0000-0000-00007C020000}"/>
    <cellStyle name="20% - Accent1 37 5 2" xfId="17933" xr:uid="{00000000-0005-0000-0000-00007D020000}"/>
    <cellStyle name="20% - Accent1 37 6" xfId="4651" xr:uid="{00000000-0005-0000-0000-00007E020000}"/>
    <cellStyle name="20% - Accent1 37 6 2" xfId="15939" xr:uid="{00000000-0005-0000-0000-00007F020000}"/>
    <cellStyle name="20% - Accent1 37 7" xfId="13945" xr:uid="{00000000-0005-0000-0000-000080020000}"/>
    <cellStyle name="20% - Accent1 37 8" xfId="12631" xr:uid="{00000000-0005-0000-0000-000081020000}"/>
    <cellStyle name="20% - Accent1 38" xfId="696" xr:uid="{00000000-0005-0000-0000-000082020000}"/>
    <cellStyle name="20% - Accent1 38 2" xfId="3652" xr:uid="{00000000-0005-0000-0000-000083020000}"/>
    <cellStyle name="20% - Accent1 38 2 2" xfId="11631" xr:uid="{00000000-0005-0000-0000-000084020000}"/>
    <cellStyle name="20% - Accent1 38 2 2 2" xfId="22919" xr:uid="{00000000-0005-0000-0000-000085020000}"/>
    <cellStyle name="20% - Accent1 38 2 3" xfId="9637" xr:uid="{00000000-0005-0000-0000-000086020000}"/>
    <cellStyle name="20% - Accent1 38 2 3 2" xfId="20925" xr:uid="{00000000-0005-0000-0000-000087020000}"/>
    <cellStyle name="20% - Accent1 38 2 4" xfId="7643" xr:uid="{00000000-0005-0000-0000-000088020000}"/>
    <cellStyle name="20% - Accent1 38 2 4 2" xfId="18931" xr:uid="{00000000-0005-0000-0000-000089020000}"/>
    <cellStyle name="20% - Accent1 38 2 5" xfId="5649" xr:uid="{00000000-0005-0000-0000-00008A020000}"/>
    <cellStyle name="20% - Accent1 38 2 5 2" xfId="16937" xr:uid="{00000000-0005-0000-0000-00008B020000}"/>
    <cellStyle name="20% - Accent1 38 2 6" xfId="14943" xr:uid="{00000000-0005-0000-0000-00008C020000}"/>
    <cellStyle name="20% - Accent1 38 3" xfId="10634" xr:uid="{00000000-0005-0000-0000-00008D020000}"/>
    <cellStyle name="20% - Accent1 38 3 2" xfId="21922" xr:uid="{00000000-0005-0000-0000-00008E020000}"/>
    <cellStyle name="20% - Accent1 38 4" xfId="8640" xr:uid="{00000000-0005-0000-0000-00008F020000}"/>
    <cellStyle name="20% - Accent1 38 4 2" xfId="19928" xr:uid="{00000000-0005-0000-0000-000090020000}"/>
    <cellStyle name="20% - Accent1 38 5" xfId="6646" xr:uid="{00000000-0005-0000-0000-000091020000}"/>
    <cellStyle name="20% - Accent1 38 5 2" xfId="17934" xr:uid="{00000000-0005-0000-0000-000092020000}"/>
    <cellStyle name="20% - Accent1 38 6" xfId="4652" xr:uid="{00000000-0005-0000-0000-000093020000}"/>
    <cellStyle name="20% - Accent1 38 6 2" xfId="15940" xr:uid="{00000000-0005-0000-0000-000094020000}"/>
    <cellStyle name="20% - Accent1 38 7" xfId="13946" xr:uid="{00000000-0005-0000-0000-000095020000}"/>
    <cellStyle name="20% - Accent1 38 8" xfId="12632" xr:uid="{00000000-0005-0000-0000-000096020000}"/>
    <cellStyle name="20% - Accent1 39" xfId="697" xr:uid="{00000000-0005-0000-0000-000097020000}"/>
    <cellStyle name="20% - Accent1 39 2" xfId="3653" xr:uid="{00000000-0005-0000-0000-000098020000}"/>
    <cellStyle name="20% - Accent1 39 2 2" xfId="11632" xr:uid="{00000000-0005-0000-0000-000099020000}"/>
    <cellStyle name="20% - Accent1 39 2 2 2" xfId="22920" xr:uid="{00000000-0005-0000-0000-00009A020000}"/>
    <cellStyle name="20% - Accent1 39 2 3" xfId="9638" xr:uid="{00000000-0005-0000-0000-00009B020000}"/>
    <cellStyle name="20% - Accent1 39 2 3 2" xfId="20926" xr:uid="{00000000-0005-0000-0000-00009C020000}"/>
    <cellStyle name="20% - Accent1 39 2 4" xfId="7644" xr:uid="{00000000-0005-0000-0000-00009D020000}"/>
    <cellStyle name="20% - Accent1 39 2 4 2" xfId="18932" xr:uid="{00000000-0005-0000-0000-00009E020000}"/>
    <cellStyle name="20% - Accent1 39 2 5" xfId="5650" xr:uid="{00000000-0005-0000-0000-00009F020000}"/>
    <cellStyle name="20% - Accent1 39 2 5 2" xfId="16938" xr:uid="{00000000-0005-0000-0000-0000A0020000}"/>
    <cellStyle name="20% - Accent1 39 2 6" xfId="14944" xr:uid="{00000000-0005-0000-0000-0000A1020000}"/>
    <cellStyle name="20% - Accent1 39 3" xfId="10635" xr:uid="{00000000-0005-0000-0000-0000A2020000}"/>
    <cellStyle name="20% - Accent1 39 3 2" xfId="21923" xr:uid="{00000000-0005-0000-0000-0000A3020000}"/>
    <cellStyle name="20% - Accent1 39 4" xfId="8641" xr:uid="{00000000-0005-0000-0000-0000A4020000}"/>
    <cellStyle name="20% - Accent1 39 4 2" xfId="19929" xr:uid="{00000000-0005-0000-0000-0000A5020000}"/>
    <cellStyle name="20% - Accent1 39 5" xfId="6647" xr:uid="{00000000-0005-0000-0000-0000A6020000}"/>
    <cellStyle name="20% - Accent1 39 5 2" xfId="17935" xr:uid="{00000000-0005-0000-0000-0000A7020000}"/>
    <cellStyle name="20% - Accent1 39 6" xfId="4653" xr:uid="{00000000-0005-0000-0000-0000A8020000}"/>
    <cellStyle name="20% - Accent1 39 6 2" xfId="15941" xr:uid="{00000000-0005-0000-0000-0000A9020000}"/>
    <cellStyle name="20% - Accent1 39 7" xfId="13947" xr:uid="{00000000-0005-0000-0000-0000AA020000}"/>
    <cellStyle name="20% - Accent1 39 8" xfId="12633" xr:uid="{00000000-0005-0000-0000-0000AB020000}"/>
    <cellStyle name="20% - Accent1 4" xfId="698" xr:uid="{00000000-0005-0000-0000-0000AC020000}"/>
    <cellStyle name="20% - Accent1 4 10" xfId="24561" xr:uid="{00000000-0005-0000-0000-0000AD020000}"/>
    <cellStyle name="20% - Accent1 4 11" xfId="24951" xr:uid="{00000000-0005-0000-0000-0000AE020000}"/>
    <cellStyle name="20% - Accent1 4 2" xfId="3654" xr:uid="{00000000-0005-0000-0000-0000AF020000}"/>
    <cellStyle name="20% - Accent1 4 2 2" xfId="11633" xr:uid="{00000000-0005-0000-0000-0000B0020000}"/>
    <cellStyle name="20% - Accent1 4 2 2 2" xfId="22921" xr:uid="{00000000-0005-0000-0000-0000B1020000}"/>
    <cellStyle name="20% - Accent1 4 2 3" xfId="9639" xr:uid="{00000000-0005-0000-0000-0000B2020000}"/>
    <cellStyle name="20% - Accent1 4 2 3 2" xfId="20927" xr:uid="{00000000-0005-0000-0000-0000B3020000}"/>
    <cellStyle name="20% - Accent1 4 2 4" xfId="7645" xr:uid="{00000000-0005-0000-0000-0000B4020000}"/>
    <cellStyle name="20% - Accent1 4 2 4 2" xfId="18933" xr:uid="{00000000-0005-0000-0000-0000B5020000}"/>
    <cellStyle name="20% - Accent1 4 2 5" xfId="5651" xr:uid="{00000000-0005-0000-0000-0000B6020000}"/>
    <cellStyle name="20% - Accent1 4 2 5 2" xfId="16939" xr:uid="{00000000-0005-0000-0000-0000B7020000}"/>
    <cellStyle name="20% - Accent1 4 2 6" xfId="14945" xr:uid="{00000000-0005-0000-0000-0000B8020000}"/>
    <cellStyle name="20% - Accent1 4 2 7" xfId="24322" xr:uid="{00000000-0005-0000-0000-0000B9020000}"/>
    <cellStyle name="20% - Accent1 4 2 8" xfId="24786" xr:uid="{00000000-0005-0000-0000-0000BA020000}"/>
    <cellStyle name="20% - Accent1 4 2 9" xfId="25153" xr:uid="{00000000-0005-0000-0000-0000BB020000}"/>
    <cellStyle name="20% - Accent1 4 3" xfId="10636" xr:uid="{00000000-0005-0000-0000-0000BC020000}"/>
    <cellStyle name="20% - Accent1 4 3 2" xfId="21924" xr:uid="{00000000-0005-0000-0000-0000BD020000}"/>
    <cellStyle name="20% - Accent1 4 4" xfId="8642" xr:uid="{00000000-0005-0000-0000-0000BE020000}"/>
    <cellStyle name="20% - Accent1 4 4 2" xfId="19930" xr:uid="{00000000-0005-0000-0000-0000BF020000}"/>
    <cellStyle name="20% - Accent1 4 5" xfId="6648" xr:uid="{00000000-0005-0000-0000-0000C0020000}"/>
    <cellStyle name="20% - Accent1 4 5 2" xfId="17936" xr:uid="{00000000-0005-0000-0000-0000C1020000}"/>
    <cellStyle name="20% - Accent1 4 6" xfId="4654" xr:uid="{00000000-0005-0000-0000-0000C2020000}"/>
    <cellStyle name="20% - Accent1 4 6 2" xfId="15942" xr:uid="{00000000-0005-0000-0000-0000C3020000}"/>
    <cellStyle name="20% - Accent1 4 7" xfId="13948" xr:uid="{00000000-0005-0000-0000-0000C4020000}"/>
    <cellStyle name="20% - Accent1 4 8" xfId="12634" xr:uid="{00000000-0005-0000-0000-0000C5020000}"/>
    <cellStyle name="20% - Accent1 4 9" xfId="23934" xr:uid="{00000000-0005-0000-0000-0000C6020000}"/>
    <cellStyle name="20% - Accent1 40" xfId="699" xr:uid="{00000000-0005-0000-0000-0000C7020000}"/>
    <cellStyle name="20% - Accent1 40 2" xfId="3655" xr:uid="{00000000-0005-0000-0000-0000C8020000}"/>
    <cellStyle name="20% - Accent1 40 2 2" xfId="11634" xr:uid="{00000000-0005-0000-0000-0000C9020000}"/>
    <cellStyle name="20% - Accent1 40 2 2 2" xfId="22922" xr:uid="{00000000-0005-0000-0000-0000CA020000}"/>
    <cellStyle name="20% - Accent1 40 2 3" xfId="9640" xr:uid="{00000000-0005-0000-0000-0000CB020000}"/>
    <cellStyle name="20% - Accent1 40 2 3 2" xfId="20928" xr:uid="{00000000-0005-0000-0000-0000CC020000}"/>
    <cellStyle name="20% - Accent1 40 2 4" xfId="7646" xr:uid="{00000000-0005-0000-0000-0000CD020000}"/>
    <cellStyle name="20% - Accent1 40 2 4 2" xfId="18934" xr:uid="{00000000-0005-0000-0000-0000CE020000}"/>
    <cellStyle name="20% - Accent1 40 2 5" xfId="5652" xr:uid="{00000000-0005-0000-0000-0000CF020000}"/>
    <cellStyle name="20% - Accent1 40 2 5 2" xfId="16940" xr:uid="{00000000-0005-0000-0000-0000D0020000}"/>
    <cellStyle name="20% - Accent1 40 2 6" xfId="14946" xr:uid="{00000000-0005-0000-0000-0000D1020000}"/>
    <cellStyle name="20% - Accent1 40 3" xfId="10637" xr:uid="{00000000-0005-0000-0000-0000D2020000}"/>
    <cellStyle name="20% - Accent1 40 3 2" xfId="21925" xr:uid="{00000000-0005-0000-0000-0000D3020000}"/>
    <cellStyle name="20% - Accent1 40 4" xfId="8643" xr:uid="{00000000-0005-0000-0000-0000D4020000}"/>
    <cellStyle name="20% - Accent1 40 4 2" xfId="19931" xr:uid="{00000000-0005-0000-0000-0000D5020000}"/>
    <cellStyle name="20% - Accent1 40 5" xfId="6649" xr:uid="{00000000-0005-0000-0000-0000D6020000}"/>
    <cellStyle name="20% - Accent1 40 5 2" xfId="17937" xr:uid="{00000000-0005-0000-0000-0000D7020000}"/>
    <cellStyle name="20% - Accent1 40 6" xfId="4655" xr:uid="{00000000-0005-0000-0000-0000D8020000}"/>
    <cellStyle name="20% - Accent1 40 6 2" xfId="15943" xr:uid="{00000000-0005-0000-0000-0000D9020000}"/>
    <cellStyle name="20% - Accent1 40 7" xfId="13949" xr:uid="{00000000-0005-0000-0000-0000DA020000}"/>
    <cellStyle name="20% - Accent1 40 8" xfId="12635" xr:uid="{00000000-0005-0000-0000-0000DB020000}"/>
    <cellStyle name="20% - Accent1 41" xfId="700" xr:uid="{00000000-0005-0000-0000-0000DC020000}"/>
    <cellStyle name="20% - Accent1 41 2" xfId="3656" xr:uid="{00000000-0005-0000-0000-0000DD020000}"/>
    <cellStyle name="20% - Accent1 41 2 2" xfId="11635" xr:uid="{00000000-0005-0000-0000-0000DE020000}"/>
    <cellStyle name="20% - Accent1 41 2 2 2" xfId="22923" xr:uid="{00000000-0005-0000-0000-0000DF020000}"/>
    <cellStyle name="20% - Accent1 41 2 3" xfId="9641" xr:uid="{00000000-0005-0000-0000-0000E0020000}"/>
    <cellStyle name="20% - Accent1 41 2 3 2" xfId="20929" xr:uid="{00000000-0005-0000-0000-0000E1020000}"/>
    <cellStyle name="20% - Accent1 41 2 4" xfId="7647" xr:uid="{00000000-0005-0000-0000-0000E2020000}"/>
    <cellStyle name="20% - Accent1 41 2 4 2" xfId="18935" xr:uid="{00000000-0005-0000-0000-0000E3020000}"/>
    <cellStyle name="20% - Accent1 41 2 5" xfId="5653" xr:uid="{00000000-0005-0000-0000-0000E4020000}"/>
    <cellStyle name="20% - Accent1 41 2 5 2" xfId="16941" xr:uid="{00000000-0005-0000-0000-0000E5020000}"/>
    <cellStyle name="20% - Accent1 41 2 6" xfId="14947" xr:uid="{00000000-0005-0000-0000-0000E6020000}"/>
    <cellStyle name="20% - Accent1 41 3" xfId="10638" xr:uid="{00000000-0005-0000-0000-0000E7020000}"/>
    <cellStyle name="20% - Accent1 41 3 2" xfId="21926" xr:uid="{00000000-0005-0000-0000-0000E8020000}"/>
    <cellStyle name="20% - Accent1 41 4" xfId="8644" xr:uid="{00000000-0005-0000-0000-0000E9020000}"/>
    <cellStyle name="20% - Accent1 41 4 2" xfId="19932" xr:uid="{00000000-0005-0000-0000-0000EA020000}"/>
    <cellStyle name="20% - Accent1 41 5" xfId="6650" xr:uid="{00000000-0005-0000-0000-0000EB020000}"/>
    <cellStyle name="20% - Accent1 41 5 2" xfId="17938" xr:uid="{00000000-0005-0000-0000-0000EC020000}"/>
    <cellStyle name="20% - Accent1 41 6" xfId="4656" xr:uid="{00000000-0005-0000-0000-0000ED020000}"/>
    <cellStyle name="20% - Accent1 41 6 2" xfId="15944" xr:uid="{00000000-0005-0000-0000-0000EE020000}"/>
    <cellStyle name="20% - Accent1 41 7" xfId="13950" xr:uid="{00000000-0005-0000-0000-0000EF020000}"/>
    <cellStyle name="20% - Accent1 41 8" xfId="12636" xr:uid="{00000000-0005-0000-0000-0000F0020000}"/>
    <cellStyle name="20% - Accent1 42" xfId="701" xr:uid="{00000000-0005-0000-0000-0000F1020000}"/>
    <cellStyle name="20% - Accent1 42 2" xfId="3657" xr:uid="{00000000-0005-0000-0000-0000F2020000}"/>
    <cellStyle name="20% - Accent1 42 2 2" xfId="11636" xr:uid="{00000000-0005-0000-0000-0000F3020000}"/>
    <cellStyle name="20% - Accent1 42 2 2 2" xfId="22924" xr:uid="{00000000-0005-0000-0000-0000F4020000}"/>
    <cellStyle name="20% - Accent1 42 2 3" xfId="9642" xr:uid="{00000000-0005-0000-0000-0000F5020000}"/>
    <cellStyle name="20% - Accent1 42 2 3 2" xfId="20930" xr:uid="{00000000-0005-0000-0000-0000F6020000}"/>
    <cellStyle name="20% - Accent1 42 2 4" xfId="7648" xr:uid="{00000000-0005-0000-0000-0000F7020000}"/>
    <cellStyle name="20% - Accent1 42 2 4 2" xfId="18936" xr:uid="{00000000-0005-0000-0000-0000F8020000}"/>
    <cellStyle name="20% - Accent1 42 2 5" xfId="5654" xr:uid="{00000000-0005-0000-0000-0000F9020000}"/>
    <cellStyle name="20% - Accent1 42 2 5 2" xfId="16942" xr:uid="{00000000-0005-0000-0000-0000FA020000}"/>
    <cellStyle name="20% - Accent1 42 2 6" xfId="14948" xr:uid="{00000000-0005-0000-0000-0000FB020000}"/>
    <cellStyle name="20% - Accent1 42 3" xfId="10639" xr:uid="{00000000-0005-0000-0000-0000FC020000}"/>
    <cellStyle name="20% - Accent1 42 3 2" xfId="21927" xr:uid="{00000000-0005-0000-0000-0000FD020000}"/>
    <cellStyle name="20% - Accent1 42 4" xfId="8645" xr:uid="{00000000-0005-0000-0000-0000FE020000}"/>
    <cellStyle name="20% - Accent1 42 4 2" xfId="19933" xr:uid="{00000000-0005-0000-0000-0000FF020000}"/>
    <cellStyle name="20% - Accent1 42 5" xfId="6651" xr:uid="{00000000-0005-0000-0000-000000030000}"/>
    <cellStyle name="20% - Accent1 42 5 2" xfId="17939" xr:uid="{00000000-0005-0000-0000-000001030000}"/>
    <cellStyle name="20% - Accent1 42 6" xfId="4657" xr:uid="{00000000-0005-0000-0000-000002030000}"/>
    <cellStyle name="20% - Accent1 42 6 2" xfId="15945" xr:uid="{00000000-0005-0000-0000-000003030000}"/>
    <cellStyle name="20% - Accent1 42 7" xfId="13951" xr:uid="{00000000-0005-0000-0000-000004030000}"/>
    <cellStyle name="20% - Accent1 42 8" xfId="12637" xr:uid="{00000000-0005-0000-0000-000005030000}"/>
    <cellStyle name="20% - Accent1 43" xfId="702" xr:uid="{00000000-0005-0000-0000-000006030000}"/>
    <cellStyle name="20% - Accent1 43 2" xfId="3658" xr:uid="{00000000-0005-0000-0000-000007030000}"/>
    <cellStyle name="20% - Accent1 43 2 2" xfId="11637" xr:uid="{00000000-0005-0000-0000-000008030000}"/>
    <cellStyle name="20% - Accent1 43 2 2 2" xfId="22925" xr:uid="{00000000-0005-0000-0000-000009030000}"/>
    <cellStyle name="20% - Accent1 43 2 3" xfId="9643" xr:uid="{00000000-0005-0000-0000-00000A030000}"/>
    <cellStyle name="20% - Accent1 43 2 3 2" xfId="20931" xr:uid="{00000000-0005-0000-0000-00000B030000}"/>
    <cellStyle name="20% - Accent1 43 2 4" xfId="7649" xr:uid="{00000000-0005-0000-0000-00000C030000}"/>
    <cellStyle name="20% - Accent1 43 2 4 2" xfId="18937" xr:uid="{00000000-0005-0000-0000-00000D030000}"/>
    <cellStyle name="20% - Accent1 43 2 5" xfId="5655" xr:uid="{00000000-0005-0000-0000-00000E030000}"/>
    <cellStyle name="20% - Accent1 43 2 5 2" xfId="16943" xr:uid="{00000000-0005-0000-0000-00000F030000}"/>
    <cellStyle name="20% - Accent1 43 2 6" xfId="14949" xr:uid="{00000000-0005-0000-0000-000010030000}"/>
    <cellStyle name="20% - Accent1 43 3" xfId="10640" xr:uid="{00000000-0005-0000-0000-000011030000}"/>
    <cellStyle name="20% - Accent1 43 3 2" xfId="21928" xr:uid="{00000000-0005-0000-0000-000012030000}"/>
    <cellStyle name="20% - Accent1 43 4" xfId="8646" xr:uid="{00000000-0005-0000-0000-000013030000}"/>
    <cellStyle name="20% - Accent1 43 4 2" xfId="19934" xr:uid="{00000000-0005-0000-0000-000014030000}"/>
    <cellStyle name="20% - Accent1 43 5" xfId="6652" xr:uid="{00000000-0005-0000-0000-000015030000}"/>
    <cellStyle name="20% - Accent1 43 5 2" xfId="17940" xr:uid="{00000000-0005-0000-0000-000016030000}"/>
    <cellStyle name="20% - Accent1 43 6" xfId="4658" xr:uid="{00000000-0005-0000-0000-000017030000}"/>
    <cellStyle name="20% - Accent1 43 6 2" xfId="15946" xr:uid="{00000000-0005-0000-0000-000018030000}"/>
    <cellStyle name="20% - Accent1 43 7" xfId="13952" xr:uid="{00000000-0005-0000-0000-000019030000}"/>
    <cellStyle name="20% - Accent1 43 8" xfId="12638" xr:uid="{00000000-0005-0000-0000-00001A030000}"/>
    <cellStyle name="20% - Accent1 44" xfId="703" xr:uid="{00000000-0005-0000-0000-00001B030000}"/>
    <cellStyle name="20% - Accent1 44 2" xfId="3659" xr:uid="{00000000-0005-0000-0000-00001C030000}"/>
    <cellStyle name="20% - Accent1 44 2 2" xfId="11638" xr:uid="{00000000-0005-0000-0000-00001D030000}"/>
    <cellStyle name="20% - Accent1 44 2 2 2" xfId="22926" xr:uid="{00000000-0005-0000-0000-00001E030000}"/>
    <cellStyle name="20% - Accent1 44 2 3" xfId="9644" xr:uid="{00000000-0005-0000-0000-00001F030000}"/>
    <cellStyle name="20% - Accent1 44 2 3 2" xfId="20932" xr:uid="{00000000-0005-0000-0000-000020030000}"/>
    <cellStyle name="20% - Accent1 44 2 4" xfId="7650" xr:uid="{00000000-0005-0000-0000-000021030000}"/>
    <cellStyle name="20% - Accent1 44 2 4 2" xfId="18938" xr:uid="{00000000-0005-0000-0000-000022030000}"/>
    <cellStyle name="20% - Accent1 44 2 5" xfId="5656" xr:uid="{00000000-0005-0000-0000-000023030000}"/>
    <cellStyle name="20% - Accent1 44 2 5 2" xfId="16944" xr:uid="{00000000-0005-0000-0000-000024030000}"/>
    <cellStyle name="20% - Accent1 44 2 6" xfId="14950" xr:uid="{00000000-0005-0000-0000-000025030000}"/>
    <cellStyle name="20% - Accent1 44 3" xfId="10641" xr:uid="{00000000-0005-0000-0000-000026030000}"/>
    <cellStyle name="20% - Accent1 44 3 2" xfId="21929" xr:uid="{00000000-0005-0000-0000-000027030000}"/>
    <cellStyle name="20% - Accent1 44 4" xfId="8647" xr:uid="{00000000-0005-0000-0000-000028030000}"/>
    <cellStyle name="20% - Accent1 44 4 2" xfId="19935" xr:uid="{00000000-0005-0000-0000-000029030000}"/>
    <cellStyle name="20% - Accent1 44 5" xfId="6653" xr:uid="{00000000-0005-0000-0000-00002A030000}"/>
    <cellStyle name="20% - Accent1 44 5 2" xfId="17941" xr:uid="{00000000-0005-0000-0000-00002B030000}"/>
    <cellStyle name="20% - Accent1 44 6" xfId="4659" xr:uid="{00000000-0005-0000-0000-00002C030000}"/>
    <cellStyle name="20% - Accent1 44 6 2" xfId="15947" xr:uid="{00000000-0005-0000-0000-00002D030000}"/>
    <cellStyle name="20% - Accent1 44 7" xfId="13953" xr:uid="{00000000-0005-0000-0000-00002E030000}"/>
    <cellStyle name="20% - Accent1 44 8" xfId="12639" xr:uid="{00000000-0005-0000-0000-00002F030000}"/>
    <cellStyle name="20% - Accent1 45" xfId="704" xr:uid="{00000000-0005-0000-0000-000030030000}"/>
    <cellStyle name="20% - Accent1 45 2" xfId="3660" xr:uid="{00000000-0005-0000-0000-000031030000}"/>
    <cellStyle name="20% - Accent1 45 2 2" xfId="11639" xr:uid="{00000000-0005-0000-0000-000032030000}"/>
    <cellStyle name="20% - Accent1 45 2 2 2" xfId="22927" xr:uid="{00000000-0005-0000-0000-000033030000}"/>
    <cellStyle name="20% - Accent1 45 2 3" xfId="9645" xr:uid="{00000000-0005-0000-0000-000034030000}"/>
    <cellStyle name="20% - Accent1 45 2 3 2" xfId="20933" xr:uid="{00000000-0005-0000-0000-000035030000}"/>
    <cellStyle name="20% - Accent1 45 2 4" xfId="7651" xr:uid="{00000000-0005-0000-0000-000036030000}"/>
    <cellStyle name="20% - Accent1 45 2 4 2" xfId="18939" xr:uid="{00000000-0005-0000-0000-000037030000}"/>
    <cellStyle name="20% - Accent1 45 2 5" xfId="5657" xr:uid="{00000000-0005-0000-0000-000038030000}"/>
    <cellStyle name="20% - Accent1 45 2 5 2" xfId="16945" xr:uid="{00000000-0005-0000-0000-000039030000}"/>
    <cellStyle name="20% - Accent1 45 2 6" xfId="14951" xr:uid="{00000000-0005-0000-0000-00003A030000}"/>
    <cellStyle name="20% - Accent1 45 3" xfId="10642" xr:uid="{00000000-0005-0000-0000-00003B030000}"/>
    <cellStyle name="20% - Accent1 45 3 2" xfId="21930" xr:uid="{00000000-0005-0000-0000-00003C030000}"/>
    <cellStyle name="20% - Accent1 45 4" xfId="8648" xr:uid="{00000000-0005-0000-0000-00003D030000}"/>
    <cellStyle name="20% - Accent1 45 4 2" xfId="19936" xr:uid="{00000000-0005-0000-0000-00003E030000}"/>
    <cellStyle name="20% - Accent1 45 5" xfId="6654" xr:uid="{00000000-0005-0000-0000-00003F030000}"/>
    <cellStyle name="20% - Accent1 45 5 2" xfId="17942" xr:uid="{00000000-0005-0000-0000-000040030000}"/>
    <cellStyle name="20% - Accent1 45 6" xfId="4660" xr:uid="{00000000-0005-0000-0000-000041030000}"/>
    <cellStyle name="20% - Accent1 45 6 2" xfId="15948" xr:uid="{00000000-0005-0000-0000-000042030000}"/>
    <cellStyle name="20% - Accent1 45 7" xfId="13954" xr:uid="{00000000-0005-0000-0000-000043030000}"/>
    <cellStyle name="20% - Accent1 45 8" xfId="12640" xr:uid="{00000000-0005-0000-0000-000044030000}"/>
    <cellStyle name="20% - Accent1 46" xfId="705" xr:uid="{00000000-0005-0000-0000-000045030000}"/>
    <cellStyle name="20% - Accent1 46 2" xfId="3661" xr:uid="{00000000-0005-0000-0000-000046030000}"/>
    <cellStyle name="20% - Accent1 46 2 2" xfId="11640" xr:uid="{00000000-0005-0000-0000-000047030000}"/>
    <cellStyle name="20% - Accent1 46 2 2 2" xfId="22928" xr:uid="{00000000-0005-0000-0000-000048030000}"/>
    <cellStyle name="20% - Accent1 46 2 3" xfId="9646" xr:uid="{00000000-0005-0000-0000-000049030000}"/>
    <cellStyle name="20% - Accent1 46 2 3 2" xfId="20934" xr:uid="{00000000-0005-0000-0000-00004A030000}"/>
    <cellStyle name="20% - Accent1 46 2 4" xfId="7652" xr:uid="{00000000-0005-0000-0000-00004B030000}"/>
    <cellStyle name="20% - Accent1 46 2 4 2" xfId="18940" xr:uid="{00000000-0005-0000-0000-00004C030000}"/>
    <cellStyle name="20% - Accent1 46 2 5" xfId="5658" xr:uid="{00000000-0005-0000-0000-00004D030000}"/>
    <cellStyle name="20% - Accent1 46 2 5 2" xfId="16946" xr:uid="{00000000-0005-0000-0000-00004E030000}"/>
    <cellStyle name="20% - Accent1 46 2 6" xfId="14952" xr:uid="{00000000-0005-0000-0000-00004F030000}"/>
    <cellStyle name="20% - Accent1 46 3" xfId="10643" xr:uid="{00000000-0005-0000-0000-000050030000}"/>
    <cellStyle name="20% - Accent1 46 3 2" xfId="21931" xr:uid="{00000000-0005-0000-0000-000051030000}"/>
    <cellStyle name="20% - Accent1 46 4" xfId="8649" xr:uid="{00000000-0005-0000-0000-000052030000}"/>
    <cellStyle name="20% - Accent1 46 4 2" xfId="19937" xr:uid="{00000000-0005-0000-0000-000053030000}"/>
    <cellStyle name="20% - Accent1 46 5" xfId="6655" xr:uid="{00000000-0005-0000-0000-000054030000}"/>
    <cellStyle name="20% - Accent1 46 5 2" xfId="17943" xr:uid="{00000000-0005-0000-0000-000055030000}"/>
    <cellStyle name="20% - Accent1 46 6" xfId="4661" xr:uid="{00000000-0005-0000-0000-000056030000}"/>
    <cellStyle name="20% - Accent1 46 6 2" xfId="15949" xr:uid="{00000000-0005-0000-0000-000057030000}"/>
    <cellStyle name="20% - Accent1 46 7" xfId="13955" xr:uid="{00000000-0005-0000-0000-000058030000}"/>
    <cellStyle name="20% - Accent1 46 8" xfId="12641" xr:uid="{00000000-0005-0000-0000-000059030000}"/>
    <cellStyle name="20% - Accent1 47" xfId="706" xr:uid="{00000000-0005-0000-0000-00005A030000}"/>
    <cellStyle name="20% - Accent1 47 2" xfId="3662" xr:uid="{00000000-0005-0000-0000-00005B030000}"/>
    <cellStyle name="20% - Accent1 47 2 2" xfId="11641" xr:uid="{00000000-0005-0000-0000-00005C030000}"/>
    <cellStyle name="20% - Accent1 47 2 2 2" xfId="22929" xr:uid="{00000000-0005-0000-0000-00005D030000}"/>
    <cellStyle name="20% - Accent1 47 2 3" xfId="9647" xr:uid="{00000000-0005-0000-0000-00005E030000}"/>
    <cellStyle name="20% - Accent1 47 2 3 2" xfId="20935" xr:uid="{00000000-0005-0000-0000-00005F030000}"/>
    <cellStyle name="20% - Accent1 47 2 4" xfId="7653" xr:uid="{00000000-0005-0000-0000-000060030000}"/>
    <cellStyle name="20% - Accent1 47 2 4 2" xfId="18941" xr:uid="{00000000-0005-0000-0000-000061030000}"/>
    <cellStyle name="20% - Accent1 47 2 5" xfId="5659" xr:uid="{00000000-0005-0000-0000-000062030000}"/>
    <cellStyle name="20% - Accent1 47 2 5 2" xfId="16947" xr:uid="{00000000-0005-0000-0000-000063030000}"/>
    <cellStyle name="20% - Accent1 47 2 6" xfId="14953" xr:uid="{00000000-0005-0000-0000-000064030000}"/>
    <cellStyle name="20% - Accent1 47 3" xfId="10644" xr:uid="{00000000-0005-0000-0000-000065030000}"/>
    <cellStyle name="20% - Accent1 47 3 2" xfId="21932" xr:uid="{00000000-0005-0000-0000-000066030000}"/>
    <cellStyle name="20% - Accent1 47 4" xfId="8650" xr:uid="{00000000-0005-0000-0000-000067030000}"/>
    <cellStyle name="20% - Accent1 47 4 2" xfId="19938" xr:uid="{00000000-0005-0000-0000-000068030000}"/>
    <cellStyle name="20% - Accent1 47 5" xfId="6656" xr:uid="{00000000-0005-0000-0000-000069030000}"/>
    <cellStyle name="20% - Accent1 47 5 2" xfId="17944" xr:uid="{00000000-0005-0000-0000-00006A030000}"/>
    <cellStyle name="20% - Accent1 47 6" xfId="4662" xr:uid="{00000000-0005-0000-0000-00006B030000}"/>
    <cellStyle name="20% - Accent1 47 6 2" xfId="15950" xr:uid="{00000000-0005-0000-0000-00006C030000}"/>
    <cellStyle name="20% - Accent1 47 7" xfId="13956" xr:uid="{00000000-0005-0000-0000-00006D030000}"/>
    <cellStyle name="20% - Accent1 47 8" xfId="12642" xr:uid="{00000000-0005-0000-0000-00006E030000}"/>
    <cellStyle name="20% - Accent1 48" xfId="707" xr:uid="{00000000-0005-0000-0000-00006F030000}"/>
    <cellStyle name="20% - Accent1 48 2" xfId="3663" xr:uid="{00000000-0005-0000-0000-000070030000}"/>
    <cellStyle name="20% - Accent1 48 2 2" xfId="11642" xr:uid="{00000000-0005-0000-0000-000071030000}"/>
    <cellStyle name="20% - Accent1 48 2 2 2" xfId="22930" xr:uid="{00000000-0005-0000-0000-000072030000}"/>
    <cellStyle name="20% - Accent1 48 2 3" xfId="9648" xr:uid="{00000000-0005-0000-0000-000073030000}"/>
    <cellStyle name="20% - Accent1 48 2 3 2" xfId="20936" xr:uid="{00000000-0005-0000-0000-000074030000}"/>
    <cellStyle name="20% - Accent1 48 2 4" xfId="7654" xr:uid="{00000000-0005-0000-0000-000075030000}"/>
    <cellStyle name="20% - Accent1 48 2 4 2" xfId="18942" xr:uid="{00000000-0005-0000-0000-000076030000}"/>
    <cellStyle name="20% - Accent1 48 2 5" xfId="5660" xr:uid="{00000000-0005-0000-0000-000077030000}"/>
    <cellStyle name="20% - Accent1 48 2 5 2" xfId="16948" xr:uid="{00000000-0005-0000-0000-000078030000}"/>
    <cellStyle name="20% - Accent1 48 2 6" xfId="14954" xr:uid="{00000000-0005-0000-0000-000079030000}"/>
    <cellStyle name="20% - Accent1 48 3" xfId="10645" xr:uid="{00000000-0005-0000-0000-00007A030000}"/>
    <cellStyle name="20% - Accent1 48 3 2" xfId="21933" xr:uid="{00000000-0005-0000-0000-00007B030000}"/>
    <cellStyle name="20% - Accent1 48 4" xfId="8651" xr:uid="{00000000-0005-0000-0000-00007C030000}"/>
    <cellStyle name="20% - Accent1 48 4 2" xfId="19939" xr:uid="{00000000-0005-0000-0000-00007D030000}"/>
    <cellStyle name="20% - Accent1 48 5" xfId="6657" xr:uid="{00000000-0005-0000-0000-00007E030000}"/>
    <cellStyle name="20% - Accent1 48 5 2" xfId="17945" xr:uid="{00000000-0005-0000-0000-00007F030000}"/>
    <cellStyle name="20% - Accent1 48 6" xfId="4663" xr:uid="{00000000-0005-0000-0000-000080030000}"/>
    <cellStyle name="20% - Accent1 48 6 2" xfId="15951" xr:uid="{00000000-0005-0000-0000-000081030000}"/>
    <cellStyle name="20% - Accent1 48 7" xfId="13957" xr:uid="{00000000-0005-0000-0000-000082030000}"/>
    <cellStyle name="20% - Accent1 48 8" xfId="12643" xr:uid="{00000000-0005-0000-0000-000083030000}"/>
    <cellStyle name="20% - Accent1 49" xfId="708" xr:uid="{00000000-0005-0000-0000-000084030000}"/>
    <cellStyle name="20% - Accent1 49 2" xfId="3664" xr:uid="{00000000-0005-0000-0000-000085030000}"/>
    <cellStyle name="20% - Accent1 49 2 2" xfId="11643" xr:uid="{00000000-0005-0000-0000-000086030000}"/>
    <cellStyle name="20% - Accent1 49 2 2 2" xfId="22931" xr:uid="{00000000-0005-0000-0000-000087030000}"/>
    <cellStyle name="20% - Accent1 49 2 3" xfId="9649" xr:uid="{00000000-0005-0000-0000-000088030000}"/>
    <cellStyle name="20% - Accent1 49 2 3 2" xfId="20937" xr:uid="{00000000-0005-0000-0000-000089030000}"/>
    <cellStyle name="20% - Accent1 49 2 4" xfId="7655" xr:uid="{00000000-0005-0000-0000-00008A030000}"/>
    <cellStyle name="20% - Accent1 49 2 4 2" xfId="18943" xr:uid="{00000000-0005-0000-0000-00008B030000}"/>
    <cellStyle name="20% - Accent1 49 2 5" xfId="5661" xr:uid="{00000000-0005-0000-0000-00008C030000}"/>
    <cellStyle name="20% - Accent1 49 2 5 2" xfId="16949" xr:uid="{00000000-0005-0000-0000-00008D030000}"/>
    <cellStyle name="20% - Accent1 49 2 6" xfId="14955" xr:uid="{00000000-0005-0000-0000-00008E030000}"/>
    <cellStyle name="20% - Accent1 49 3" xfId="10646" xr:uid="{00000000-0005-0000-0000-00008F030000}"/>
    <cellStyle name="20% - Accent1 49 3 2" xfId="21934" xr:uid="{00000000-0005-0000-0000-000090030000}"/>
    <cellStyle name="20% - Accent1 49 4" xfId="8652" xr:uid="{00000000-0005-0000-0000-000091030000}"/>
    <cellStyle name="20% - Accent1 49 4 2" xfId="19940" xr:uid="{00000000-0005-0000-0000-000092030000}"/>
    <cellStyle name="20% - Accent1 49 5" xfId="6658" xr:uid="{00000000-0005-0000-0000-000093030000}"/>
    <cellStyle name="20% - Accent1 49 5 2" xfId="17946" xr:uid="{00000000-0005-0000-0000-000094030000}"/>
    <cellStyle name="20% - Accent1 49 6" xfId="4664" xr:uid="{00000000-0005-0000-0000-000095030000}"/>
    <cellStyle name="20% - Accent1 49 6 2" xfId="15952" xr:uid="{00000000-0005-0000-0000-000096030000}"/>
    <cellStyle name="20% - Accent1 49 7" xfId="13958" xr:uid="{00000000-0005-0000-0000-000097030000}"/>
    <cellStyle name="20% - Accent1 49 8" xfId="12644" xr:uid="{00000000-0005-0000-0000-000098030000}"/>
    <cellStyle name="20% - Accent1 5" xfId="709" xr:uid="{00000000-0005-0000-0000-000099030000}"/>
    <cellStyle name="20% - Accent1 5 10" xfId="24562" xr:uid="{00000000-0005-0000-0000-00009A030000}"/>
    <cellStyle name="20% - Accent1 5 11" xfId="24952" xr:uid="{00000000-0005-0000-0000-00009B030000}"/>
    <cellStyle name="20% - Accent1 5 2" xfId="3665" xr:uid="{00000000-0005-0000-0000-00009C030000}"/>
    <cellStyle name="20% - Accent1 5 2 2" xfId="11644" xr:uid="{00000000-0005-0000-0000-00009D030000}"/>
    <cellStyle name="20% - Accent1 5 2 2 2" xfId="22932" xr:uid="{00000000-0005-0000-0000-00009E030000}"/>
    <cellStyle name="20% - Accent1 5 2 3" xfId="9650" xr:uid="{00000000-0005-0000-0000-00009F030000}"/>
    <cellStyle name="20% - Accent1 5 2 3 2" xfId="20938" xr:uid="{00000000-0005-0000-0000-0000A0030000}"/>
    <cellStyle name="20% - Accent1 5 2 4" xfId="7656" xr:uid="{00000000-0005-0000-0000-0000A1030000}"/>
    <cellStyle name="20% - Accent1 5 2 4 2" xfId="18944" xr:uid="{00000000-0005-0000-0000-0000A2030000}"/>
    <cellStyle name="20% - Accent1 5 2 5" xfId="5662" xr:uid="{00000000-0005-0000-0000-0000A3030000}"/>
    <cellStyle name="20% - Accent1 5 2 5 2" xfId="16950" xr:uid="{00000000-0005-0000-0000-0000A4030000}"/>
    <cellStyle name="20% - Accent1 5 2 6" xfId="14956" xr:uid="{00000000-0005-0000-0000-0000A5030000}"/>
    <cellStyle name="20% - Accent1 5 2 7" xfId="24323" xr:uid="{00000000-0005-0000-0000-0000A6030000}"/>
    <cellStyle name="20% - Accent1 5 2 8" xfId="24787" xr:uid="{00000000-0005-0000-0000-0000A7030000}"/>
    <cellStyle name="20% - Accent1 5 2 9" xfId="25154" xr:uid="{00000000-0005-0000-0000-0000A8030000}"/>
    <cellStyle name="20% - Accent1 5 3" xfId="10647" xr:uid="{00000000-0005-0000-0000-0000A9030000}"/>
    <cellStyle name="20% - Accent1 5 3 2" xfId="21935" xr:uid="{00000000-0005-0000-0000-0000AA030000}"/>
    <cellStyle name="20% - Accent1 5 4" xfId="8653" xr:uid="{00000000-0005-0000-0000-0000AB030000}"/>
    <cellStyle name="20% - Accent1 5 4 2" xfId="19941" xr:uid="{00000000-0005-0000-0000-0000AC030000}"/>
    <cellStyle name="20% - Accent1 5 5" xfId="6659" xr:uid="{00000000-0005-0000-0000-0000AD030000}"/>
    <cellStyle name="20% - Accent1 5 5 2" xfId="17947" xr:uid="{00000000-0005-0000-0000-0000AE030000}"/>
    <cellStyle name="20% - Accent1 5 6" xfId="4665" xr:uid="{00000000-0005-0000-0000-0000AF030000}"/>
    <cellStyle name="20% - Accent1 5 6 2" xfId="15953" xr:uid="{00000000-0005-0000-0000-0000B0030000}"/>
    <cellStyle name="20% - Accent1 5 7" xfId="13959" xr:uid="{00000000-0005-0000-0000-0000B1030000}"/>
    <cellStyle name="20% - Accent1 5 8" xfId="12645" xr:uid="{00000000-0005-0000-0000-0000B2030000}"/>
    <cellStyle name="20% - Accent1 5 9" xfId="23935" xr:uid="{00000000-0005-0000-0000-0000B3030000}"/>
    <cellStyle name="20% - Accent1 50" xfId="710" xr:uid="{00000000-0005-0000-0000-0000B4030000}"/>
    <cellStyle name="20% - Accent1 50 2" xfId="3666" xr:uid="{00000000-0005-0000-0000-0000B5030000}"/>
    <cellStyle name="20% - Accent1 50 2 2" xfId="11645" xr:uid="{00000000-0005-0000-0000-0000B6030000}"/>
    <cellStyle name="20% - Accent1 50 2 2 2" xfId="22933" xr:uid="{00000000-0005-0000-0000-0000B7030000}"/>
    <cellStyle name="20% - Accent1 50 2 3" xfId="9651" xr:uid="{00000000-0005-0000-0000-0000B8030000}"/>
    <cellStyle name="20% - Accent1 50 2 3 2" xfId="20939" xr:uid="{00000000-0005-0000-0000-0000B9030000}"/>
    <cellStyle name="20% - Accent1 50 2 4" xfId="7657" xr:uid="{00000000-0005-0000-0000-0000BA030000}"/>
    <cellStyle name="20% - Accent1 50 2 4 2" xfId="18945" xr:uid="{00000000-0005-0000-0000-0000BB030000}"/>
    <cellStyle name="20% - Accent1 50 2 5" xfId="5663" xr:uid="{00000000-0005-0000-0000-0000BC030000}"/>
    <cellStyle name="20% - Accent1 50 2 5 2" xfId="16951" xr:uid="{00000000-0005-0000-0000-0000BD030000}"/>
    <cellStyle name="20% - Accent1 50 2 6" xfId="14957" xr:uid="{00000000-0005-0000-0000-0000BE030000}"/>
    <cellStyle name="20% - Accent1 50 3" xfId="10648" xr:uid="{00000000-0005-0000-0000-0000BF030000}"/>
    <cellStyle name="20% - Accent1 50 3 2" xfId="21936" xr:uid="{00000000-0005-0000-0000-0000C0030000}"/>
    <cellStyle name="20% - Accent1 50 4" xfId="8654" xr:uid="{00000000-0005-0000-0000-0000C1030000}"/>
    <cellStyle name="20% - Accent1 50 4 2" xfId="19942" xr:uid="{00000000-0005-0000-0000-0000C2030000}"/>
    <cellStyle name="20% - Accent1 50 5" xfId="6660" xr:uid="{00000000-0005-0000-0000-0000C3030000}"/>
    <cellStyle name="20% - Accent1 50 5 2" xfId="17948" xr:uid="{00000000-0005-0000-0000-0000C4030000}"/>
    <cellStyle name="20% - Accent1 50 6" xfId="4666" xr:uid="{00000000-0005-0000-0000-0000C5030000}"/>
    <cellStyle name="20% - Accent1 50 6 2" xfId="15954" xr:uid="{00000000-0005-0000-0000-0000C6030000}"/>
    <cellStyle name="20% - Accent1 50 7" xfId="13960" xr:uid="{00000000-0005-0000-0000-0000C7030000}"/>
    <cellStyle name="20% - Accent1 50 8" xfId="12646" xr:uid="{00000000-0005-0000-0000-0000C8030000}"/>
    <cellStyle name="20% - Accent1 51" xfId="711" xr:uid="{00000000-0005-0000-0000-0000C9030000}"/>
    <cellStyle name="20% - Accent1 51 2" xfId="3667" xr:uid="{00000000-0005-0000-0000-0000CA030000}"/>
    <cellStyle name="20% - Accent1 51 2 2" xfId="11646" xr:uid="{00000000-0005-0000-0000-0000CB030000}"/>
    <cellStyle name="20% - Accent1 51 2 2 2" xfId="22934" xr:uid="{00000000-0005-0000-0000-0000CC030000}"/>
    <cellStyle name="20% - Accent1 51 2 3" xfId="9652" xr:uid="{00000000-0005-0000-0000-0000CD030000}"/>
    <cellStyle name="20% - Accent1 51 2 3 2" xfId="20940" xr:uid="{00000000-0005-0000-0000-0000CE030000}"/>
    <cellStyle name="20% - Accent1 51 2 4" xfId="7658" xr:uid="{00000000-0005-0000-0000-0000CF030000}"/>
    <cellStyle name="20% - Accent1 51 2 4 2" xfId="18946" xr:uid="{00000000-0005-0000-0000-0000D0030000}"/>
    <cellStyle name="20% - Accent1 51 2 5" xfId="5664" xr:uid="{00000000-0005-0000-0000-0000D1030000}"/>
    <cellStyle name="20% - Accent1 51 2 5 2" xfId="16952" xr:uid="{00000000-0005-0000-0000-0000D2030000}"/>
    <cellStyle name="20% - Accent1 51 2 6" xfId="14958" xr:uid="{00000000-0005-0000-0000-0000D3030000}"/>
    <cellStyle name="20% - Accent1 51 3" xfId="10649" xr:uid="{00000000-0005-0000-0000-0000D4030000}"/>
    <cellStyle name="20% - Accent1 51 3 2" xfId="21937" xr:uid="{00000000-0005-0000-0000-0000D5030000}"/>
    <cellStyle name="20% - Accent1 51 4" xfId="8655" xr:uid="{00000000-0005-0000-0000-0000D6030000}"/>
    <cellStyle name="20% - Accent1 51 4 2" xfId="19943" xr:uid="{00000000-0005-0000-0000-0000D7030000}"/>
    <cellStyle name="20% - Accent1 51 5" xfId="6661" xr:uid="{00000000-0005-0000-0000-0000D8030000}"/>
    <cellStyle name="20% - Accent1 51 5 2" xfId="17949" xr:uid="{00000000-0005-0000-0000-0000D9030000}"/>
    <cellStyle name="20% - Accent1 51 6" xfId="4667" xr:uid="{00000000-0005-0000-0000-0000DA030000}"/>
    <cellStyle name="20% - Accent1 51 6 2" xfId="15955" xr:uid="{00000000-0005-0000-0000-0000DB030000}"/>
    <cellStyle name="20% - Accent1 51 7" xfId="13961" xr:uid="{00000000-0005-0000-0000-0000DC030000}"/>
    <cellStyle name="20% - Accent1 51 8" xfId="12647" xr:uid="{00000000-0005-0000-0000-0000DD030000}"/>
    <cellStyle name="20% - Accent1 52" xfId="712" xr:uid="{00000000-0005-0000-0000-0000DE030000}"/>
    <cellStyle name="20% - Accent1 52 2" xfId="3668" xr:uid="{00000000-0005-0000-0000-0000DF030000}"/>
    <cellStyle name="20% - Accent1 52 2 2" xfId="11647" xr:uid="{00000000-0005-0000-0000-0000E0030000}"/>
    <cellStyle name="20% - Accent1 52 2 2 2" xfId="22935" xr:uid="{00000000-0005-0000-0000-0000E1030000}"/>
    <cellStyle name="20% - Accent1 52 2 3" xfId="9653" xr:uid="{00000000-0005-0000-0000-0000E2030000}"/>
    <cellStyle name="20% - Accent1 52 2 3 2" xfId="20941" xr:uid="{00000000-0005-0000-0000-0000E3030000}"/>
    <cellStyle name="20% - Accent1 52 2 4" xfId="7659" xr:uid="{00000000-0005-0000-0000-0000E4030000}"/>
    <cellStyle name="20% - Accent1 52 2 4 2" xfId="18947" xr:uid="{00000000-0005-0000-0000-0000E5030000}"/>
    <cellStyle name="20% - Accent1 52 2 5" xfId="5665" xr:uid="{00000000-0005-0000-0000-0000E6030000}"/>
    <cellStyle name="20% - Accent1 52 2 5 2" xfId="16953" xr:uid="{00000000-0005-0000-0000-0000E7030000}"/>
    <cellStyle name="20% - Accent1 52 2 6" xfId="14959" xr:uid="{00000000-0005-0000-0000-0000E8030000}"/>
    <cellStyle name="20% - Accent1 52 3" xfId="10650" xr:uid="{00000000-0005-0000-0000-0000E9030000}"/>
    <cellStyle name="20% - Accent1 52 3 2" xfId="21938" xr:uid="{00000000-0005-0000-0000-0000EA030000}"/>
    <cellStyle name="20% - Accent1 52 4" xfId="8656" xr:uid="{00000000-0005-0000-0000-0000EB030000}"/>
    <cellStyle name="20% - Accent1 52 4 2" xfId="19944" xr:uid="{00000000-0005-0000-0000-0000EC030000}"/>
    <cellStyle name="20% - Accent1 52 5" xfId="6662" xr:uid="{00000000-0005-0000-0000-0000ED030000}"/>
    <cellStyle name="20% - Accent1 52 5 2" xfId="17950" xr:uid="{00000000-0005-0000-0000-0000EE030000}"/>
    <cellStyle name="20% - Accent1 52 6" xfId="4668" xr:uid="{00000000-0005-0000-0000-0000EF030000}"/>
    <cellStyle name="20% - Accent1 52 6 2" xfId="15956" xr:uid="{00000000-0005-0000-0000-0000F0030000}"/>
    <cellStyle name="20% - Accent1 52 7" xfId="13962" xr:uid="{00000000-0005-0000-0000-0000F1030000}"/>
    <cellStyle name="20% - Accent1 52 8" xfId="12648" xr:uid="{00000000-0005-0000-0000-0000F2030000}"/>
    <cellStyle name="20% - Accent1 53" xfId="713" xr:uid="{00000000-0005-0000-0000-0000F3030000}"/>
    <cellStyle name="20% - Accent1 53 2" xfId="3669" xr:uid="{00000000-0005-0000-0000-0000F4030000}"/>
    <cellStyle name="20% - Accent1 53 2 2" xfId="11648" xr:uid="{00000000-0005-0000-0000-0000F5030000}"/>
    <cellStyle name="20% - Accent1 53 2 2 2" xfId="22936" xr:uid="{00000000-0005-0000-0000-0000F6030000}"/>
    <cellStyle name="20% - Accent1 53 2 3" xfId="9654" xr:uid="{00000000-0005-0000-0000-0000F7030000}"/>
    <cellStyle name="20% - Accent1 53 2 3 2" xfId="20942" xr:uid="{00000000-0005-0000-0000-0000F8030000}"/>
    <cellStyle name="20% - Accent1 53 2 4" xfId="7660" xr:uid="{00000000-0005-0000-0000-0000F9030000}"/>
    <cellStyle name="20% - Accent1 53 2 4 2" xfId="18948" xr:uid="{00000000-0005-0000-0000-0000FA030000}"/>
    <cellStyle name="20% - Accent1 53 2 5" xfId="5666" xr:uid="{00000000-0005-0000-0000-0000FB030000}"/>
    <cellStyle name="20% - Accent1 53 2 5 2" xfId="16954" xr:uid="{00000000-0005-0000-0000-0000FC030000}"/>
    <cellStyle name="20% - Accent1 53 2 6" xfId="14960" xr:uid="{00000000-0005-0000-0000-0000FD030000}"/>
    <cellStyle name="20% - Accent1 53 3" xfId="10651" xr:uid="{00000000-0005-0000-0000-0000FE030000}"/>
    <cellStyle name="20% - Accent1 53 3 2" xfId="21939" xr:uid="{00000000-0005-0000-0000-0000FF030000}"/>
    <cellStyle name="20% - Accent1 53 4" xfId="8657" xr:uid="{00000000-0005-0000-0000-000000040000}"/>
    <cellStyle name="20% - Accent1 53 4 2" xfId="19945" xr:uid="{00000000-0005-0000-0000-000001040000}"/>
    <cellStyle name="20% - Accent1 53 5" xfId="6663" xr:uid="{00000000-0005-0000-0000-000002040000}"/>
    <cellStyle name="20% - Accent1 53 5 2" xfId="17951" xr:uid="{00000000-0005-0000-0000-000003040000}"/>
    <cellStyle name="20% - Accent1 53 6" xfId="4669" xr:uid="{00000000-0005-0000-0000-000004040000}"/>
    <cellStyle name="20% - Accent1 53 6 2" xfId="15957" xr:uid="{00000000-0005-0000-0000-000005040000}"/>
    <cellStyle name="20% - Accent1 53 7" xfId="13963" xr:uid="{00000000-0005-0000-0000-000006040000}"/>
    <cellStyle name="20% - Accent1 53 8" xfId="12649" xr:uid="{00000000-0005-0000-0000-000007040000}"/>
    <cellStyle name="20% - Accent1 54" xfId="714" xr:uid="{00000000-0005-0000-0000-000008040000}"/>
    <cellStyle name="20% - Accent1 54 2" xfId="3670" xr:uid="{00000000-0005-0000-0000-000009040000}"/>
    <cellStyle name="20% - Accent1 54 2 2" xfId="11649" xr:uid="{00000000-0005-0000-0000-00000A040000}"/>
    <cellStyle name="20% - Accent1 54 2 2 2" xfId="22937" xr:uid="{00000000-0005-0000-0000-00000B040000}"/>
    <cellStyle name="20% - Accent1 54 2 3" xfId="9655" xr:uid="{00000000-0005-0000-0000-00000C040000}"/>
    <cellStyle name="20% - Accent1 54 2 3 2" xfId="20943" xr:uid="{00000000-0005-0000-0000-00000D040000}"/>
    <cellStyle name="20% - Accent1 54 2 4" xfId="7661" xr:uid="{00000000-0005-0000-0000-00000E040000}"/>
    <cellStyle name="20% - Accent1 54 2 4 2" xfId="18949" xr:uid="{00000000-0005-0000-0000-00000F040000}"/>
    <cellStyle name="20% - Accent1 54 2 5" xfId="5667" xr:uid="{00000000-0005-0000-0000-000010040000}"/>
    <cellStyle name="20% - Accent1 54 2 5 2" xfId="16955" xr:uid="{00000000-0005-0000-0000-000011040000}"/>
    <cellStyle name="20% - Accent1 54 2 6" xfId="14961" xr:uid="{00000000-0005-0000-0000-000012040000}"/>
    <cellStyle name="20% - Accent1 54 3" xfId="10652" xr:uid="{00000000-0005-0000-0000-000013040000}"/>
    <cellStyle name="20% - Accent1 54 3 2" xfId="21940" xr:uid="{00000000-0005-0000-0000-000014040000}"/>
    <cellStyle name="20% - Accent1 54 4" xfId="8658" xr:uid="{00000000-0005-0000-0000-000015040000}"/>
    <cellStyle name="20% - Accent1 54 4 2" xfId="19946" xr:uid="{00000000-0005-0000-0000-000016040000}"/>
    <cellStyle name="20% - Accent1 54 5" xfId="6664" xr:uid="{00000000-0005-0000-0000-000017040000}"/>
    <cellStyle name="20% - Accent1 54 5 2" xfId="17952" xr:uid="{00000000-0005-0000-0000-000018040000}"/>
    <cellStyle name="20% - Accent1 54 6" xfId="4670" xr:uid="{00000000-0005-0000-0000-000019040000}"/>
    <cellStyle name="20% - Accent1 54 6 2" xfId="15958" xr:uid="{00000000-0005-0000-0000-00001A040000}"/>
    <cellStyle name="20% - Accent1 54 7" xfId="13964" xr:uid="{00000000-0005-0000-0000-00001B040000}"/>
    <cellStyle name="20% - Accent1 54 8" xfId="12650" xr:uid="{00000000-0005-0000-0000-00001C040000}"/>
    <cellStyle name="20% - Accent1 55" xfId="715" xr:uid="{00000000-0005-0000-0000-00001D040000}"/>
    <cellStyle name="20% - Accent1 55 2" xfId="3671" xr:uid="{00000000-0005-0000-0000-00001E040000}"/>
    <cellStyle name="20% - Accent1 55 2 2" xfId="11650" xr:uid="{00000000-0005-0000-0000-00001F040000}"/>
    <cellStyle name="20% - Accent1 55 2 2 2" xfId="22938" xr:uid="{00000000-0005-0000-0000-000020040000}"/>
    <cellStyle name="20% - Accent1 55 2 3" xfId="9656" xr:uid="{00000000-0005-0000-0000-000021040000}"/>
    <cellStyle name="20% - Accent1 55 2 3 2" xfId="20944" xr:uid="{00000000-0005-0000-0000-000022040000}"/>
    <cellStyle name="20% - Accent1 55 2 4" xfId="7662" xr:uid="{00000000-0005-0000-0000-000023040000}"/>
    <cellStyle name="20% - Accent1 55 2 4 2" xfId="18950" xr:uid="{00000000-0005-0000-0000-000024040000}"/>
    <cellStyle name="20% - Accent1 55 2 5" xfId="5668" xr:uid="{00000000-0005-0000-0000-000025040000}"/>
    <cellStyle name="20% - Accent1 55 2 5 2" xfId="16956" xr:uid="{00000000-0005-0000-0000-000026040000}"/>
    <cellStyle name="20% - Accent1 55 2 6" xfId="14962" xr:uid="{00000000-0005-0000-0000-000027040000}"/>
    <cellStyle name="20% - Accent1 55 3" xfId="10653" xr:uid="{00000000-0005-0000-0000-000028040000}"/>
    <cellStyle name="20% - Accent1 55 3 2" xfId="21941" xr:uid="{00000000-0005-0000-0000-000029040000}"/>
    <cellStyle name="20% - Accent1 55 4" xfId="8659" xr:uid="{00000000-0005-0000-0000-00002A040000}"/>
    <cellStyle name="20% - Accent1 55 4 2" xfId="19947" xr:uid="{00000000-0005-0000-0000-00002B040000}"/>
    <cellStyle name="20% - Accent1 55 5" xfId="6665" xr:uid="{00000000-0005-0000-0000-00002C040000}"/>
    <cellStyle name="20% - Accent1 55 5 2" xfId="17953" xr:uid="{00000000-0005-0000-0000-00002D040000}"/>
    <cellStyle name="20% - Accent1 55 6" xfId="4671" xr:uid="{00000000-0005-0000-0000-00002E040000}"/>
    <cellStyle name="20% - Accent1 55 6 2" xfId="15959" xr:uid="{00000000-0005-0000-0000-00002F040000}"/>
    <cellStyle name="20% - Accent1 55 7" xfId="13965" xr:uid="{00000000-0005-0000-0000-000030040000}"/>
    <cellStyle name="20% - Accent1 55 8" xfId="12651" xr:uid="{00000000-0005-0000-0000-000031040000}"/>
    <cellStyle name="20% - Accent1 56" xfId="716" xr:uid="{00000000-0005-0000-0000-000032040000}"/>
    <cellStyle name="20% - Accent1 56 2" xfId="3672" xr:uid="{00000000-0005-0000-0000-000033040000}"/>
    <cellStyle name="20% - Accent1 56 2 2" xfId="11651" xr:uid="{00000000-0005-0000-0000-000034040000}"/>
    <cellStyle name="20% - Accent1 56 2 2 2" xfId="22939" xr:uid="{00000000-0005-0000-0000-000035040000}"/>
    <cellStyle name="20% - Accent1 56 2 3" xfId="9657" xr:uid="{00000000-0005-0000-0000-000036040000}"/>
    <cellStyle name="20% - Accent1 56 2 3 2" xfId="20945" xr:uid="{00000000-0005-0000-0000-000037040000}"/>
    <cellStyle name="20% - Accent1 56 2 4" xfId="7663" xr:uid="{00000000-0005-0000-0000-000038040000}"/>
    <cellStyle name="20% - Accent1 56 2 4 2" xfId="18951" xr:uid="{00000000-0005-0000-0000-000039040000}"/>
    <cellStyle name="20% - Accent1 56 2 5" xfId="5669" xr:uid="{00000000-0005-0000-0000-00003A040000}"/>
    <cellStyle name="20% - Accent1 56 2 5 2" xfId="16957" xr:uid="{00000000-0005-0000-0000-00003B040000}"/>
    <cellStyle name="20% - Accent1 56 2 6" xfId="14963" xr:uid="{00000000-0005-0000-0000-00003C040000}"/>
    <cellStyle name="20% - Accent1 56 3" xfId="10654" xr:uid="{00000000-0005-0000-0000-00003D040000}"/>
    <cellStyle name="20% - Accent1 56 3 2" xfId="21942" xr:uid="{00000000-0005-0000-0000-00003E040000}"/>
    <cellStyle name="20% - Accent1 56 4" xfId="8660" xr:uid="{00000000-0005-0000-0000-00003F040000}"/>
    <cellStyle name="20% - Accent1 56 4 2" xfId="19948" xr:uid="{00000000-0005-0000-0000-000040040000}"/>
    <cellStyle name="20% - Accent1 56 5" xfId="6666" xr:uid="{00000000-0005-0000-0000-000041040000}"/>
    <cellStyle name="20% - Accent1 56 5 2" xfId="17954" xr:uid="{00000000-0005-0000-0000-000042040000}"/>
    <cellStyle name="20% - Accent1 56 6" xfId="4672" xr:uid="{00000000-0005-0000-0000-000043040000}"/>
    <cellStyle name="20% - Accent1 56 6 2" xfId="15960" xr:uid="{00000000-0005-0000-0000-000044040000}"/>
    <cellStyle name="20% - Accent1 56 7" xfId="13966" xr:uid="{00000000-0005-0000-0000-000045040000}"/>
    <cellStyle name="20% - Accent1 56 8" xfId="12652" xr:uid="{00000000-0005-0000-0000-000046040000}"/>
    <cellStyle name="20% - Accent1 57" xfId="717" xr:uid="{00000000-0005-0000-0000-000047040000}"/>
    <cellStyle name="20% - Accent1 57 2" xfId="3673" xr:uid="{00000000-0005-0000-0000-000048040000}"/>
    <cellStyle name="20% - Accent1 57 2 2" xfId="11652" xr:uid="{00000000-0005-0000-0000-000049040000}"/>
    <cellStyle name="20% - Accent1 57 2 2 2" xfId="22940" xr:uid="{00000000-0005-0000-0000-00004A040000}"/>
    <cellStyle name="20% - Accent1 57 2 3" xfId="9658" xr:uid="{00000000-0005-0000-0000-00004B040000}"/>
    <cellStyle name="20% - Accent1 57 2 3 2" xfId="20946" xr:uid="{00000000-0005-0000-0000-00004C040000}"/>
    <cellStyle name="20% - Accent1 57 2 4" xfId="7664" xr:uid="{00000000-0005-0000-0000-00004D040000}"/>
    <cellStyle name="20% - Accent1 57 2 4 2" xfId="18952" xr:uid="{00000000-0005-0000-0000-00004E040000}"/>
    <cellStyle name="20% - Accent1 57 2 5" xfId="5670" xr:uid="{00000000-0005-0000-0000-00004F040000}"/>
    <cellStyle name="20% - Accent1 57 2 5 2" xfId="16958" xr:uid="{00000000-0005-0000-0000-000050040000}"/>
    <cellStyle name="20% - Accent1 57 2 6" xfId="14964" xr:uid="{00000000-0005-0000-0000-000051040000}"/>
    <cellStyle name="20% - Accent1 57 3" xfId="10655" xr:uid="{00000000-0005-0000-0000-000052040000}"/>
    <cellStyle name="20% - Accent1 57 3 2" xfId="21943" xr:uid="{00000000-0005-0000-0000-000053040000}"/>
    <cellStyle name="20% - Accent1 57 4" xfId="8661" xr:uid="{00000000-0005-0000-0000-000054040000}"/>
    <cellStyle name="20% - Accent1 57 4 2" xfId="19949" xr:uid="{00000000-0005-0000-0000-000055040000}"/>
    <cellStyle name="20% - Accent1 57 5" xfId="6667" xr:uid="{00000000-0005-0000-0000-000056040000}"/>
    <cellStyle name="20% - Accent1 57 5 2" xfId="17955" xr:uid="{00000000-0005-0000-0000-000057040000}"/>
    <cellStyle name="20% - Accent1 57 6" xfId="4673" xr:uid="{00000000-0005-0000-0000-000058040000}"/>
    <cellStyle name="20% - Accent1 57 6 2" xfId="15961" xr:uid="{00000000-0005-0000-0000-000059040000}"/>
    <cellStyle name="20% - Accent1 57 7" xfId="13967" xr:uid="{00000000-0005-0000-0000-00005A040000}"/>
    <cellStyle name="20% - Accent1 57 8" xfId="12653" xr:uid="{00000000-0005-0000-0000-00005B040000}"/>
    <cellStyle name="20% - Accent1 58" xfId="718" xr:uid="{00000000-0005-0000-0000-00005C040000}"/>
    <cellStyle name="20% - Accent1 58 2" xfId="3674" xr:uid="{00000000-0005-0000-0000-00005D040000}"/>
    <cellStyle name="20% - Accent1 58 2 2" xfId="11653" xr:uid="{00000000-0005-0000-0000-00005E040000}"/>
    <cellStyle name="20% - Accent1 58 2 2 2" xfId="22941" xr:uid="{00000000-0005-0000-0000-00005F040000}"/>
    <cellStyle name="20% - Accent1 58 2 3" xfId="9659" xr:uid="{00000000-0005-0000-0000-000060040000}"/>
    <cellStyle name="20% - Accent1 58 2 3 2" xfId="20947" xr:uid="{00000000-0005-0000-0000-000061040000}"/>
    <cellStyle name="20% - Accent1 58 2 4" xfId="7665" xr:uid="{00000000-0005-0000-0000-000062040000}"/>
    <cellStyle name="20% - Accent1 58 2 4 2" xfId="18953" xr:uid="{00000000-0005-0000-0000-000063040000}"/>
    <cellStyle name="20% - Accent1 58 2 5" xfId="5671" xr:uid="{00000000-0005-0000-0000-000064040000}"/>
    <cellStyle name="20% - Accent1 58 2 5 2" xfId="16959" xr:uid="{00000000-0005-0000-0000-000065040000}"/>
    <cellStyle name="20% - Accent1 58 2 6" xfId="14965" xr:uid="{00000000-0005-0000-0000-000066040000}"/>
    <cellStyle name="20% - Accent1 58 3" xfId="10656" xr:uid="{00000000-0005-0000-0000-000067040000}"/>
    <cellStyle name="20% - Accent1 58 3 2" xfId="21944" xr:uid="{00000000-0005-0000-0000-000068040000}"/>
    <cellStyle name="20% - Accent1 58 4" xfId="8662" xr:uid="{00000000-0005-0000-0000-000069040000}"/>
    <cellStyle name="20% - Accent1 58 4 2" xfId="19950" xr:uid="{00000000-0005-0000-0000-00006A040000}"/>
    <cellStyle name="20% - Accent1 58 5" xfId="6668" xr:uid="{00000000-0005-0000-0000-00006B040000}"/>
    <cellStyle name="20% - Accent1 58 5 2" xfId="17956" xr:uid="{00000000-0005-0000-0000-00006C040000}"/>
    <cellStyle name="20% - Accent1 58 6" xfId="4674" xr:uid="{00000000-0005-0000-0000-00006D040000}"/>
    <cellStyle name="20% - Accent1 58 6 2" xfId="15962" xr:uid="{00000000-0005-0000-0000-00006E040000}"/>
    <cellStyle name="20% - Accent1 58 7" xfId="13968" xr:uid="{00000000-0005-0000-0000-00006F040000}"/>
    <cellStyle name="20% - Accent1 58 8" xfId="12654" xr:uid="{00000000-0005-0000-0000-000070040000}"/>
    <cellStyle name="20% - Accent1 59" xfId="719" xr:uid="{00000000-0005-0000-0000-000071040000}"/>
    <cellStyle name="20% - Accent1 59 2" xfId="3675" xr:uid="{00000000-0005-0000-0000-000072040000}"/>
    <cellStyle name="20% - Accent1 59 2 2" xfId="11654" xr:uid="{00000000-0005-0000-0000-000073040000}"/>
    <cellStyle name="20% - Accent1 59 2 2 2" xfId="22942" xr:uid="{00000000-0005-0000-0000-000074040000}"/>
    <cellStyle name="20% - Accent1 59 2 3" xfId="9660" xr:uid="{00000000-0005-0000-0000-000075040000}"/>
    <cellStyle name="20% - Accent1 59 2 3 2" xfId="20948" xr:uid="{00000000-0005-0000-0000-000076040000}"/>
    <cellStyle name="20% - Accent1 59 2 4" xfId="7666" xr:uid="{00000000-0005-0000-0000-000077040000}"/>
    <cellStyle name="20% - Accent1 59 2 4 2" xfId="18954" xr:uid="{00000000-0005-0000-0000-000078040000}"/>
    <cellStyle name="20% - Accent1 59 2 5" xfId="5672" xr:uid="{00000000-0005-0000-0000-000079040000}"/>
    <cellStyle name="20% - Accent1 59 2 5 2" xfId="16960" xr:uid="{00000000-0005-0000-0000-00007A040000}"/>
    <cellStyle name="20% - Accent1 59 2 6" xfId="14966" xr:uid="{00000000-0005-0000-0000-00007B040000}"/>
    <cellStyle name="20% - Accent1 59 3" xfId="10657" xr:uid="{00000000-0005-0000-0000-00007C040000}"/>
    <cellStyle name="20% - Accent1 59 3 2" xfId="21945" xr:uid="{00000000-0005-0000-0000-00007D040000}"/>
    <cellStyle name="20% - Accent1 59 4" xfId="8663" xr:uid="{00000000-0005-0000-0000-00007E040000}"/>
    <cellStyle name="20% - Accent1 59 4 2" xfId="19951" xr:uid="{00000000-0005-0000-0000-00007F040000}"/>
    <cellStyle name="20% - Accent1 59 5" xfId="6669" xr:uid="{00000000-0005-0000-0000-000080040000}"/>
    <cellStyle name="20% - Accent1 59 5 2" xfId="17957" xr:uid="{00000000-0005-0000-0000-000081040000}"/>
    <cellStyle name="20% - Accent1 59 6" xfId="4675" xr:uid="{00000000-0005-0000-0000-000082040000}"/>
    <cellStyle name="20% - Accent1 59 6 2" xfId="15963" xr:uid="{00000000-0005-0000-0000-000083040000}"/>
    <cellStyle name="20% - Accent1 59 7" xfId="13969" xr:uid="{00000000-0005-0000-0000-000084040000}"/>
    <cellStyle name="20% - Accent1 59 8" xfId="12655" xr:uid="{00000000-0005-0000-0000-000085040000}"/>
    <cellStyle name="20% - Accent1 6" xfId="720" xr:uid="{00000000-0005-0000-0000-000086040000}"/>
    <cellStyle name="20% - Accent1 6 10" xfId="24563" xr:uid="{00000000-0005-0000-0000-000087040000}"/>
    <cellStyle name="20% - Accent1 6 11" xfId="24953" xr:uid="{00000000-0005-0000-0000-000088040000}"/>
    <cellStyle name="20% - Accent1 6 2" xfId="3676" xr:uid="{00000000-0005-0000-0000-000089040000}"/>
    <cellStyle name="20% - Accent1 6 2 2" xfId="11655" xr:uid="{00000000-0005-0000-0000-00008A040000}"/>
    <cellStyle name="20% - Accent1 6 2 2 2" xfId="22943" xr:uid="{00000000-0005-0000-0000-00008B040000}"/>
    <cellStyle name="20% - Accent1 6 2 3" xfId="9661" xr:uid="{00000000-0005-0000-0000-00008C040000}"/>
    <cellStyle name="20% - Accent1 6 2 3 2" xfId="20949" xr:uid="{00000000-0005-0000-0000-00008D040000}"/>
    <cellStyle name="20% - Accent1 6 2 4" xfId="7667" xr:uid="{00000000-0005-0000-0000-00008E040000}"/>
    <cellStyle name="20% - Accent1 6 2 4 2" xfId="18955" xr:uid="{00000000-0005-0000-0000-00008F040000}"/>
    <cellStyle name="20% - Accent1 6 2 5" xfId="5673" xr:uid="{00000000-0005-0000-0000-000090040000}"/>
    <cellStyle name="20% - Accent1 6 2 5 2" xfId="16961" xr:uid="{00000000-0005-0000-0000-000091040000}"/>
    <cellStyle name="20% - Accent1 6 2 6" xfId="14967" xr:uid="{00000000-0005-0000-0000-000092040000}"/>
    <cellStyle name="20% - Accent1 6 2 7" xfId="24324" xr:uid="{00000000-0005-0000-0000-000093040000}"/>
    <cellStyle name="20% - Accent1 6 2 8" xfId="24788" xr:uid="{00000000-0005-0000-0000-000094040000}"/>
    <cellStyle name="20% - Accent1 6 2 9" xfId="25155" xr:uid="{00000000-0005-0000-0000-000095040000}"/>
    <cellStyle name="20% - Accent1 6 3" xfId="10658" xr:uid="{00000000-0005-0000-0000-000096040000}"/>
    <cellStyle name="20% - Accent1 6 3 2" xfId="21946" xr:uid="{00000000-0005-0000-0000-000097040000}"/>
    <cellStyle name="20% - Accent1 6 4" xfId="8664" xr:uid="{00000000-0005-0000-0000-000098040000}"/>
    <cellStyle name="20% - Accent1 6 4 2" xfId="19952" xr:uid="{00000000-0005-0000-0000-000099040000}"/>
    <cellStyle name="20% - Accent1 6 5" xfId="6670" xr:uid="{00000000-0005-0000-0000-00009A040000}"/>
    <cellStyle name="20% - Accent1 6 5 2" xfId="17958" xr:uid="{00000000-0005-0000-0000-00009B040000}"/>
    <cellStyle name="20% - Accent1 6 6" xfId="4676" xr:uid="{00000000-0005-0000-0000-00009C040000}"/>
    <cellStyle name="20% - Accent1 6 6 2" xfId="15964" xr:uid="{00000000-0005-0000-0000-00009D040000}"/>
    <cellStyle name="20% - Accent1 6 7" xfId="13970" xr:uid="{00000000-0005-0000-0000-00009E040000}"/>
    <cellStyle name="20% - Accent1 6 8" xfId="12656" xr:uid="{00000000-0005-0000-0000-00009F040000}"/>
    <cellStyle name="20% - Accent1 6 9" xfId="23936" xr:uid="{00000000-0005-0000-0000-0000A0040000}"/>
    <cellStyle name="20% - Accent1 60" xfId="721" xr:uid="{00000000-0005-0000-0000-0000A1040000}"/>
    <cellStyle name="20% - Accent1 60 2" xfId="3677" xr:uid="{00000000-0005-0000-0000-0000A2040000}"/>
    <cellStyle name="20% - Accent1 60 2 2" xfId="11656" xr:uid="{00000000-0005-0000-0000-0000A3040000}"/>
    <cellStyle name="20% - Accent1 60 2 2 2" xfId="22944" xr:uid="{00000000-0005-0000-0000-0000A4040000}"/>
    <cellStyle name="20% - Accent1 60 2 3" xfId="9662" xr:uid="{00000000-0005-0000-0000-0000A5040000}"/>
    <cellStyle name="20% - Accent1 60 2 3 2" xfId="20950" xr:uid="{00000000-0005-0000-0000-0000A6040000}"/>
    <cellStyle name="20% - Accent1 60 2 4" xfId="7668" xr:uid="{00000000-0005-0000-0000-0000A7040000}"/>
    <cellStyle name="20% - Accent1 60 2 4 2" xfId="18956" xr:uid="{00000000-0005-0000-0000-0000A8040000}"/>
    <cellStyle name="20% - Accent1 60 2 5" xfId="5674" xr:uid="{00000000-0005-0000-0000-0000A9040000}"/>
    <cellStyle name="20% - Accent1 60 2 5 2" xfId="16962" xr:uid="{00000000-0005-0000-0000-0000AA040000}"/>
    <cellStyle name="20% - Accent1 60 2 6" xfId="14968" xr:uid="{00000000-0005-0000-0000-0000AB040000}"/>
    <cellStyle name="20% - Accent1 60 3" xfId="10659" xr:uid="{00000000-0005-0000-0000-0000AC040000}"/>
    <cellStyle name="20% - Accent1 60 3 2" xfId="21947" xr:uid="{00000000-0005-0000-0000-0000AD040000}"/>
    <cellStyle name="20% - Accent1 60 4" xfId="8665" xr:uid="{00000000-0005-0000-0000-0000AE040000}"/>
    <cellStyle name="20% - Accent1 60 4 2" xfId="19953" xr:uid="{00000000-0005-0000-0000-0000AF040000}"/>
    <cellStyle name="20% - Accent1 60 5" xfId="6671" xr:uid="{00000000-0005-0000-0000-0000B0040000}"/>
    <cellStyle name="20% - Accent1 60 5 2" xfId="17959" xr:uid="{00000000-0005-0000-0000-0000B1040000}"/>
    <cellStyle name="20% - Accent1 60 6" xfId="4677" xr:uid="{00000000-0005-0000-0000-0000B2040000}"/>
    <cellStyle name="20% - Accent1 60 6 2" xfId="15965" xr:uid="{00000000-0005-0000-0000-0000B3040000}"/>
    <cellStyle name="20% - Accent1 60 7" xfId="13971" xr:uid="{00000000-0005-0000-0000-0000B4040000}"/>
    <cellStyle name="20% - Accent1 60 8" xfId="12657" xr:uid="{00000000-0005-0000-0000-0000B5040000}"/>
    <cellStyle name="20% - Accent1 61" xfId="722" xr:uid="{00000000-0005-0000-0000-0000B6040000}"/>
    <cellStyle name="20% - Accent1 61 2" xfId="3678" xr:uid="{00000000-0005-0000-0000-0000B7040000}"/>
    <cellStyle name="20% - Accent1 61 2 2" xfId="11657" xr:uid="{00000000-0005-0000-0000-0000B8040000}"/>
    <cellStyle name="20% - Accent1 61 2 2 2" xfId="22945" xr:uid="{00000000-0005-0000-0000-0000B9040000}"/>
    <cellStyle name="20% - Accent1 61 2 3" xfId="9663" xr:uid="{00000000-0005-0000-0000-0000BA040000}"/>
    <cellStyle name="20% - Accent1 61 2 3 2" xfId="20951" xr:uid="{00000000-0005-0000-0000-0000BB040000}"/>
    <cellStyle name="20% - Accent1 61 2 4" xfId="7669" xr:uid="{00000000-0005-0000-0000-0000BC040000}"/>
    <cellStyle name="20% - Accent1 61 2 4 2" xfId="18957" xr:uid="{00000000-0005-0000-0000-0000BD040000}"/>
    <cellStyle name="20% - Accent1 61 2 5" xfId="5675" xr:uid="{00000000-0005-0000-0000-0000BE040000}"/>
    <cellStyle name="20% - Accent1 61 2 5 2" xfId="16963" xr:uid="{00000000-0005-0000-0000-0000BF040000}"/>
    <cellStyle name="20% - Accent1 61 2 6" xfId="14969" xr:uid="{00000000-0005-0000-0000-0000C0040000}"/>
    <cellStyle name="20% - Accent1 61 3" xfId="10660" xr:uid="{00000000-0005-0000-0000-0000C1040000}"/>
    <cellStyle name="20% - Accent1 61 3 2" xfId="21948" xr:uid="{00000000-0005-0000-0000-0000C2040000}"/>
    <cellStyle name="20% - Accent1 61 4" xfId="8666" xr:uid="{00000000-0005-0000-0000-0000C3040000}"/>
    <cellStyle name="20% - Accent1 61 4 2" xfId="19954" xr:uid="{00000000-0005-0000-0000-0000C4040000}"/>
    <cellStyle name="20% - Accent1 61 5" xfId="6672" xr:uid="{00000000-0005-0000-0000-0000C5040000}"/>
    <cellStyle name="20% - Accent1 61 5 2" xfId="17960" xr:uid="{00000000-0005-0000-0000-0000C6040000}"/>
    <cellStyle name="20% - Accent1 61 6" xfId="4678" xr:uid="{00000000-0005-0000-0000-0000C7040000}"/>
    <cellStyle name="20% - Accent1 61 6 2" xfId="15966" xr:uid="{00000000-0005-0000-0000-0000C8040000}"/>
    <cellStyle name="20% - Accent1 61 7" xfId="13972" xr:uid="{00000000-0005-0000-0000-0000C9040000}"/>
    <cellStyle name="20% - Accent1 61 8" xfId="12658" xr:uid="{00000000-0005-0000-0000-0000CA040000}"/>
    <cellStyle name="20% - Accent1 62" xfId="723" xr:uid="{00000000-0005-0000-0000-0000CB040000}"/>
    <cellStyle name="20% - Accent1 62 2" xfId="3679" xr:uid="{00000000-0005-0000-0000-0000CC040000}"/>
    <cellStyle name="20% - Accent1 62 2 2" xfId="11658" xr:uid="{00000000-0005-0000-0000-0000CD040000}"/>
    <cellStyle name="20% - Accent1 62 2 2 2" xfId="22946" xr:uid="{00000000-0005-0000-0000-0000CE040000}"/>
    <cellStyle name="20% - Accent1 62 2 3" xfId="9664" xr:uid="{00000000-0005-0000-0000-0000CF040000}"/>
    <cellStyle name="20% - Accent1 62 2 3 2" xfId="20952" xr:uid="{00000000-0005-0000-0000-0000D0040000}"/>
    <cellStyle name="20% - Accent1 62 2 4" xfId="7670" xr:uid="{00000000-0005-0000-0000-0000D1040000}"/>
    <cellStyle name="20% - Accent1 62 2 4 2" xfId="18958" xr:uid="{00000000-0005-0000-0000-0000D2040000}"/>
    <cellStyle name="20% - Accent1 62 2 5" xfId="5676" xr:uid="{00000000-0005-0000-0000-0000D3040000}"/>
    <cellStyle name="20% - Accent1 62 2 5 2" xfId="16964" xr:uid="{00000000-0005-0000-0000-0000D4040000}"/>
    <cellStyle name="20% - Accent1 62 2 6" xfId="14970" xr:uid="{00000000-0005-0000-0000-0000D5040000}"/>
    <cellStyle name="20% - Accent1 62 3" xfId="10661" xr:uid="{00000000-0005-0000-0000-0000D6040000}"/>
    <cellStyle name="20% - Accent1 62 3 2" xfId="21949" xr:uid="{00000000-0005-0000-0000-0000D7040000}"/>
    <cellStyle name="20% - Accent1 62 4" xfId="8667" xr:uid="{00000000-0005-0000-0000-0000D8040000}"/>
    <cellStyle name="20% - Accent1 62 4 2" xfId="19955" xr:uid="{00000000-0005-0000-0000-0000D9040000}"/>
    <cellStyle name="20% - Accent1 62 5" xfId="6673" xr:uid="{00000000-0005-0000-0000-0000DA040000}"/>
    <cellStyle name="20% - Accent1 62 5 2" xfId="17961" xr:uid="{00000000-0005-0000-0000-0000DB040000}"/>
    <cellStyle name="20% - Accent1 62 6" xfId="4679" xr:uid="{00000000-0005-0000-0000-0000DC040000}"/>
    <cellStyle name="20% - Accent1 62 6 2" xfId="15967" xr:uid="{00000000-0005-0000-0000-0000DD040000}"/>
    <cellStyle name="20% - Accent1 62 7" xfId="13973" xr:uid="{00000000-0005-0000-0000-0000DE040000}"/>
    <cellStyle name="20% - Accent1 62 8" xfId="12659" xr:uid="{00000000-0005-0000-0000-0000DF040000}"/>
    <cellStyle name="20% - Accent1 63" xfId="724" xr:uid="{00000000-0005-0000-0000-0000E0040000}"/>
    <cellStyle name="20% - Accent1 63 2" xfId="3680" xr:uid="{00000000-0005-0000-0000-0000E1040000}"/>
    <cellStyle name="20% - Accent1 63 2 2" xfId="11659" xr:uid="{00000000-0005-0000-0000-0000E2040000}"/>
    <cellStyle name="20% - Accent1 63 2 2 2" xfId="22947" xr:uid="{00000000-0005-0000-0000-0000E3040000}"/>
    <cellStyle name="20% - Accent1 63 2 3" xfId="9665" xr:uid="{00000000-0005-0000-0000-0000E4040000}"/>
    <cellStyle name="20% - Accent1 63 2 3 2" xfId="20953" xr:uid="{00000000-0005-0000-0000-0000E5040000}"/>
    <cellStyle name="20% - Accent1 63 2 4" xfId="7671" xr:uid="{00000000-0005-0000-0000-0000E6040000}"/>
    <cellStyle name="20% - Accent1 63 2 4 2" xfId="18959" xr:uid="{00000000-0005-0000-0000-0000E7040000}"/>
    <cellStyle name="20% - Accent1 63 2 5" xfId="5677" xr:uid="{00000000-0005-0000-0000-0000E8040000}"/>
    <cellStyle name="20% - Accent1 63 2 5 2" xfId="16965" xr:uid="{00000000-0005-0000-0000-0000E9040000}"/>
    <cellStyle name="20% - Accent1 63 2 6" xfId="14971" xr:uid="{00000000-0005-0000-0000-0000EA040000}"/>
    <cellStyle name="20% - Accent1 63 3" xfId="10662" xr:uid="{00000000-0005-0000-0000-0000EB040000}"/>
    <cellStyle name="20% - Accent1 63 3 2" xfId="21950" xr:uid="{00000000-0005-0000-0000-0000EC040000}"/>
    <cellStyle name="20% - Accent1 63 4" xfId="8668" xr:uid="{00000000-0005-0000-0000-0000ED040000}"/>
    <cellStyle name="20% - Accent1 63 4 2" xfId="19956" xr:uid="{00000000-0005-0000-0000-0000EE040000}"/>
    <cellStyle name="20% - Accent1 63 5" xfId="6674" xr:uid="{00000000-0005-0000-0000-0000EF040000}"/>
    <cellStyle name="20% - Accent1 63 5 2" xfId="17962" xr:uid="{00000000-0005-0000-0000-0000F0040000}"/>
    <cellStyle name="20% - Accent1 63 6" xfId="4680" xr:uid="{00000000-0005-0000-0000-0000F1040000}"/>
    <cellStyle name="20% - Accent1 63 6 2" xfId="15968" xr:uid="{00000000-0005-0000-0000-0000F2040000}"/>
    <cellStyle name="20% - Accent1 63 7" xfId="13974" xr:uid="{00000000-0005-0000-0000-0000F3040000}"/>
    <cellStyle name="20% - Accent1 63 8" xfId="12660" xr:uid="{00000000-0005-0000-0000-0000F4040000}"/>
    <cellStyle name="20% - Accent1 64" xfId="725" xr:uid="{00000000-0005-0000-0000-0000F5040000}"/>
    <cellStyle name="20% - Accent1 64 2" xfId="3681" xr:uid="{00000000-0005-0000-0000-0000F6040000}"/>
    <cellStyle name="20% - Accent1 64 2 2" xfId="11660" xr:uid="{00000000-0005-0000-0000-0000F7040000}"/>
    <cellStyle name="20% - Accent1 64 2 2 2" xfId="22948" xr:uid="{00000000-0005-0000-0000-0000F8040000}"/>
    <cellStyle name="20% - Accent1 64 2 3" xfId="9666" xr:uid="{00000000-0005-0000-0000-0000F9040000}"/>
    <cellStyle name="20% - Accent1 64 2 3 2" xfId="20954" xr:uid="{00000000-0005-0000-0000-0000FA040000}"/>
    <cellStyle name="20% - Accent1 64 2 4" xfId="7672" xr:uid="{00000000-0005-0000-0000-0000FB040000}"/>
    <cellStyle name="20% - Accent1 64 2 4 2" xfId="18960" xr:uid="{00000000-0005-0000-0000-0000FC040000}"/>
    <cellStyle name="20% - Accent1 64 2 5" xfId="5678" xr:uid="{00000000-0005-0000-0000-0000FD040000}"/>
    <cellStyle name="20% - Accent1 64 2 5 2" xfId="16966" xr:uid="{00000000-0005-0000-0000-0000FE040000}"/>
    <cellStyle name="20% - Accent1 64 2 6" xfId="14972" xr:uid="{00000000-0005-0000-0000-0000FF040000}"/>
    <cellStyle name="20% - Accent1 64 3" xfId="10663" xr:uid="{00000000-0005-0000-0000-000000050000}"/>
    <cellStyle name="20% - Accent1 64 3 2" xfId="21951" xr:uid="{00000000-0005-0000-0000-000001050000}"/>
    <cellStyle name="20% - Accent1 64 4" xfId="8669" xr:uid="{00000000-0005-0000-0000-000002050000}"/>
    <cellStyle name="20% - Accent1 64 4 2" xfId="19957" xr:uid="{00000000-0005-0000-0000-000003050000}"/>
    <cellStyle name="20% - Accent1 64 5" xfId="6675" xr:uid="{00000000-0005-0000-0000-000004050000}"/>
    <cellStyle name="20% - Accent1 64 5 2" xfId="17963" xr:uid="{00000000-0005-0000-0000-000005050000}"/>
    <cellStyle name="20% - Accent1 64 6" xfId="4681" xr:uid="{00000000-0005-0000-0000-000006050000}"/>
    <cellStyle name="20% - Accent1 64 6 2" xfId="15969" xr:uid="{00000000-0005-0000-0000-000007050000}"/>
    <cellStyle name="20% - Accent1 64 7" xfId="13975" xr:uid="{00000000-0005-0000-0000-000008050000}"/>
    <cellStyle name="20% - Accent1 64 8" xfId="12661" xr:uid="{00000000-0005-0000-0000-000009050000}"/>
    <cellStyle name="20% - Accent1 65" xfId="726" xr:uid="{00000000-0005-0000-0000-00000A050000}"/>
    <cellStyle name="20% - Accent1 65 2" xfId="3682" xr:uid="{00000000-0005-0000-0000-00000B050000}"/>
    <cellStyle name="20% - Accent1 65 2 2" xfId="11661" xr:uid="{00000000-0005-0000-0000-00000C050000}"/>
    <cellStyle name="20% - Accent1 65 2 2 2" xfId="22949" xr:uid="{00000000-0005-0000-0000-00000D050000}"/>
    <cellStyle name="20% - Accent1 65 2 3" xfId="9667" xr:uid="{00000000-0005-0000-0000-00000E050000}"/>
    <cellStyle name="20% - Accent1 65 2 3 2" xfId="20955" xr:uid="{00000000-0005-0000-0000-00000F050000}"/>
    <cellStyle name="20% - Accent1 65 2 4" xfId="7673" xr:uid="{00000000-0005-0000-0000-000010050000}"/>
    <cellStyle name="20% - Accent1 65 2 4 2" xfId="18961" xr:uid="{00000000-0005-0000-0000-000011050000}"/>
    <cellStyle name="20% - Accent1 65 2 5" xfId="5679" xr:uid="{00000000-0005-0000-0000-000012050000}"/>
    <cellStyle name="20% - Accent1 65 2 5 2" xfId="16967" xr:uid="{00000000-0005-0000-0000-000013050000}"/>
    <cellStyle name="20% - Accent1 65 2 6" xfId="14973" xr:uid="{00000000-0005-0000-0000-000014050000}"/>
    <cellStyle name="20% - Accent1 65 3" xfId="10664" xr:uid="{00000000-0005-0000-0000-000015050000}"/>
    <cellStyle name="20% - Accent1 65 3 2" xfId="21952" xr:uid="{00000000-0005-0000-0000-000016050000}"/>
    <cellStyle name="20% - Accent1 65 4" xfId="8670" xr:uid="{00000000-0005-0000-0000-000017050000}"/>
    <cellStyle name="20% - Accent1 65 4 2" xfId="19958" xr:uid="{00000000-0005-0000-0000-000018050000}"/>
    <cellStyle name="20% - Accent1 65 5" xfId="6676" xr:uid="{00000000-0005-0000-0000-000019050000}"/>
    <cellStyle name="20% - Accent1 65 5 2" xfId="17964" xr:uid="{00000000-0005-0000-0000-00001A050000}"/>
    <cellStyle name="20% - Accent1 65 6" xfId="4682" xr:uid="{00000000-0005-0000-0000-00001B050000}"/>
    <cellStyle name="20% - Accent1 65 6 2" xfId="15970" xr:uid="{00000000-0005-0000-0000-00001C050000}"/>
    <cellStyle name="20% - Accent1 65 7" xfId="13976" xr:uid="{00000000-0005-0000-0000-00001D050000}"/>
    <cellStyle name="20% - Accent1 65 8" xfId="12662" xr:uid="{00000000-0005-0000-0000-00001E050000}"/>
    <cellStyle name="20% - Accent1 66" xfId="727" xr:uid="{00000000-0005-0000-0000-00001F050000}"/>
    <cellStyle name="20% - Accent1 66 2" xfId="3683" xr:uid="{00000000-0005-0000-0000-000020050000}"/>
    <cellStyle name="20% - Accent1 66 2 2" xfId="11662" xr:uid="{00000000-0005-0000-0000-000021050000}"/>
    <cellStyle name="20% - Accent1 66 2 2 2" xfId="22950" xr:uid="{00000000-0005-0000-0000-000022050000}"/>
    <cellStyle name="20% - Accent1 66 2 3" xfId="9668" xr:uid="{00000000-0005-0000-0000-000023050000}"/>
    <cellStyle name="20% - Accent1 66 2 3 2" xfId="20956" xr:uid="{00000000-0005-0000-0000-000024050000}"/>
    <cellStyle name="20% - Accent1 66 2 4" xfId="7674" xr:uid="{00000000-0005-0000-0000-000025050000}"/>
    <cellStyle name="20% - Accent1 66 2 4 2" xfId="18962" xr:uid="{00000000-0005-0000-0000-000026050000}"/>
    <cellStyle name="20% - Accent1 66 2 5" xfId="5680" xr:uid="{00000000-0005-0000-0000-000027050000}"/>
    <cellStyle name="20% - Accent1 66 2 5 2" xfId="16968" xr:uid="{00000000-0005-0000-0000-000028050000}"/>
    <cellStyle name="20% - Accent1 66 2 6" xfId="14974" xr:uid="{00000000-0005-0000-0000-000029050000}"/>
    <cellStyle name="20% - Accent1 66 3" xfId="10665" xr:uid="{00000000-0005-0000-0000-00002A050000}"/>
    <cellStyle name="20% - Accent1 66 3 2" xfId="21953" xr:uid="{00000000-0005-0000-0000-00002B050000}"/>
    <cellStyle name="20% - Accent1 66 4" xfId="8671" xr:uid="{00000000-0005-0000-0000-00002C050000}"/>
    <cellStyle name="20% - Accent1 66 4 2" xfId="19959" xr:uid="{00000000-0005-0000-0000-00002D050000}"/>
    <cellStyle name="20% - Accent1 66 5" xfId="6677" xr:uid="{00000000-0005-0000-0000-00002E050000}"/>
    <cellStyle name="20% - Accent1 66 5 2" xfId="17965" xr:uid="{00000000-0005-0000-0000-00002F050000}"/>
    <cellStyle name="20% - Accent1 66 6" xfId="4683" xr:uid="{00000000-0005-0000-0000-000030050000}"/>
    <cellStyle name="20% - Accent1 66 6 2" xfId="15971" xr:uid="{00000000-0005-0000-0000-000031050000}"/>
    <cellStyle name="20% - Accent1 66 7" xfId="13977" xr:uid="{00000000-0005-0000-0000-000032050000}"/>
    <cellStyle name="20% - Accent1 66 8" xfId="12663" xr:uid="{00000000-0005-0000-0000-000033050000}"/>
    <cellStyle name="20% - Accent1 67" xfId="728" xr:uid="{00000000-0005-0000-0000-000034050000}"/>
    <cellStyle name="20% - Accent1 67 2" xfId="3684" xr:uid="{00000000-0005-0000-0000-000035050000}"/>
    <cellStyle name="20% - Accent1 67 2 2" xfId="11663" xr:uid="{00000000-0005-0000-0000-000036050000}"/>
    <cellStyle name="20% - Accent1 67 2 2 2" xfId="22951" xr:uid="{00000000-0005-0000-0000-000037050000}"/>
    <cellStyle name="20% - Accent1 67 2 3" xfId="9669" xr:uid="{00000000-0005-0000-0000-000038050000}"/>
    <cellStyle name="20% - Accent1 67 2 3 2" xfId="20957" xr:uid="{00000000-0005-0000-0000-000039050000}"/>
    <cellStyle name="20% - Accent1 67 2 4" xfId="7675" xr:uid="{00000000-0005-0000-0000-00003A050000}"/>
    <cellStyle name="20% - Accent1 67 2 4 2" xfId="18963" xr:uid="{00000000-0005-0000-0000-00003B050000}"/>
    <cellStyle name="20% - Accent1 67 2 5" xfId="5681" xr:uid="{00000000-0005-0000-0000-00003C050000}"/>
    <cellStyle name="20% - Accent1 67 2 5 2" xfId="16969" xr:uid="{00000000-0005-0000-0000-00003D050000}"/>
    <cellStyle name="20% - Accent1 67 2 6" xfId="14975" xr:uid="{00000000-0005-0000-0000-00003E050000}"/>
    <cellStyle name="20% - Accent1 67 3" xfId="10666" xr:uid="{00000000-0005-0000-0000-00003F050000}"/>
    <cellStyle name="20% - Accent1 67 3 2" xfId="21954" xr:uid="{00000000-0005-0000-0000-000040050000}"/>
    <cellStyle name="20% - Accent1 67 4" xfId="8672" xr:uid="{00000000-0005-0000-0000-000041050000}"/>
    <cellStyle name="20% - Accent1 67 4 2" xfId="19960" xr:uid="{00000000-0005-0000-0000-000042050000}"/>
    <cellStyle name="20% - Accent1 67 5" xfId="6678" xr:uid="{00000000-0005-0000-0000-000043050000}"/>
    <cellStyle name="20% - Accent1 67 5 2" xfId="17966" xr:uid="{00000000-0005-0000-0000-000044050000}"/>
    <cellStyle name="20% - Accent1 67 6" xfId="4684" xr:uid="{00000000-0005-0000-0000-000045050000}"/>
    <cellStyle name="20% - Accent1 67 6 2" xfId="15972" xr:uid="{00000000-0005-0000-0000-000046050000}"/>
    <cellStyle name="20% - Accent1 67 7" xfId="13978" xr:uid="{00000000-0005-0000-0000-000047050000}"/>
    <cellStyle name="20% - Accent1 67 8" xfId="12664" xr:uid="{00000000-0005-0000-0000-000048050000}"/>
    <cellStyle name="20% - Accent1 68" xfId="729" xr:uid="{00000000-0005-0000-0000-000049050000}"/>
    <cellStyle name="20% - Accent1 68 2" xfId="3685" xr:uid="{00000000-0005-0000-0000-00004A050000}"/>
    <cellStyle name="20% - Accent1 68 2 2" xfId="11664" xr:uid="{00000000-0005-0000-0000-00004B050000}"/>
    <cellStyle name="20% - Accent1 68 2 2 2" xfId="22952" xr:uid="{00000000-0005-0000-0000-00004C050000}"/>
    <cellStyle name="20% - Accent1 68 2 3" xfId="9670" xr:uid="{00000000-0005-0000-0000-00004D050000}"/>
    <cellStyle name="20% - Accent1 68 2 3 2" xfId="20958" xr:uid="{00000000-0005-0000-0000-00004E050000}"/>
    <cellStyle name="20% - Accent1 68 2 4" xfId="7676" xr:uid="{00000000-0005-0000-0000-00004F050000}"/>
    <cellStyle name="20% - Accent1 68 2 4 2" xfId="18964" xr:uid="{00000000-0005-0000-0000-000050050000}"/>
    <cellStyle name="20% - Accent1 68 2 5" xfId="5682" xr:uid="{00000000-0005-0000-0000-000051050000}"/>
    <cellStyle name="20% - Accent1 68 2 5 2" xfId="16970" xr:uid="{00000000-0005-0000-0000-000052050000}"/>
    <cellStyle name="20% - Accent1 68 2 6" xfId="14976" xr:uid="{00000000-0005-0000-0000-000053050000}"/>
    <cellStyle name="20% - Accent1 68 3" xfId="10667" xr:uid="{00000000-0005-0000-0000-000054050000}"/>
    <cellStyle name="20% - Accent1 68 3 2" xfId="21955" xr:uid="{00000000-0005-0000-0000-000055050000}"/>
    <cellStyle name="20% - Accent1 68 4" xfId="8673" xr:uid="{00000000-0005-0000-0000-000056050000}"/>
    <cellStyle name="20% - Accent1 68 4 2" xfId="19961" xr:uid="{00000000-0005-0000-0000-000057050000}"/>
    <cellStyle name="20% - Accent1 68 5" xfId="6679" xr:uid="{00000000-0005-0000-0000-000058050000}"/>
    <cellStyle name="20% - Accent1 68 5 2" xfId="17967" xr:uid="{00000000-0005-0000-0000-000059050000}"/>
    <cellStyle name="20% - Accent1 68 6" xfId="4685" xr:uid="{00000000-0005-0000-0000-00005A050000}"/>
    <cellStyle name="20% - Accent1 68 6 2" xfId="15973" xr:uid="{00000000-0005-0000-0000-00005B050000}"/>
    <cellStyle name="20% - Accent1 68 7" xfId="13979" xr:uid="{00000000-0005-0000-0000-00005C050000}"/>
    <cellStyle name="20% - Accent1 68 8" xfId="12665" xr:uid="{00000000-0005-0000-0000-00005D050000}"/>
    <cellStyle name="20% - Accent1 69" xfId="730" xr:uid="{00000000-0005-0000-0000-00005E050000}"/>
    <cellStyle name="20% - Accent1 69 2" xfId="3686" xr:uid="{00000000-0005-0000-0000-00005F050000}"/>
    <cellStyle name="20% - Accent1 69 2 2" xfId="11665" xr:uid="{00000000-0005-0000-0000-000060050000}"/>
    <cellStyle name="20% - Accent1 69 2 2 2" xfId="22953" xr:uid="{00000000-0005-0000-0000-000061050000}"/>
    <cellStyle name="20% - Accent1 69 2 3" xfId="9671" xr:uid="{00000000-0005-0000-0000-000062050000}"/>
    <cellStyle name="20% - Accent1 69 2 3 2" xfId="20959" xr:uid="{00000000-0005-0000-0000-000063050000}"/>
    <cellStyle name="20% - Accent1 69 2 4" xfId="7677" xr:uid="{00000000-0005-0000-0000-000064050000}"/>
    <cellStyle name="20% - Accent1 69 2 4 2" xfId="18965" xr:uid="{00000000-0005-0000-0000-000065050000}"/>
    <cellStyle name="20% - Accent1 69 2 5" xfId="5683" xr:uid="{00000000-0005-0000-0000-000066050000}"/>
    <cellStyle name="20% - Accent1 69 2 5 2" xfId="16971" xr:uid="{00000000-0005-0000-0000-000067050000}"/>
    <cellStyle name="20% - Accent1 69 2 6" xfId="14977" xr:uid="{00000000-0005-0000-0000-000068050000}"/>
    <cellStyle name="20% - Accent1 69 3" xfId="10668" xr:uid="{00000000-0005-0000-0000-000069050000}"/>
    <cellStyle name="20% - Accent1 69 3 2" xfId="21956" xr:uid="{00000000-0005-0000-0000-00006A050000}"/>
    <cellStyle name="20% - Accent1 69 4" xfId="8674" xr:uid="{00000000-0005-0000-0000-00006B050000}"/>
    <cellStyle name="20% - Accent1 69 4 2" xfId="19962" xr:uid="{00000000-0005-0000-0000-00006C050000}"/>
    <cellStyle name="20% - Accent1 69 5" xfId="6680" xr:uid="{00000000-0005-0000-0000-00006D050000}"/>
    <cellStyle name="20% - Accent1 69 5 2" xfId="17968" xr:uid="{00000000-0005-0000-0000-00006E050000}"/>
    <cellStyle name="20% - Accent1 69 6" xfId="4686" xr:uid="{00000000-0005-0000-0000-00006F050000}"/>
    <cellStyle name="20% - Accent1 69 6 2" xfId="15974" xr:uid="{00000000-0005-0000-0000-000070050000}"/>
    <cellStyle name="20% - Accent1 69 7" xfId="13980" xr:uid="{00000000-0005-0000-0000-000071050000}"/>
    <cellStyle name="20% - Accent1 69 8" xfId="12666" xr:uid="{00000000-0005-0000-0000-000072050000}"/>
    <cellStyle name="20% - Accent1 7" xfId="731" xr:uid="{00000000-0005-0000-0000-000073050000}"/>
    <cellStyle name="20% - Accent1 7 10" xfId="24564" xr:uid="{00000000-0005-0000-0000-000074050000}"/>
    <cellStyle name="20% - Accent1 7 11" xfId="24954" xr:uid="{00000000-0005-0000-0000-000075050000}"/>
    <cellStyle name="20% - Accent1 7 2" xfId="3687" xr:uid="{00000000-0005-0000-0000-000076050000}"/>
    <cellStyle name="20% - Accent1 7 2 2" xfId="11666" xr:uid="{00000000-0005-0000-0000-000077050000}"/>
    <cellStyle name="20% - Accent1 7 2 2 2" xfId="22954" xr:uid="{00000000-0005-0000-0000-000078050000}"/>
    <cellStyle name="20% - Accent1 7 2 3" xfId="9672" xr:uid="{00000000-0005-0000-0000-000079050000}"/>
    <cellStyle name="20% - Accent1 7 2 3 2" xfId="20960" xr:uid="{00000000-0005-0000-0000-00007A050000}"/>
    <cellStyle name="20% - Accent1 7 2 4" xfId="7678" xr:uid="{00000000-0005-0000-0000-00007B050000}"/>
    <cellStyle name="20% - Accent1 7 2 4 2" xfId="18966" xr:uid="{00000000-0005-0000-0000-00007C050000}"/>
    <cellStyle name="20% - Accent1 7 2 5" xfId="5684" xr:uid="{00000000-0005-0000-0000-00007D050000}"/>
    <cellStyle name="20% - Accent1 7 2 5 2" xfId="16972" xr:uid="{00000000-0005-0000-0000-00007E050000}"/>
    <cellStyle name="20% - Accent1 7 2 6" xfId="14978" xr:uid="{00000000-0005-0000-0000-00007F050000}"/>
    <cellStyle name="20% - Accent1 7 2 7" xfId="24325" xr:uid="{00000000-0005-0000-0000-000080050000}"/>
    <cellStyle name="20% - Accent1 7 2 8" xfId="24789" xr:uid="{00000000-0005-0000-0000-000081050000}"/>
    <cellStyle name="20% - Accent1 7 2 9" xfId="25156" xr:uid="{00000000-0005-0000-0000-000082050000}"/>
    <cellStyle name="20% - Accent1 7 3" xfId="10669" xr:uid="{00000000-0005-0000-0000-000083050000}"/>
    <cellStyle name="20% - Accent1 7 3 2" xfId="21957" xr:uid="{00000000-0005-0000-0000-000084050000}"/>
    <cellStyle name="20% - Accent1 7 4" xfId="8675" xr:uid="{00000000-0005-0000-0000-000085050000}"/>
    <cellStyle name="20% - Accent1 7 4 2" xfId="19963" xr:uid="{00000000-0005-0000-0000-000086050000}"/>
    <cellStyle name="20% - Accent1 7 5" xfId="6681" xr:uid="{00000000-0005-0000-0000-000087050000}"/>
    <cellStyle name="20% - Accent1 7 5 2" xfId="17969" xr:uid="{00000000-0005-0000-0000-000088050000}"/>
    <cellStyle name="20% - Accent1 7 6" xfId="4687" xr:uid="{00000000-0005-0000-0000-000089050000}"/>
    <cellStyle name="20% - Accent1 7 6 2" xfId="15975" xr:uid="{00000000-0005-0000-0000-00008A050000}"/>
    <cellStyle name="20% - Accent1 7 7" xfId="13981" xr:uid="{00000000-0005-0000-0000-00008B050000}"/>
    <cellStyle name="20% - Accent1 7 8" xfId="12667" xr:uid="{00000000-0005-0000-0000-00008C050000}"/>
    <cellStyle name="20% - Accent1 7 9" xfId="23937" xr:uid="{00000000-0005-0000-0000-00008D050000}"/>
    <cellStyle name="20% - Accent1 70" xfId="732" xr:uid="{00000000-0005-0000-0000-00008E050000}"/>
    <cellStyle name="20% - Accent1 70 2" xfId="3688" xr:uid="{00000000-0005-0000-0000-00008F050000}"/>
    <cellStyle name="20% - Accent1 70 2 2" xfId="11667" xr:uid="{00000000-0005-0000-0000-000090050000}"/>
    <cellStyle name="20% - Accent1 70 2 2 2" xfId="22955" xr:uid="{00000000-0005-0000-0000-000091050000}"/>
    <cellStyle name="20% - Accent1 70 2 3" xfId="9673" xr:uid="{00000000-0005-0000-0000-000092050000}"/>
    <cellStyle name="20% - Accent1 70 2 3 2" xfId="20961" xr:uid="{00000000-0005-0000-0000-000093050000}"/>
    <cellStyle name="20% - Accent1 70 2 4" xfId="7679" xr:uid="{00000000-0005-0000-0000-000094050000}"/>
    <cellStyle name="20% - Accent1 70 2 4 2" xfId="18967" xr:uid="{00000000-0005-0000-0000-000095050000}"/>
    <cellStyle name="20% - Accent1 70 2 5" xfId="5685" xr:uid="{00000000-0005-0000-0000-000096050000}"/>
    <cellStyle name="20% - Accent1 70 2 5 2" xfId="16973" xr:uid="{00000000-0005-0000-0000-000097050000}"/>
    <cellStyle name="20% - Accent1 70 2 6" xfId="14979" xr:uid="{00000000-0005-0000-0000-000098050000}"/>
    <cellStyle name="20% - Accent1 70 3" xfId="10670" xr:uid="{00000000-0005-0000-0000-000099050000}"/>
    <cellStyle name="20% - Accent1 70 3 2" xfId="21958" xr:uid="{00000000-0005-0000-0000-00009A050000}"/>
    <cellStyle name="20% - Accent1 70 4" xfId="8676" xr:uid="{00000000-0005-0000-0000-00009B050000}"/>
    <cellStyle name="20% - Accent1 70 4 2" xfId="19964" xr:uid="{00000000-0005-0000-0000-00009C050000}"/>
    <cellStyle name="20% - Accent1 70 5" xfId="6682" xr:uid="{00000000-0005-0000-0000-00009D050000}"/>
    <cellStyle name="20% - Accent1 70 5 2" xfId="17970" xr:uid="{00000000-0005-0000-0000-00009E050000}"/>
    <cellStyle name="20% - Accent1 70 6" xfId="4688" xr:uid="{00000000-0005-0000-0000-00009F050000}"/>
    <cellStyle name="20% - Accent1 70 6 2" xfId="15976" xr:uid="{00000000-0005-0000-0000-0000A0050000}"/>
    <cellStyle name="20% - Accent1 70 7" xfId="13982" xr:uid="{00000000-0005-0000-0000-0000A1050000}"/>
    <cellStyle name="20% - Accent1 70 8" xfId="12668" xr:uid="{00000000-0005-0000-0000-0000A2050000}"/>
    <cellStyle name="20% - Accent1 71" xfId="733" xr:uid="{00000000-0005-0000-0000-0000A3050000}"/>
    <cellStyle name="20% - Accent1 71 2" xfId="3689" xr:uid="{00000000-0005-0000-0000-0000A4050000}"/>
    <cellStyle name="20% - Accent1 71 2 2" xfId="11668" xr:uid="{00000000-0005-0000-0000-0000A5050000}"/>
    <cellStyle name="20% - Accent1 71 2 2 2" xfId="22956" xr:uid="{00000000-0005-0000-0000-0000A6050000}"/>
    <cellStyle name="20% - Accent1 71 2 3" xfId="9674" xr:uid="{00000000-0005-0000-0000-0000A7050000}"/>
    <cellStyle name="20% - Accent1 71 2 3 2" xfId="20962" xr:uid="{00000000-0005-0000-0000-0000A8050000}"/>
    <cellStyle name="20% - Accent1 71 2 4" xfId="7680" xr:uid="{00000000-0005-0000-0000-0000A9050000}"/>
    <cellStyle name="20% - Accent1 71 2 4 2" xfId="18968" xr:uid="{00000000-0005-0000-0000-0000AA050000}"/>
    <cellStyle name="20% - Accent1 71 2 5" xfId="5686" xr:uid="{00000000-0005-0000-0000-0000AB050000}"/>
    <cellStyle name="20% - Accent1 71 2 5 2" xfId="16974" xr:uid="{00000000-0005-0000-0000-0000AC050000}"/>
    <cellStyle name="20% - Accent1 71 2 6" xfId="14980" xr:uid="{00000000-0005-0000-0000-0000AD050000}"/>
    <cellStyle name="20% - Accent1 71 3" xfId="10671" xr:uid="{00000000-0005-0000-0000-0000AE050000}"/>
    <cellStyle name="20% - Accent1 71 3 2" xfId="21959" xr:uid="{00000000-0005-0000-0000-0000AF050000}"/>
    <cellStyle name="20% - Accent1 71 4" xfId="8677" xr:uid="{00000000-0005-0000-0000-0000B0050000}"/>
    <cellStyle name="20% - Accent1 71 4 2" xfId="19965" xr:uid="{00000000-0005-0000-0000-0000B1050000}"/>
    <cellStyle name="20% - Accent1 71 5" xfId="6683" xr:uid="{00000000-0005-0000-0000-0000B2050000}"/>
    <cellStyle name="20% - Accent1 71 5 2" xfId="17971" xr:uid="{00000000-0005-0000-0000-0000B3050000}"/>
    <cellStyle name="20% - Accent1 71 6" xfId="4689" xr:uid="{00000000-0005-0000-0000-0000B4050000}"/>
    <cellStyle name="20% - Accent1 71 6 2" xfId="15977" xr:uid="{00000000-0005-0000-0000-0000B5050000}"/>
    <cellStyle name="20% - Accent1 71 7" xfId="13983" xr:uid="{00000000-0005-0000-0000-0000B6050000}"/>
    <cellStyle name="20% - Accent1 71 8" xfId="12669" xr:uid="{00000000-0005-0000-0000-0000B7050000}"/>
    <cellStyle name="20% - Accent1 72" xfId="734" xr:uid="{00000000-0005-0000-0000-0000B8050000}"/>
    <cellStyle name="20% - Accent1 72 2" xfId="3690" xr:uid="{00000000-0005-0000-0000-0000B9050000}"/>
    <cellStyle name="20% - Accent1 72 2 2" xfId="11669" xr:uid="{00000000-0005-0000-0000-0000BA050000}"/>
    <cellStyle name="20% - Accent1 72 2 2 2" xfId="22957" xr:uid="{00000000-0005-0000-0000-0000BB050000}"/>
    <cellStyle name="20% - Accent1 72 2 3" xfId="9675" xr:uid="{00000000-0005-0000-0000-0000BC050000}"/>
    <cellStyle name="20% - Accent1 72 2 3 2" xfId="20963" xr:uid="{00000000-0005-0000-0000-0000BD050000}"/>
    <cellStyle name="20% - Accent1 72 2 4" xfId="7681" xr:uid="{00000000-0005-0000-0000-0000BE050000}"/>
    <cellStyle name="20% - Accent1 72 2 4 2" xfId="18969" xr:uid="{00000000-0005-0000-0000-0000BF050000}"/>
    <cellStyle name="20% - Accent1 72 2 5" xfId="5687" xr:uid="{00000000-0005-0000-0000-0000C0050000}"/>
    <cellStyle name="20% - Accent1 72 2 5 2" xfId="16975" xr:uid="{00000000-0005-0000-0000-0000C1050000}"/>
    <cellStyle name="20% - Accent1 72 2 6" xfId="14981" xr:uid="{00000000-0005-0000-0000-0000C2050000}"/>
    <cellStyle name="20% - Accent1 72 3" xfId="10672" xr:uid="{00000000-0005-0000-0000-0000C3050000}"/>
    <cellStyle name="20% - Accent1 72 3 2" xfId="21960" xr:uid="{00000000-0005-0000-0000-0000C4050000}"/>
    <cellStyle name="20% - Accent1 72 4" xfId="8678" xr:uid="{00000000-0005-0000-0000-0000C5050000}"/>
    <cellStyle name="20% - Accent1 72 4 2" xfId="19966" xr:uid="{00000000-0005-0000-0000-0000C6050000}"/>
    <cellStyle name="20% - Accent1 72 5" xfId="6684" xr:uid="{00000000-0005-0000-0000-0000C7050000}"/>
    <cellStyle name="20% - Accent1 72 5 2" xfId="17972" xr:uid="{00000000-0005-0000-0000-0000C8050000}"/>
    <cellStyle name="20% - Accent1 72 6" xfId="4690" xr:uid="{00000000-0005-0000-0000-0000C9050000}"/>
    <cellStyle name="20% - Accent1 72 6 2" xfId="15978" xr:uid="{00000000-0005-0000-0000-0000CA050000}"/>
    <cellStyle name="20% - Accent1 72 7" xfId="13984" xr:uid="{00000000-0005-0000-0000-0000CB050000}"/>
    <cellStyle name="20% - Accent1 72 8" xfId="12670" xr:uid="{00000000-0005-0000-0000-0000CC050000}"/>
    <cellStyle name="20% - Accent1 8" xfId="735" xr:uid="{00000000-0005-0000-0000-0000CD050000}"/>
    <cellStyle name="20% - Accent1 8 2" xfId="3691" xr:uid="{00000000-0005-0000-0000-0000CE050000}"/>
    <cellStyle name="20% - Accent1 8 2 2" xfId="11670" xr:uid="{00000000-0005-0000-0000-0000CF050000}"/>
    <cellStyle name="20% - Accent1 8 2 2 2" xfId="22958" xr:uid="{00000000-0005-0000-0000-0000D0050000}"/>
    <cellStyle name="20% - Accent1 8 2 3" xfId="9676" xr:uid="{00000000-0005-0000-0000-0000D1050000}"/>
    <cellStyle name="20% - Accent1 8 2 3 2" xfId="20964" xr:uid="{00000000-0005-0000-0000-0000D2050000}"/>
    <cellStyle name="20% - Accent1 8 2 4" xfId="7682" xr:uid="{00000000-0005-0000-0000-0000D3050000}"/>
    <cellStyle name="20% - Accent1 8 2 4 2" xfId="18970" xr:uid="{00000000-0005-0000-0000-0000D4050000}"/>
    <cellStyle name="20% - Accent1 8 2 5" xfId="5688" xr:uid="{00000000-0005-0000-0000-0000D5050000}"/>
    <cellStyle name="20% - Accent1 8 2 5 2" xfId="16976" xr:uid="{00000000-0005-0000-0000-0000D6050000}"/>
    <cellStyle name="20% - Accent1 8 2 6" xfId="14982" xr:uid="{00000000-0005-0000-0000-0000D7050000}"/>
    <cellStyle name="20% - Accent1 8 3" xfId="10673" xr:uid="{00000000-0005-0000-0000-0000D8050000}"/>
    <cellStyle name="20% - Accent1 8 3 2" xfId="21961" xr:uid="{00000000-0005-0000-0000-0000D9050000}"/>
    <cellStyle name="20% - Accent1 8 4" xfId="8679" xr:uid="{00000000-0005-0000-0000-0000DA050000}"/>
    <cellStyle name="20% - Accent1 8 4 2" xfId="19967" xr:uid="{00000000-0005-0000-0000-0000DB050000}"/>
    <cellStyle name="20% - Accent1 8 5" xfId="6685" xr:uid="{00000000-0005-0000-0000-0000DC050000}"/>
    <cellStyle name="20% - Accent1 8 5 2" xfId="17973" xr:uid="{00000000-0005-0000-0000-0000DD050000}"/>
    <cellStyle name="20% - Accent1 8 6" xfId="4691" xr:uid="{00000000-0005-0000-0000-0000DE050000}"/>
    <cellStyle name="20% - Accent1 8 6 2" xfId="15979" xr:uid="{00000000-0005-0000-0000-0000DF050000}"/>
    <cellStyle name="20% - Accent1 8 7" xfId="13985" xr:uid="{00000000-0005-0000-0000-0000E0050000}"/>
    <cellStyle name="20% - Accent1 8 8" xfId="12671" xr:uid="{00000000-0005-0000-0000-0000E1050000}"/>
    <cellStyle name="20% - Accent1 9" xfId="736" xr:uid="{00000000-0005-0000-0000-0000E2050000}"/>
    <cellStyle name="20% - Accent1 9 2" xfId="3692" xr:uid="{00000000-0005-0000-0000-0000E3050000}"/>
    <cellStyle name="20% - Accent1 9 2 2" xfId="11671" xr:uid="{00000000-0005-0000-0000-0000E4050000}"/>
    <cellStyle name="20% - Accent1 9 2 2 2" xfId="22959" xr:uid="{00000000-0005-0000-0000-0000E5050000}"/>
    <cellStyle name="20% - Accent1 9 2 3" xfId="9677" xr:uid="{00000000-0005-0000-0000-0000E6050000}"/>
    <cellStyle name="20% - Accent1 9 2 3 2" xfId="20965" xr:uid="{00000000-0005-0000-0000-0000E7050000}"/>
    <cellStyle name="20% - Accent1 9 2 4" xfId="7683" xr:uid="{00000000-0005-0000-0000-0000E8050000}"/>
    <cellStyle name="20% - Accent1 9 2 4 2" xfId="18971" xr:uid="{00000000-0005-0000-0000-0000E9050000}"/>
    <cellStyle name="20% - Accent1 9 2 5" xfId="5689" xr:uid="{00000000-0005-0000-0000-0000EA050000}"/>
    <cellStyle name="20% - Accent1 9 2 5 2" xfId="16977" xr:uid="{00000000-0005-0000-0000-0000EB050000}"/>
    <cellStyle name="20% - Accent1 9 2 6" xfId="14983" xr:uid="{00000000-0005-0000-0000-0000EC050000}"/>
    <cellStyle name="20% - Accent1 9 3" xfId="10674" xr:uid="{00000000-0005-0000-0000-0000ED050000}"/>
    <cellStyle name="20% - Accent1 9 3 2" xfId="21962" xr:uid="{00000000-0005-0000-0000-0000EE050000}"/>
    <cellStyle name="20% - Accent1 9 4" xfId="8680" xr:uid="{00000000-0005-0000-0000-0000EF050000}"/>
    <cellStyle name="20% - Accent1 9 4 2" xfId="19968" xr:uid="{00000000-0005-0000-0000-0000F0050000}"/>
    <cellStyle name="20% - Accent1 9 5" xfId="6686" xr:uid="{00000000-0005-0000-0000-0000F1050000}"/>
    <cellStyle name="20% - Accent1 9 5 2" xfId="17974" xr:uid="{00000000-0005-0000-0000-0000F2050000}"/>
    <cellStyle name="20% - Accent1 9 6" xfId="4692" xr:uid="{00000000-0005-0000-0000-0000F3050000}"/>
    <cellStyle name="20% - Accent1 9 6 2" xfId="15980" xr:uid="{00000000-0005-0000-0000-0000F4050000}"/>
    <cellStyle name="20% - Accent1 9 7" xfId="13986" xr:uid="{00000000-0005-0000-0000-0000F5050000}"/>
    <cellStyle name="20% - Accent1 9 8" xfId="12672" xr:uid="{00000000-0005-0000-0000-0000F6050000}"/>
    <cellStyle name="20% - Accent2 10" xfId="737" xr:uid="{00000000-0005-0000-0000-0000F7050000}"/>
    <cellStyle name="20% - Accent2 10 2" xfId="3693" xr:uid="{00000000-0005-0000-0000-0000F8050000}"/>
    <cellStyle name="20% - Accent2 10 2 2" xfId="11672" xr:uid="{00000000-0005-0000-0000-0000F9050000}"/>
    <cellStyle name="20% - Accent2 10 2 2 2" xfId="22960" xr:uid="{00000000-0005-0000-0000-0000FA050000}"/>
    <cellStyle name="20% - Accent2 10 2 3" xfId="9678" xr:uid="{00000000-0005-0000-0000-0000FB050000}"/>
    <cellStyle name="20% - Accent2 10 2 3 2" xfId="20966" xr:uid="{00000000-0005-0000-0000-0000FC050000}"/>
    <cellStyle name="20% - Accent2 10 2 4" xfId="7684" xr:uid="{00000000-0005-0000-0000-0000FD050000}"/>
    <cellStyle name="20% - Accent2 10 2 4 2" xfId="18972" xr:uid="{00000000-0005-0000-0000-0000FE050000}"/>
    <cellStyle name="20% - Accent2 10 2 5" xfId="5690" xr:uid="{00000000-0005-0000-0000-0000FF050000}"/>
    <cellStyle name="20% - Accent2 10 2 5 2" xfId="16978" xr:uid="{00000000-0005-0000-0000-000000060000}"/>
    <cellStyle name="20% - Accent2 10 2 6" xfId="14984" xr:uid="{00000000-0005-0000-0000-000001060000}"/>
    <cellStyle name="20% - Accent2 10 3" xfId="10675" xr:uid="{00000000-0005-0000-0000-000002060000}"/>
    <cellStyle name="20% - Accent2 10 3 2" xfId="21963" xr:uid="{00000000-0005-0000-0000-000003060000}"/>
    <cellStyle name="20% - Accent2 10 4" xfId="8681" xr:uid="{00000000-0005-0000-0000-000004060000}"/>
    <cellStyle name="20% - Accent2 10 4 2" xfId="19969" xr:uid="{00000000-0005-0000-0000-000005060000}"/>
    <cellStyle name="20% - Accent2 10 5" xfId="6687" xr:uid="{00000000-0005-0000-0000-000006060000}"/>
    <cellStyle name="20% - Accent2 10 5 2" xfId="17975" xr:uid="{00000000-0005-0000-0000-000007060000}"/>
    <cellStyle name="20% - Accent2 10 6" xfId="4693" xr:uid="{00000000-0005-0000-0000-000008060000}"/>
    <cellStyle name="20% - Accent2 10 6 2" xfId="15981" xr:uid="{00000000-0005-0000-0000-000009060000}"/>
    <cellStyle name="20% - Accent2 10 7" xfId="13987" xr:uid="{00000000-0005-0000-0000-00000A060000}"/>
    <cellStyle name="20% - Accent2 10 8" xfId="12673" xr:uid="{00000000-0005-0000-0000-00000B060000}"/>
    <cellStyle name="20% - Accent2 11" xfId="738" xr:uid="{00000000-0005-0000-0000-00000C060000}"/>
    <cellStyle name="20% - Accent2 11 2" xfId="3694" xr:uid="{00000000-0005-0000-0000-00000D060000}"/>
    <cellStyle name="20% - Accent2 11 2 2" xfId="11673" xr:uid="{00000000-0005-0000-0000-00000E060000}"/>
    <cellStyle name="20% - Accent2 11 2 2 2" xfId="22961" xr:uid="{00000000-0005-0000-0000-00000F060000}"/>
    <cellStyle name="20% - Accent2 11 2 3" xfId="9679" xr:uid="{00000000-0005-0000-0000-000010060000}"/>
    <cellStyle name="20% - Accent2 11 2 3 2" xfId="20967" xr:uid="{00000000-0005-0000-0000-000011060000}"/>
    <cellStyle name="20% - Accent2 11 2 4" xfId="7685" xr:uid="{00000000-0005-0000-0000-000012060000}"/>
    <cellStyle name="20% - Accent2 11 2 4 2" xfId="18973" xr:uid="{00000000-0005-0000-0000-000013060000}"/>
    <cellStyle name="20% - Accent2 11 2 5" xfId="5691" xr:uid="{00000000-0005-0000-0000-000014060000}"/>
    <cellStyle name="20% - Accent2 11 2 5 2" xfId="16979" xr:uid="{00000000-0005-0000-0000-000015060000}"/>
    <cellStyle name="20% - Accent2 11 2 6" xfId="14985" xr:uid="{00000000-0005-0000-0000-000016060000}"/>
    <cellStyle name="20% - Accent2 11 3" xfId="10676" xr:uid="{00000000-0005-0000-0000-000017060000}"/>
    <cellStyle name="20% - Accent2 11 3 2" xfId="21964" xr:uid="{00000000-0005-0000-0000-000018060000}"/>
    <cellStyle name="20% - Accent2 11 4" xfId="8682" xr:uid="{00000000-0005-0000-0000-000019060000}"/>
    <cellStyle name="20% - Accent2 11 4 2" xfId="19970" xr:uid="{00000000-0005-0000-0000-00001A060000}"/>
    <cellStyle name="20% - Accent2 11 5" xfId="6688" xr:uid="{00000000-0005-0000-0000-00001B060000}"/>
    <cellStyle name="20% - Accent2 11 5 2" xfId="17976" xr:uid="{00000000-0005-0000-0000-00001C060000}"/>
    <cellStyle name="20% - Accent2 11 6" xfId="4694" xr:uid="{00000000-0005-0000-0000-00001D060000}"/>
    <cellStyle name="20% - Accent2 11 6 2" xfId="15982" xr:uid="{00000000-0005-0000-0000-00001E060000}"/>
    <cellStyle name="20% - Accent2 11 7" xfId="13988" xr:uid="{00000000-0005-0000-0000-00001F060000}"/>
    <cellStyle name="20% - Accent2 11 8" xfId="12674" xr:uid="{00000000-0005-0000-0000-000020060000}"/>
    <cellStyle name="20% - Accent2 12" xfId="739" xr:uid="{00000000-0005-0000-0000-000021060000}"/>
    <cellStyle name="20% - Accent2 12 2" xfId="3695" xr:uid="{00000000-0005-0000-0000-000022060000}"/>
    <cellStyle name="20% - Accent2 12 2 2" xfId="11674" xr:uid="{00000000-0005-0000-0000-000023060000}"/>
    <cellStyle name="20% - Accent2 12 2 2 2" xfId="22962" xr:uid="{00000000-0005-0000-0000-000024060000}"/>
    <cellStyle name="20% - Accent2 12 2 3" xfId="9680" xr:uid="{00000000-0005-0000-0000-000025060000}"/>
    <cellStyle name="20% - Accent2 12 2 3 2" xfId="20968" xr:uid="{00000000-0005-0000-0000-000026060000}"/>
    <cellStyle name="20% - Accent2 12 2 4" xfId="7686" xr:uid="{00000000-0005-0000-0000-000027060000}"/>
    <cellStyle name="20% - Accent2 12 2 4 2" xfId="18974" xr:uid="{00000000-0005-0000-0000-000028060000}"/>
    <cellStyle name="20% - Accent2 12 2 5" xfId="5692" xr:uid="{00000000-0005-0000-0000-000029060000}"/>
    <cellStyle name="20% - Accent2 12 2 5 2" xfId="16980" xr:uid="{00000000-0005-0000-0000-00002A060000}"/>
    <cellStyle name="20% - Accent2 12 2 6" xfId="14986" xr:uid="{00000000-0005-0000-0000-00002B060000}"/>
    <cellStyle name="20% - Accent2 12 3" xfId="10677" xr:uid="{00000000-0005-0000-0000-00002C060000}"/>
    <cellStyle name="20% - Accent2 12 3 2" xfId="21965" xr:uid="{00000000-0005-0000-0000-00002D060000}"/>
    <cellStyle name="20% - Accent2 12 4" xfId="8683" xr:uid="{00000000-0005-0000-0000-00002E060000}"/>
    <cellStyle name="20% - Accent2 12 4 2" xfId="19971" xr:uid="{00000000-0005-0000-0000-00002F060000}"/>
    <cellStyle name="20% - Accent2 12 5" xfId="6689" xr:uid="{00000000-0005-0000-0000-000030060000}"/>
    <cellStyle name="20% - Accent2 12 5 2" xfId="17977" xr:uid="{00000000-0005-0000-0000-000031060000}"/>
    <cellStyle name="20% - Accent2 12 6" xfId="4695" xr:uid="{00000000-0005-0000-0000-000032060000}"/>
    <cellStyle name="20% - Accent2 12 6 2" xfId="15983" xr:uid="{00000000-0005-0000-0000-000033060000}"/>
    <cellStyle name="20% - Accent2 12 7" xfId="13989" xr:uid="{00000000-0005-0000-0000-000034060000}"/>
    <cellStyle name="20% - Accent2 12 8" xfId="12675" xr:uid="{00000000-0005-0000-0000-000035060000}"/>
    <cellStyle name="20% - Accent2 13" xfId="740" xr:uid="{00000000-0005-0000-0000-000036060000}"/>
    <cellStyle name="20% - Accent2 13 2" xfId="3696" xr:uid="{00000000-0005-0000-0000-000037060000}"/>
    <cellStyle name="20% - Accent2 13 2 2" xfId="11675" xr:uid="{00000000-0005-0000-0000-000038060000}"/>
    <cellStyle name="20% - Accent2 13 2 2 2" xfId="22963" xr:uid="{00000000-0005-0000-0000-000039060000}"/>
    <cellStyle name="20% - Accent2 13 2 3" xfId="9681" xr:uid="{00000000-0005-0000-0000-00003A060000}"/>
    <cellStyle name="20% - Accent2 13 2 3 2" xfId="20969" xr:uid="{00000000-0005-0000-0000-00003B060000}"/>
    <cellStyle name="20% - Accent2 13 2 4" xfId="7687" xr:uid="{00000000-0005-0000-0000-00003C060000}"/>
    <cellStyle name="20% - Accent2 13 2 4 2" xfId="18975" xr:uid="{00000000-0005-0000-0000-00003D060000}"/>
    <cellStyle name="20% - Accent2 13 2 5" xfId="5693" xr:uid="{00000000-0005-0000-0000-00003E060000}"/>
    <cellStyle name="20% - Accent2 13 2 5 2" xfId="16981" xr:uid="{00000000-0005-0000-0000-00003F060000}"/>
    <cellStyle name="20% - Accent2 13 2 6" xfId="14987" xr:uid="{00000000-0005-0000-0000-000040060000}"/>
    <cellStyle name="20% - Accent2 13 3" xfId="10678" xr:uid="{00000000-0005-0000-0000-000041060000}"/>
    <cellStyle name="20% - Accent2 13 3 2" xfId="21966" xr:uid="{00000000-0005-0000-0000-000042060000}"/>
    <cellStyle name="20% - Accent2 13 4" xfId="8684" xr:uid="{00000000-0005-0000-0000-000043060000}"/>
    <cellStyle name="20% - Accent2 13 4 2" xfId="19972" xr:uid="{00000000-0005-0000-0000-000044060000}"/>
    <cellStyle name="20% - Accent2 13 5" xfId="6690" xr:uid="{00000000-0005-0000-0000-000045060000}"/>
    <cellStyle name="20% - Accent2 13 5 2" xfId="17978" xr:uid="{00000000-0005-0000-0000-000046060000}"/>
    <cellStyle name="20% - Accent2 13 6" xfId="4696" xr:uid="{00000000-0005-0000-0000-000047060000}"/>
    <cellStyle name="20% - Accent2 13 6 2" xfId="15984" xr:uid="{00000000-0005-0000-0000-000048060000}"/>
    <cellStyle name="20% - Accent2 13 7" xfId="13990" xr:uid="{00000000-0005-0000-0000-000049060000}"/>
    <cellStyle name="20% - Accent2 13 8" xfId="12676" xr:uid="{00000000-0005-0000-0000-00004A060000}"/>
    <cellStyle name="20% - Accent2 14" xfId="741" xr:uid="{00000000-0005-0000-0000-00004B060000}"/>
    <cellStyle name="20% - Accent2 14 2" xfId="3697" xr:uid="{00000000-0005-0000-0000-00004C060000}"/>
    <cellStyle name="20% - Accent2 14 2 2" xfId="11676" xr:uid="{00000000-0005-0000-0000-00004D060000}"/>
    <cellStyle name="20% - Accent2 14 2 2 2" xfId="22964" xr:uid="{00000000-0005-0000-0000-00004E060000}"/>
    <cellStyle name="20% - Accent2 14 2 3" xfId="9682" xr:uid="{00000000-0005-0000-0000-00004F060000}"/>
    <cellStyle name="20% - Accent2 14 2 3 2" xfId="20970" xr:uid="{00000000-0005-0000-0000-000050060000}"/>
    <cellStyle name="20% - Accent2 14 2 4" xfId="7688" xr:uid="{00000000-0005-0000-0000-000051060000}"/>
    <cellStyle name="20% - Accent2 14 2 4 2" xfId="18976" xr:uid="{00000000-0005-0000-0000-000052060000}"/>
    <cellStyle name="20% - Accent2 14 2 5" xfId="5694" xr:uid="{00000000-0005-0000-0000-000053060000}"/>
    <cellStyle name="20% - Accent2 14 2 5 2" xfId="16982" xr:uid="{00000000-0005-0000-0000-000054060000}"/>
    <cellStyle name="20% - Accent2 14 2 6" xfId="14988" xr:uid="{00000000-0005-0000-0000-000055060000}"/>
    <cellStyle name="20% - Accent2 14 3" xfId="10679" xr:uid="{00000000-0005-0000-0000-000056060000}"/>
    <cellStyle name="20% - Accent2 14 3 2" xfId="21967" xr:uid="{00000000-0005-0000-0000-000057060000}"/>
    <cellStyle name="20% - Accent2 14 4" xfId="8685" xr:uid="{00000000-0005-0000-0000-000058060000}"/>
    <cellStyle name="20% - Accent2 14 4 2" xfId="19973" xr:uid="{00000000-0005-0000-0000-000059060000}"/>
    <cellStyle name="20% - Accent2 14 5" xfId="6691" xr:uid="{00000000-0005-0000-0000-00005A060000}"/>
    <cellStyle name="20% - Accent2 14 5 2" xfId="17979" xr:uid="{00000000-0005-0000-0000-00005B060000}"/>
    <cellStyle name="20% - Accent2 14 6" xfId="4697" xr:uid="{00000000-0005-0000-0000-00005C060000}"/>
    <cellStyle name="20% - Accent2 14 6 2" xfId="15985" xr:uid="{00000000-0005-0000-0000-00005D060000}"/>
    <cellStyle name="20% - Accent2 14 7" xfId="13991" xr:uid="{00000000-0005-0000-0000-00005E060000}"/>
    <cellStyle name="20% - Accent2 14 8" xfId="12677" xr:uid="{00000000-0005-0000-0000-00005F060000}"/>
    <cellStyle name="20% - Accent2 15" xfId="742" xr:uid="{00000000-0005-0000-0000-000060060000}"/>
    <cellStyle name="20% - Accent2 15 2" xfId="3698" xr:uid="{00000000-0005-0000-0000-000061060000}"/>
    <cellStyle name="20% - Accent2 15 2 2" xfId="11677" xr:uid="{00000000-0005-0000-0000-000062060000}"/>
    <cellStyle name="20% - Accent2 15 2 2 2" xfId="22965" xr:uid="{00000000-0005-0000-0000-000063060000}"/>
    <cellStyle name="20% - Accent2 15 2 3" xfId="9683" xr:uid="{00000000-0005-0000-0000-000064060000}"/>
    <cellStyle name="20% - Accent2 15 2 3 2" xfId="20971" xr:uid="{00000000-0005-0000-0000-000065060000}"/>
    <cellStyle name="20% - Accent2 15 2 4" xfId="7689" xr:uid="{00000000-0005-0000-0000-000066060000}"/>
    <cellStyle name="20% - Accent2 15 2 4 2" xfId="18977" xr:uid="{00000000-0005-0000-0000-000067060000}"/>
    <cellStyle name="20% - Accent2 15 2 5" xfId="5695" xr:uid="{00000000-0005-0000-0000-000068060000}"/>
    <cellStyle name="20% - Accent2 15 2 5 2" xfId="16983" xr:uid="{00000000-0005-0000-0000-000069060000}"/>
    <cellStyle name="20% - Accent2 15 2 6" xfId="14989" xr:uid="{00000000-0005-0000-0000-00006A060000}"/>
    <cellStyle name="20% - Accent2 15 3" xfId="10680" xr:uid="{00000000-0005-0000-0000-00006B060000}"/>
    <cellStyle name="20% - Accent2 15 3 2" xfId="21968" xr:uid="{00000000-0005-0000-0000-00006C060000}"/>
    <cellStyle name="20% - Accent2 15 4" xfId="8686" xr:uid="{00000000-0005-0000-0000-00006D060000}"/>
    <cellStyle name="20% - Accent2 15 4 2" xfId="19974" xr:uid="{00000000-0005-0000-0000-00006E060000}"/>
    <cellStyle name="20% - Accent2 15 5" xfId="6692" xr:uid="{00000000-0005-0000-0000-00006F060000}"/>
    <cellStyle name="20% - Accent2 15 5 2" xfId="17980" xr:uid="{00000000-0005-0000-0000-000070060000}"/>
    <cellStyle name="20% - Accent2 15 6" xfId="4698" xr:uid="{00000000-0005-0000-0000-000071060000}"/>
    <cellStyle name="20% - Accent2 15 6 2" xfId="15986" xr:uid="{00000000-0005-0000-0000-000072060000}"/>
    <cellStyle name="20% - Accent2 15 7" xfId="13992" xr:uid="{00000000-0005-0000-0000-000073060000}"/>
    <cellStyle name="20% - Accent2 15 8" xfId="12678" xr:uid="{00000000-0005-0000-0000-000074060000}"/>
    <cellStyle name="20% - Accent2 16" xfId="743" xr:uid="{00000000-0005-0000-0000-000075060000}"/>
    <cellStyle name="20% - Accent2 16 2" xfId="3699" xr:uid="{00000000-0005-0000-0000-000076060000}"/>
    <cellStyle name="20% - Accent2 16 2 2" xfId="11678" xr:uid="{00000000-0005-0000-0000-000077060000}"/>
    <cellStyle name="20% - Accent2 16 2 2 2" xfId="22966" xr:uid="{00000000-0005-0000-0000-000078060000}"/>
    <cellStyle name="20% - Accent2 16 2 3" xfId="9684" xr:uid="{00000000-0005-0000-0000-000079060000}"/>
    <cellStyle name="20% - Accent2 16 2 3 2" xfId="20972" xr:uid="{00000000-0005-0000-0000-00007A060000}"/>
    <cellStyle name="20% - Accent2 16 2 4" xfId="7690" xr:uid="{00000000-0005-0000-0000-00007B060000}"/>
    <cellStyle name="20% - Accent2 16 2 4 2" xfId="18978" xr:uid="{00000000-0005-0000-0000-00007C060000}"/>
    <cellStyle name="20% - Accent2 16 2 5" xfId="5696" xr:uid="{00000000-0005-0000-0000-00007D060000}"/>
    <cellStyle name="20% - Accent2 16 2 5 2" xfId="16984" xr:uid="{00000000-0005-0000-0000-00007E060000}"/>
    <cellStyle name="20% - Accent2 16 2 6" xfId="14990" xr:uid="{00000000-0005-0000-0000-00007F060000}"/>
    <cellStyle name="20% - Accent2 16 3" xfId="10681" xr:uid="{00000000-0005-0000-0000-000080060000}"/>
    <cellStyle name="20% - Accent2 16 3 2" xfId="21969" xr:uid="{00000000-0005-0000-0000-000081060000}"/>
    <cellStyle name="20% - Accent2 16 4" xfId="8687" xr:uid="{00000000-0005-0000-0000-000082060000}"/>
    <cellStyle name="20% - Accent2 16 4 2" xfId="19975" xr:uid="{00000000-0005-0000-0000-000083060000}"/>
    <cellStyle name="20% - Accent2 16 5" xfId="6693" xr:uid="{00000000-0005-0000-0000-000084060000}"/>
    <cellStyle name="20% - Accent2 16 5 2" xfId="17981" xr:uid="{00000000-0005-0000-0000-000085060000}"/>
    <cellStyle name="20% - Accent2 16 6" xfId="4699" xr:uid="{00000000-0005-0000-0000-000086060000}"/>
    <cellStyle name="20% - Accent2 16 6 2" xfId="15987" xr:uid="{00000000-0005-0000-0000-000087060000}"/>
    <cellStyle name="20% - Accent2 16 7" xfId="13993" xr:uid="{00000000-0005-0000-0000-000088060000}"/>
    <cellStyle name="20% - Accent2 16 8" xfId="12679" xr:uid="{00000000-0005-0000-0000-000089060000}"/>
    <cellStyle name="20% - Accent2 17" xfId="744" xr:uid="{00000000-0005-0000-0000-00008A060000}"/>
    <cellStyle name="20% - Accent2 17 2" xfId="3700" xr:uid="{00000000-0005-0000-0000-00008B060000}"/>
    <cellStyle name="20% - Accent2 17 2 2" xfId="11679" xr:uid="{00000000-0005-0000-0000-00008C060000}"/>
    <cellStyle name="20% - Accent2 17 2 2 2" xfId="22967" xr:uid="{00000000-0005-0000-0000-00008D060000}"/>
    <cellStyle name="20% - Accent2 17 2 3" xfId="9685" xr:uid="{00000000-0005-0000-0000-00008E060000}"/>
    <cellStyle name="20% - Accent2 17 2 3 2" xfId="20973" xr:uid="{00000000-0005-0000-0000-00008F060000}"/>
    <cellStyle name="20% - Accent2 17 2 4" xfId="7691" xr:uid="{00000000-0005-0000-0000-000090060000}"/>
    <cellStyle name="20% - Accent2 17 2 4 2" xfId="18979" xr:uid="{00000000-0005-0000-0000-000091060000}"/>
    <cellStyle name="20% - Accent2 17 2 5" xfId="5697" xr:uid="{00000000-0005-0000-0000-000092060000}"/>
    <cellStyle name="20% - Accent2 17 2 5 2" xfId="16985" xr:uid="{00000000-0005-0000-0000-000093060000}"/>
    <cellStyle name="20% - Accent2 17 2 6" xfId="14991" xr:uid="{00000000-0005-0000-0000-000094060000}"/>
    <cellStyle name="20% - Accent2 17 3" xfId="10682" xr:uid="{00000000-0005-0000-0000-000095060000}"/>
    <cellStyle name="20% - Accent2 17 3 2" xfId="21970" xr:uid="{00000000-0005-0000-0000-000096060000}"/>
    <cellStyle name="20% - Accent2 17 4" xfId="8688" xr:uid="{00000000-0005-0000-0000-000097060000}"/>
    <cellStyle name="20% - Accent2 17 4 2" xfId="19976" xr:uid="{00000000-0005-0000-0000-000098060000}"/>
    <cellStyle name="20% - Accent2 17 5" xfId="6694" xr:uid="{00000000-0005-0000-0000-000099060000}"/>
    <cellStyle name="20% - Accent2 17 5 2" xfId="17982" xr:uid="{00000000-0005-0000-0000-00009A060000}"/>
    <cellStyle name="20% - Accent2 17 6" xfId="4700" xr:uid="{00000000-0005-0000-0000-00009B060000}"/>
    <cellStyle name="20% - Accent2 17 6 2" xfId="15988" xr:uid="{00000000-0005-0000-0000-00009C060000}"/>
    <cellStyle name="20% - Accent2 17 7" xfId="13994" xr:uid="{00000000-0005-0000-0000-00009D060000}"/>
    <cellStyle name="20% - Accent2 17 8" xfId="12680" xr:uid="{00000000-0005-0000-0000-00009E060000}"/>
    <cellStyle name="20% - Accent2 18" xfId="745" xr:uid="{00000000-0005-0000-0000-00009F060000}"/>
    <cellStyle name="20% - Accent2 18 2" xfId="3701" xr:uid="{00000000-0005-0000-0000-0000A0060000}"/>
    <cellStyle name="20% - Accent2 18 2 2" xfId="11680" xr:uid="{00000000-0005-0000-0000-0000A1060000}"/>
    <cellStyle name="20% - Accent2 18 2 2 2" xfId="22968" xr:uid="{00000000-0005-0000-0000-0000A2060000}"/>
    <cellStyle name="20% - Accent2 18 2 3" xfId="9686" xr:uid="{00000000-0005-0000-0000-0000A3060000}"/>
    <cellStyle name="20% - Accent2 18 2 3 2" xfId="20974" xr:uid="{00000000-0005-0000-0000-0000A4060000}"/>
    <cellStyle name="20% - Accent2 18 2 4" xfId="7692" xr:uid="{00000000-0005-0000-0000-0000A5060000}"/>
    <cellStyle name="20% - Accent2 18 2 4 2" xfId="18980" xr:uid="{00000000-0005-0000-0000-0000A6060000}"/>
    <cellStyle name="20% - Accent2 18 2 5" xfId="5698" xr:uid="{00000000-0005-0000-0000-0000A7060000}"/>
    <cellStyle name="20% - Accent2 18 2 5 2" xfId="16986" xr:uid="{00000000-0005-0000-0000-0000A8060000}"/>
    <cellStyle name="20% - Accent2 18 2 6" xfId="14992" xr:uid="{00000000-0005-0000-0000-0000A9060000}"/>
    <cellStyle name="20% - Accent2 18 3" xfId="10683" xr:uid="{00000000-0005-0000-0000-0000AA060000}"/>
    <cellStyle name="20% - Accent2 18 3 2" xfId="21971" xr:uid="{00000000-0005-0000-0000-0000AB060000}"/>
    <cellStyle name="20% - Accent2 18 4" xfId="8689" xr:uid="{00000000-0005-0000-0000-0000AC060000}"/>
    <cellStyle name="20% - Accent2 18 4 2" xfId="19977" xr:uid="{00000000-0005-0000-0000-0000AD060000}"/>
    <cellStyle name="20% - Accent2 18 5" xfId="6695" xr:uid="{00000000-0005-0000-0000-0000AE060000}"/>
    <cellStyle name="20% - Accent2 18 5 2" xfId="17983" xr:uid="{00000000-0005-0000-0000-0000AF060000}"/>
    <cellStyle name="20% - Accent2 18 6" xfId="4701" xr:uid="{00000000-0005-0000-0000-0000B0060000}"/>
    <cellStyle name="20% - Accent2 18 6 2" xfId="15989" xr:uid="{00000000-0005-0000-0000-0000B1060000}"/>
    <cellStyle name="20% - Accent2 18 7" xfId="13995" xr:uid="{00000000-0005-0000-0000-0000B2060000}"/>
    <cellStyle name="20% - Accent2 18 8" xfId="12681" xr:uid="{00000000-0005-0000-0000-0000B3060000}"/>
    <cellStyle name="20% - Accent2 19" xfId="746" xr:uid="{00000000-0005-0000-0000-0000B4060000}"/>
    <cellStyle name="20% - Accent2 19 2" xfId="3702" xr:uid="{00000000-0005-0000-0000-0000B5060000}"/>
    <cellStyle name="20% - Accent2 19 2 2" xfId="11681" xr:uid="{00000000-0005-0000-0000-0000B6060000}"/>
    <cellStyle name="20% - Accent2 19 2 2 2" xfId="22969" xr:uid="{00000000-0005-0000-0000-0000B7060000}"/>
    <cellStyle name="20% - Accent2 19 2 3" xfId="9687" xr:uid="{00000000-0005-0000-0000-0000B8060000}"/>
    <cellStyle name="20% - Accent2 19 2 3 2" xfId="20975" xr:uid="{00000000-0005-0000-0000-0000B9060000}"/>
    <cellStyle name="20% - Accent2 19 2 4" xfId="7693" xr:uid="{00000000-0005-0000-0000-0000BA060000}"/>
    <cellStyle name="20% - Accent2 19 2 4 2" xfId="18981" xr:uid="{00000000-0005-0000-0000-0000BB060000}"/>
    <cellStyle name="20% - Accent2 19 2 5" xfId="5699" xr:uid="{00000000-0005-0000-0000-0000BC060000}"/>
    <cellStyle name="20% - Accent2 19 2 5 2" xfId="16987" xr:uid="{00000000-0005-0000-0000-0000BD060000}"/>
    <cellStyle name="20% - Accent2 19 2 6" xfId="14993" xr:uid="{00000000-0005-0000-0000-0000BE060000}"/>
    <cellStyle name="20% - Accent2 19 3" xfId="10684" xr:uid="{00000000-0005-0000-0000-0000BF060000}"/>
    <cellStyle name="20% - Accent2 19 3 2" xfId="21972" xr:uid="{00000000-0005-0000-0000-0000C0060000}"/>
    <cellStyle name="20% - Accent2 19 4" xfId="8690" xr:uid="{00000000-0005-0000-0000-0000C1060000}"/>
    <cellStyle name="20% - Accent2 19 4 2" xfId="19978" xr:uid="{00000000-0005-0000-0000-0000C2060000}"/>
    <cellStyle name="20% - Accent2 19 5" xfId="6696" xr:uid="{00000000-0005-0000-0000-0000C3060000}"/>
    <cellStyle name="20% - Accent2 19 5 2" xfId="17984" xr:uid="{00000000-0005-0000-0000-0000C4060000}"/>
    <cellStyle name="20% - Accent2 19 6" xfId="4702" xr:uid="{00000000-0005-0000-0000-0000C5060000}"/>
    <cellStyle name="20% - Accent2 19 6 2" xfId="15990" xr:uid="{00000000-0005-0000-0000-0000C6060000}"/>
    <cellStyle name="20% - Accent2 19 7" xfId="13996" xr:uid="{00000000-0005-0000-0000-0000C7060000}"/>
    <cellStyle name="20% - Accent2 19 8" xfId="12682" xr:uid="{00000000-0005-0000-0000-0000C8060000}"/>
    <cellStyle name="20% - Accent2 2" xfId="747" xr:uid="{00000000-0005-0000-0000-0000C9060000}"/>
    <cellStyle name="20% - Accent2 2 10" xfId="24565" xr:uid="{00000000-0005-0000-0000-0000CA060000}"/>
    <cellStyle name="20% - Accent2 2 11" xfId="24955" xr:uid="{00000000-0005-0000-0000-0000CB060000}"/>
    <cellStyle name="20% - Accent2 2 2" xfId="3703" xr:uid="{00000000-0005-0000-0000-0000CC060000}"/>
    <cellStyle name="20% - Accent2 2 2 2" xfId="11682" xr:uid="{00000000-0005-0000-0000-0000CD060000}"/>
    <cellStyle name="20% - Accent2 2 2 2 2" xfId="22970" xr:uid="{00000000-0005-0000-0000-0000CE060000}"/>
    <cellStyle name="20% - Accent2 2 2 3" xfId="9688" xr:uid="{00000000-0005-0000-0000-0000CF060000}"/>
    <cellStyle name="20% - Accent2 2 2 3 2" xfId="20976" xr:uid="{00000000-0005-0000-0000-0000D0060000}"/>
    <cellStyle name="20% - Accent2 2 2 4" xfId="7694" xr:uid="{00000000-0005-0000-0000-0000D1060000}"/>
    <cellStyle name="20% - Accent2 2 2 4 2" xfId="18982" xr:uid="{00000000-0005-0000-0000-0000D2060000}"/>
    <cellStyle name="20% - Accent2 2 2 5" xfId="5700" xr:uid="{00000000-0005-0000-0000-0000D3060000}"/>
    <cellStyle name="20% - Accent2 2 2 5 2" xfId="16988" xr:uid="{00000000-0005-0000-0000-0000D4060000}"/>
    <cellStyle name="20% - Accent2 2 2 6" xfId="14994" xr:uid="{00000000-0005-0000-0000-0000D5060000}"/>
    <cellStyle name="20% - Accent2 2 2 7" xfId="24326" xr:uid="{00000000-0005-0000-0000-0000D6060000}"/>
    <cellStyle name="20% - Accent2 2 2 8" xfId="24790" xr:uid="{00000000-0005-0000-0000-0000D7060000}"/>
    <cellStyle name="20% - Accent2 2 2 9" xfId="25157" xr:uid="{00000000-0005-0000-0000-0000D8060000}"/>
    <cellStyle name="20% - Accent2 2 3" xfId="10685" xr:uid="{00000000-0005-0000-0000-0000D9060000}"/>
    <cellStyle name="20% - Accent2 2 3 2" xfId="21973" xr:uid="{00000000-0005-0000-0000-0000DA060000}"/>
    <cellStyle name="20% - Accent2 2 4" xfId="8691" xr:uid="{00000000-0005-0000-0000-0000DB060000}"/>
    <cellStyle name="20% - Accent2 2 4 2" xfId="19979" xr:uid="{00000000-0005-0000-0000-0000DC060000}"/>
    <cellStyle name="20% - Accent2 2 5" xfId="6697" xr:uid="{00000000-0005-0000-0000-0000DD060000}"/>
    <cellStyle name="20% - Accent2 2 5 2" xfId="17985" xr:uid="{00000000-0005-0000-0000-0000DE060000}"/>
    <cellStyle name="20% - Accent2 2 6" xfId="4703" xr:uid="{00000000-0005-0000-0000-0000DF060000}"/>
    <cellStyle name="20% - Accent2 2 6 2" xfId="15991" xr:uid="{00000000-0005-0000-0000-0000E0060000}"/>
    <cellStyle name="20% - Accent2 2 7" xfId="13997" xr:uid="{00000000-0005-0000-0000-0000E1060000}"/>
    <cellStyle name="20% - Accent2 2 8" xfId="12683" xr:uid="{00000000-0005-0000-0000-0000E2060000}"/>
    <cellStyle name="20% - Accent2 2 9" xfId="23938" xr:uid="{00000000-0005-0000-0000-0000E3060000}"/>
    <cellStyle name="20% - Accent2 20" xfId="748" xr:uid="{00000000-0005-0000-0000-0000E4060000}"/>
    <cellStyle name="20% - Accent2 20 2" xfId="3704" xr:uid="{00000000-0005-0000-0000-0000E5060000}"/>
    <cellStyle name="20% - Accent2 20 2 2" xfId="11683" xr:uid="{00000000-0005-0000-0000-0000E6060000}"/>
    <cellStyle name="20% - Accent2 20 2 2 2" xfId="22971" xr:uid="{00000000-0005-0000-0000-0000E7060000}"/>
    <cellStyle name="20% - Accent2 20 2 3" xfId="9689" xr:uid="{00000000-0005-0000-0000-0000E8060000}"/>
    <cellStyle name="20% - Accent2 20 2 3 2" xfId="20977" xr:uid="{00000000-0005-0000-0000-0000E9060000}"/>
    <cellStyle name="20% - Accent2 20 2 4" xfId="7695" xr:uid="{00000000-0005-0000-0000-0000EA060000}"/>
    <cellStyle name="20% - Accent2 20 2 4 2" xfId="18983" xr:uid="{00000000-0005-0000-0000-0000EB060000}"/>
    <cellStyle name="20% - Accent2 20 2 5" xfId="5701" xr:uid="{00000000-0005-0000-0000-0000EC060000}"/>
    <cellStyle name="20% - Accent2 20 2 5 2" xfId="16989" xr:uid="{00000000-0005-0000-0000-0000ED060000}"/>
    <cellStyle name="20% - Accent2 20 2 6" xfId="14995" xr:uid="{00000000-0005-0000-0000-0000EE060000}"/>
    <cellStyle name="20% - Accent2 20 3" xfId="10686" xr:uid="{00000000-0005-0000-0000-0000EF060000}"/>
    <cellStyle name="20% - Accent2 20 3 2" xfId="21974" xr:uid="{00000000-0005-0000-0000-0000F0060000}"/>
    <cellStyle name="20% - Accent2 20 4" xfId="8692" xr:uid="{00000000-0005-0000-0000-0000F1060000}"/>
    <cellStyle name="20% - Accent2 20 4 2" xfId="19980" xr:uid="{00000000-0005-0000-0000-0000F2060000}"/>
    <cellStyle name="20% - Accent2 20 5" xfId="6698" xr:uid="{00000000-0005-0000-0000-0000F3060000}"/>
    <cellStyle name="20% - Accent2 20 5 2" xfId="17986" xr:uid="{00000000-0005-0000-0000-0000F4060000}"/>
    <cellStyle name="20% - Accent2 20 6" xfId="4704" xr:uid="{00000000-0005-0000-0000-0000F5060000}"/>
    <cellStyle name="20% - Accent2 20 6 2" xfId="15992" xr:uid="{00000000-0005-0000-0000-0000F6060000}"/>
    <cellStyle name="20% - Accent2 20 7" xfId="13998" xr:uid="{00000000-0005-0000-0000-0000F7060000}"/>
    <cellStyle name="20% - Accent2 20 8" xfId="12684" xr:uid="{00000000-0005-0000-0000-0000F8060000}"/>
    <cellStyle name="20% - Accent2 21" xfId="749" xr:uid="{00000000-0005-0000-0000-0000F9060000}"/>
    <cellStyle name="20% - Accent2 21 2" xfId="3705" xr:uid="{00000000-0005-0000-0000-0000FA060000}"/>
    <cellStyle name="20% - Accent2 21 2 2" xfId="11684" xr:uid="{00000000-0005-0000-0000-0000FB060000}"/>
    <cellStyle name="20% - Accent2 21 2 2 2" xfId="22972" xr:uid="{00000000-0005-0000-0000-0000FC060000}"/>
    <cellStyle name="20% - Accent2 21 2 3" xfId="9690" xr:uid="{00000000-0005-0000-0000-0000FD060000}"/>
    <cellStyle name="20% - Accent2 21 2 3 2" xfId="20978" xr:uid="{00000000-0005-0000-0000-0000FE060000}"/>
    <cellStyle name="20% - Accent2 21 2 4" xfId="7696" xr:uid="{00000000-0005-0000-0000-0000FF060000}"/>
    <cellStyle name="20% - Accent2 21 2 4 2" xfId="18984" xr:uid="{00000000-0005-0000-0000-000000070000}"/>
    <cellStyle name="20% - Accent2 21 2 5" xfId="5702" xr:uid="{00000000-0005-0000-0000-000001070000}"/>
    <cellStyle name="20% - Accent2 21 2 5 2" xfId="16990" xr:uid="{00000000-0005-0000-0000-000002070000}"/>
    <cellStyle name="20% - Accent2 21 2 6" xfId="14996" xr:uid="{00000000-0005-0000-0000-000003070000}"/>
    <cellStyle name="20% - Accent2 21 3" xfId="10687" xr:uid="{00000000-0005-0000-0000-000004070000}"/>
    <cellStyle name="20% - Accent2 21 3 2" xfId="21975" xr:uid="{00000000-0005-0000-0000-000005070000}"/>
    <cellStyle name="20% - Accent2 21 4" xfId="8693" xr:uid="{00000000-0005-0000-0000-000006070000}"/>
    <cellStyle name="20% - Accent2 21 4 2" xfId="19981" xr:uid="{00000000-0005-0000-0000-000007070000}"/>
    <cellStyle name="20% - Accent2 21 5" xfId="6699" xr:uid="{00000000-0005-0000-0000-000008070000}"/>
    <cellStyle name="20% - Accent2 21 5 2" xfId="17987" xr:uid="{00000000-0005-0000-0000-000009070000}"/>
    <cellStyle name="20% - Accent2 21 6" xfId="4705" xr:uid="{00000000-0005-0000-0000-00000A070000}"/>
    <cellStyle name="20% - Accent2 21 6 2" xfId="15993" xr:uid="{00000000-0005-0000-0000-00000B070000}"/>
    <cellStyle name="20% - Accent2 21 7" xfId="13999" xr:uid="{00000000-0005-0000-0000-00000C070000}"/>
    <cellStyle name="20% - Accent2 21 8" xfId="12685" xr:uid="{00000000-0005-0000-0000-00000D070000}"/>
    <cellStyle name="20% - Accent2 22" xfId="750" xr:uid="{00000000-0005-0000-0000-00000E070000}"/>
    <cellStyle name="20% - Accent2 22 2" xfId="3706" xr:uid="{00000000-0005-0000-0000-00000F070000}"/>
    <cellStyle name="20% - Accent2 22 2 2" xfId="11685" xr:uid="{00000000-0005-0000-0000-000010070000}"/>
    <cellStyle name="20% - Accent2 22 2 2 2" xfId="22973" xr:uid="{00000000-0005-0000-0000-000011070000}"/>
    <cellStyle name="20% - Accent2 22 2 3" xfId="9691" xr:uid="{00000000-0005-0000-0000-000012070000}"/>
    <cellStyle name="20% - Accent2 22 2 3 2" xfId="20979" xr:uid="{00000000-0005-0000-0000-000013070000}"/>
    <cellStyle name="20% - Accent2 22 2 4" xfId="7697" xr:uid="{00000000-0005-0000-0000-000014070000}"/>
    <cellStyle name="20% - Accent2 22 2 4 2" xfId="18985" xr:uid="{00000000-0005-0000-0000-000015070000}"/>
    <cellStyle name="20% - Accent2 22 2 5" xfId="5703" xr:uid="{00000000-0005-0000-0000-000016070000}"/>
    <cellStyle name="20% - Accent2 22 2 5 2" xfId="16991" xr:uid="{00000000-0005-0000-0000-000017070000}"/>
    <cellStyle name="20% - Accent2 22 2 6" xfId="14997" xr:uid="{00000000-0005-0000-0000-000018070000}"/>
    <cellStyle name="20% - Accent2 22 3" xfId="10688" xr:uid="{00000000-0005-0000-0000-000019070000}"/>
    <cellStyle name="20% - Accent2 22 3 2" xfId="21976" xr:uid="{00000000-0005-0000-0000-00001A070000}"/>
    <cellStyle name="20% - Accent2 22 4" xfId="8694" xr:uid="{00000000-0005-0000-0000-00001B070000}"/>
    <cellStyle name="20% - Accent2 22 4 2" xfId="19982" xr:uid="{00000000-0005-0000-0000-00001C070000}"/>
    <cellStyle name="20% - Accent2 22 5" xfId="6700" xr:uid="{00000000-0005-0000-0000-00001D070000}"/>
    <cellStyle name="20% - Accent2 22 5 2" xfId="17988" xr:uid="{00000000-0005-0000-0000-00001E070000}"/>
    <cellStyle name="20% - Accent2 22 6" xfId="4706" xr:uid="{00000000-0005-0000-0000-00001F070000}"/>
    <cellStyle name="20% - Accent2 22 6 2" xfId="15994" xr:uid="{00000000-0005-0000-0000-000020070000}"/>
    <cellStyle name="20% - Accent2 22 7" xfId="14000" xr:uid="{00000000-0005-0000-0000-000021070000}"/>
    <cellStyle name="20% - Accent2 22 8" xfId="12686" xr:uid="{00000000-0005-0000-0000-000022070000}"/>
    <cellStyle name="20% - Accent2 23" xfId="751" xr:uid="{00000000-0005-0000-0000-000023070000}"/>
    <cellStyle name="20% - Accent2 23 2" xfId="3707" xr:uid="{00000000-0005-0000-0000-000024070000}"/>
    <cellStyle name="20% - Accent2 23 2 2" xfId="11686" xr:uid="{00000000-0005-0000-0000-000025070000}"/>
    <cellStyle name="20% - Accent2 23 2 2 2" xfId="22974" xr:uid="{00000000-0005-0000-0000-000026070000}"/>
    <cellStyle name="20% - Accent2 23 2 3" xfId="9692" xr:uid="{00000000-0005-0000-0000-000027070000}"/>
    <cellStyle name="20% - Accent2 23 2 3 2" xfId="20980" xr:uid="{00000000-0005-0000-0000-000028070000}"/>
    <cellStyle name="20% - Accent2 23 2 4" xfId="7698" xr:uid="{00000000-0005-0000-0000-000029070000}"/>
    <cellStyle name="20% - Accent2 23 2 4 2" xfId="18986" xr:uid="{00000000-0005-0000-0000-00002A070000}"/>
    <cellStyle name="20% - Accent2 23 2 5" xfId="5704" xr:uid="{00000000-0005-0000-0000-00002B070000}"/>
    <cellStyle name="20% - Accent2 23 2 5 2" xfId="16992" xr:uid="{00000000-0005-0000-0000-00002C070000}"/>
    <cellStyle name="20% - Accent2 23 2 6" xfId="14998" xr:uid="{00000000-0005-0000-0000-00002D070000}"/>
    <cellStyle name="20% - Accent2 23 3" xfId="10689" xr:uid="{00000000-0005-0000-0000-00002E070000}"/>
    <cellStyle name="20% - Accent2 23 3 2" xfId="21977" xr:uid="{00000000-0005-0000-0000-00002F070000}"/>
    <cellStyle name="20% - Accent2 23 4" xfId="8695" xr:uid="{00000000-0005-0000-0000-000030070000}"/>
    <cellStyle name="20% - Accent2 23 4 2" xfId="19983" xr:uid="{00000000-0005-0000-0000-000031070000}"/>
    <cellStyle name="20% - Accent2 23 5" xfId="6701" xr:uid="{00000000-0005-0000-0000-000032070000}"/>
    <cellStyle name="20% - Accent2 23 5 2" xfId="17989" xr:uid="{00000000-0005-0000-0000-000033070000}"/>
    <cellStyle name="20% - Accent2 23 6" xfId="4707" xr:uid="{00000000-0005-0000-0000-000034070000}"/>
    <cellStyle name="20% - Accent2 23 6 2" xfId="15995" xr:uid="{00000000-0005-0000-0000-000035070000}"/>
    <cellStyle name="20% - Accent2 23 7" xfId="14001" xr:uid="{00000000-0005-0000-0000-000036070000}"/>
    <cellStyle name="20% - Accent2 23 8" xfId="12687" xr:uid="{00000000-0005-0000-0000-000037070000}"/>
    <cellStyle name="20% - Accent2 24" xfId="752" xr:uid="{00000000-0005-0000-0000-000038070000}"/>
    <cellStyle name="20% - Accent2 24 2" xfId="3708" xr:uid="{00000000-0005-0000-0000-000039070000}"/>
    <cellStyle name="20% - Accent2 24 2 2" xfId="11687" xr:uid="{00000000-0005-0000-0000-00003A070000}"/>
    <cellStyle name="20% - Accent2 24 2 2 2" xfId="22975" xr:uid="{00000000-0005-0000-0000-00003B070000}"/>
    <cellStyle name="20% - Accent2 24 2 3" xfId="9693" xr:uid="{00000000-0005-0000-0000-00003C070000}"/>
    <cellStyle name="20% - Accent2 24 2 3 2" xfId="20981" xr:uid="{00000000-0005-0000-0000-00003D070000}"/>
    <cellStyle name="20% - Accent2 24 2 4" xfId="7699" xr:uid="{00000000-0005-0000-0000-00003E070000}"/>
    <cellStyle name="20% - Accent2 24 2 4 2" xfId="18987" xr:uid="{00000000-0005-0000-0000-00003F070000}"/>
    <cellStyle name="20% - Accent2 24 2 5" xfId="5705" xr:uid="{00000000-0005-0000-0000-000040070000}"/>
    <cellStyle name="20% - Accent2 24 2 5 2" xfId="16993" xr:uid="{00000000-0005-0000-0000-000041070000}"/>
    <cellStyle name="20% - Accent2 24 2 6" xfId="14999" xr:uid="{00000000-0005-0000-0000-000042070000}"/>
    <cellStyle name="20% - Accent2 24 3" xfId="10690" xr:uid="{00000000-0005-0000-0000-000043070000}"/>
    <cellStyle name="20% - Accent2 24 3 2" xfId="21978" xr:uid="{00000000-0005-0000-0000-000044070000}"/>
    <cellStyle name="20% - Accent2 24 4" xfId="8696" xr:uid="{00000000-0005-0000-0000-000045070000}"/>
    <cellStyle name="20% - Accent2 24 4 2" xfId="19984" xr:uid="{00000000-0005-0000-0000-000046070000}"/>
    <cellStyle name="20% - Accent2 24 5" xfId="6702" xr:uid="{00000000-0005-0000-0000-000047070000}"/>
    <cellStyle name="20% - Accent2 24 5 2" xfId="17990" xr:uid="{00000000-0005-0000-0000-000048070000}"/>
    <cellStyle name="20% - Accent2 24 6" xfId="4708" xr:uid="{00000000-0005-0000-0000-000049070000}"/>
    <cellStyle name="20% - Accent2 24 6 2" xfId="15996" xr:uid="{00000000-0005-0000-0000-00004A070000}"/>
    <cellStyle name="20% - Accent2 24 7" xfId="14002" xr:uid="{00000000-0005-0000-0000-00004B070000}"/>
    <cellStyle name="20% - Accent2 24 8" xfId="12688" xr:uid="{00000000-0005-0000-0000-00004C070000}"/>
    <cellStyle name="20% - Accent2 25" xfId="753" xr:uid="{00000000-0005-0000-0000-00004D070000}"/>
    <cellStyle name="20% - Accent2 25 2" xfId="3709" xr:uid="{00000000-0005-0000-0000-00004E070000}"/>
    <cellStyle name="20% - Accent2 25 2 2" xfId="11688" xr:uid="{00000000-0005-0000-0000-00004F070000}"/>
    <cellStyle name="20% - Accent2 25 2 2 2" xfId="22976" xr:uid="{00000000-0005-0000-0000-000050070000}"/>
    <cellStyle name="20% - Accent2 25 2 3" xfId="9694" xr:uid="{00000000-0005-0000-0000-000051070000}"/>
    <cellStyle name="20% - Accent2 25 2 3 2" xfId="20982" xr:uid="{00000000-0005-0000-0000-000052070000}"/>
    <cellStyle name="20% - Accent2 25 2 4" xfId="7700" xr:uid="{00000000-0005-0000-0000-000053070000}"/>
    <cellStyle name="20% - Accent2 25 2 4 2" xfId="18988" xr:uid="{00000000-0005-0000-0000-000054070000}"/>
    <cellStyle name="20% - Accent2 25 2 5" xfId="5706" xr:uid="{00000000-0005-0000-0000-000055070000}"/>
    <cellStyle name="20% - Accent2 25 2 5 2" xfId="16994" xr:uid="{00000000-0005-0000-0000-000056070000}"/>
    <cellStyle name="20% - Accent2 25 2 6" xfId="15000" xr:uid="{00000000-0005-0000-0000-000057070000}"/>
    <cellStyle name="20% - Accent2 25 3" xfId="10691" xr:uid="{00000000-0005-0000-0000-000058070000}"/>
    <cellStyle name="20% - Accent2 25 3 2" xfId="21979" xr:uid="{00000000-0005-0000-0000-000059070000}"/>
    <cellStyle name="20% - Accent2 25 4" xfId="8697" xr:uid="{00000000-0005-0000-0000-00005A070000}"/>
    <cellStyle name="20% - Accent2 25 4 2" xfId="19985" xr:uid="{00000000-0005-0000-0000-00005B070000}"/>
    <cellStyle name="20% - Accent2 25 5" xfId="6703" xr:uid="{00000000-0005-0000-0000-00005C070000}"/>
    <cellStyle name="20% - Accent2 25 5 2" xfId="17991" xr:uid="{00000000-0005-0000-0000-00005D070000}"/>
    <cellStyle name="20% - Accent2 25 6" xfId="4709" xr:uid="{00000000-0005-0000-0000-00005E070000}"/>
    <cellStyle name="20% - Accent2 25 6 2" xfId="15997" xr:uid="{00000000-0005-0000-0000-00005F070000}"/>
    <cellStyle name="20% - Accent2 25 7" xfId="14003" xr:uid="{00000000-0005-0000-0000-000060070000}"/>
    <cellStyle name="20% - Accent2 25 8" xfId="12689" xr:uid="{00000000-0005-0000-0000-000061070000}"/>
    <cellStyle name="20% - Accent2 26" xfId="754" xr:uid="{00000000-0005-0000-0000-000062070000}"/>
    <cellStyle name="20% - Accent2 26 2" xfId="3710" xr:uid="{00000000-0005-0000-0000-000063070000}"/>
    <cellStyle name="20% - Accent2 26 2 2" xfId="11689" xr:uid="{00000000-0005-0000-0000-000064070000}"/>
    <cellStyle name="20% - Accent2 26 2 2 2" xfId="22977" xr:uid="{00000000-0005-0000-0000-000065070000}"/>
    <cellStyle name="20% - Accent2 26 2 3" xfId="9695" xr:uid="{00000000-0005-0000-0000-000066070000}"/>
    <cellStyle name="20% - Accent2 26 2 3 2" xfId="20983" xr:uid="{00000000-0005-0000-0000-000067070000}"/>
    <cellStyle name="20% - Accent2 26 2 4" xfId="7701" xr:uid="{00000000-0005-0000-0000-000068070000}"/>
    <cellStyle name="20% - Accent2 26 2 4 2" xfId="18989" xr:uid="{00000000-0005-0000-0000-000069070000}"/>
    <cellStyle name="20% - Accent2 26 2 5" xfId="5707" xr:uid="{00000000-0005-0000-0000-00006A070000}"/>
    <cellStyle name="20% - Accent2 26 2 5 2" xfId="16995" xr:uid="{00000000-0005-0000-0000-00006B070000}"/>
    <cellStyle name="20% - Accent2 26 2 6" xfId="15001" xr:uid="{00000000-0005-0000-0000-00006C070000}"/>
    <cellStyle name="20% - Accent2 26 3" xfId="10692" xr:uid="{00000000-0005-0000-0000-00006D070000}"/>
    <cellStyle name="20% - Accent2 26 3 2" xfId="21980" xr:uid="{00000000-0005-0000-0000-00006E070000}"/>
    <cellStyle name="20% - Accent2 26 4" xfId="8698" xr:uid="{00000000-0005-0000-0000-00006F070000}"/>
    <cellStyle name="20% - Accent2 26 4 2" xfId="19986" xr:uid="{00000000-0005-0000-0000-000070070000}"/>
    <cellStyle name="20% - Accent2 26 5" xfId="6704" xr:uid="{00000000-0005-0000-0000-000071070000}"/>
    <cellStyle name="20% - Accent2 26 5 2" xfId="17992" xr:uid="{00000000-0005-0000-0000-000072070000}"/>
    <cellStyle name="20% - Accent2 26 6" xfId="4710" xr:uid="{00000000-0005-0000-0000-000073070000}"/>
    <cellStyle name="20% - Accent2 26 6 2" xfId="15998" xr:uid="{00000000-0005-0000-0000-000074070000}"/>
    <cellStyle name="20% - Accent2 26 7" xfId="14004" xr:uid="{00000000-0005-0000-0000-000075070000}"/>
    <cellStyle name="20% - Accent2 26 8" xfId="12690" xr:uid="{00000000-0005-0000-0000-000076070000}"/>
    <cellStyle name="20% - Accent2 27" xfId="755" xr:uid="{00000000-0005-0000-0000-000077070000}"/>
    <cellStyle name="20% - Accent2 27 2" xfId="3711" xr:uid="{00000000-0005-0000-0000-000078070000}"/>
    <cellStyle name="20% - Accent2 27 2 2" xfId="11690" xr:uid="{00000000-0005-0000-0000-000079070000}"/>
    <cellStyle name="20% - Accent2 27 2 2 2" xfId="22978" xr:uid="{00000000-0005-0000-0000-00007A070000}"/>
    <cellStyle name="20% - Accent2 27 2 3" xfId="9696" xr:uid="{00000000-0005-0000-0000-00007B070000}"/>
    <cellStyle name="20% - Accent2 27 2 3 2" xfId="20984" xr:uid="{00000000-0005-0000-0000-00007C070000}"/>
    <cellStyle name="20% - Accent2 27 2 4" xfId="7702" xr:uid="{00000000-0005-0000-0000-00007D070000}"/>
    <cellStyle name="20% - Accent2 27 2 4 2" xfId="18990" xr:uid="{00000000-0005-0000-0000-00007E070000}"/>
    <cellStyle name="20% - Accent2 27 2 5" xfId="5708" xr:uid="{00000000-0005-0000-0000-00007F070000}"/>
    <cellStyle name="20% - Accent2 27 2 5 2" xfId="16996" xr:uid="{00000000-0005-0000-0000-000080070000}"/>
    <cellStyle name="20% - Accent2 27 2 6" xfId="15002" xr:uid="{00000000-0005-0000-0000-000081070000}"/>
    <cellStyle name="20% - Accent2 27 3" xfId="10693" xr:uid="{00000000-0005-0000-0000-000082070000}"/>
    <cellStyle name="20% - Accent2 27 3 2" xfId="21981" xr:uid="{00000000-0005-0000-0000-000083070000}"/>
    <cellStyle name="20% - Accent2 27 4" xfId="8699" xr:uid="{00000000-0005-0000-0000-000084070000}"/>
    <cellStyle name="20% - Accent2 27 4 2" xfId="19987" xr:uid="{00000000-0005-0000-0000-000085070000}"/>
    <cellStyle name="20% - Accent2 27 5" xfId="6705" xr:uid="{00000000-0005-0000-0000-000086070000}"/>
    <cellStyle name="20% - Accent2 27 5 2" xfId="17993" xr:uid="{00000000-0005-0000-0000-000087070000}"/>
    <cellStyle name="20% - Accent2 27 6" xfId="4711" xr:uid="{00000000-0005-0000-0000-000088070000}"/>
    <cellStyle name="20% - Accent2 27 6 2" xfId="15999" xr:uid="{00000000-0005-0000-0000-000089070000}"/>
    <cellStyle name="20% - Accent2 27 7" xfId="14005" xr:uid="{00000000-0005-0000-0000-00008A070000}"/>
    <cellStyle name="20% - Accent2 27 8" xfId="12691" xr:uid="{00000000-0005-0000-0000-00008B070000}"/>
    <cellStyle name="20% - Accent2 28" xfId="756" xr:uid="{00000000-0005-0000-0000-00008C070000}"/>
    <cellStyle name="20% - Accent2 28 2" xfId="3712" xr:uid="{00000000-0005-0000-0000-00008D070000}"/>
    <cellStyle name="20% - Accent2 28 2 2" xfId="11691" xr:uid="{00000000-0005-0000-0000-00008E070000}"/>
    <cellStyle name="20% - Accent2 28 2 2 2" xfId="22979" xr:uid="{00000000-0005-0000-0000-00008F070000}"/>
    <cellStyle name="20% - Accent2 28 2 3" xfId="9697" xr:uid="{00000000-0005-0000-0000-000090070000}"/>
    <cellStyle name="20% - Accent2 28 2 3 2" xfId="20985" xr:uid="{00000000-0005-0000-0000-000091070000}"/>
    <cellStyle name="20% - Accent2 28 2 4" xfId="7703" xr:uid="{00000000-0005-0000-0000-000092070000}"/>
    <cellStyle name="20% - Accent2 28 2 4 2" xfId="18991" xr:uid="{00000000-0005-0000-0000-000093070000}"/>
    <cellStyle name="20% - Accent2 28 2 5" xfId="5709" xr:uid="{00000000-0005-0000-0000-000094070000}"/>
    <cellStyle name="20% - Accent2 28 2 5 2" xfId="16997" xr:uid="{00000000-0005-0000-0000-000095070000}"/>
    <cellStyle name="20% - Accent2 28 2 6" xfId="15003" xr:uid="{00000000-0005-0000-0000-000096070000}"/>
    <cellStyle name="20% - Accent2 28 3" xfId="10694" xr:uid="{00000000-0005-0000-0000-000097070000}"/>
    <cellStyle name="20% - Accent2 28 3 2" xfId="21982" xr:uid="{00000000-0005-0000-0000-000098070000}"/>
    <cellStyle name="20% - Accent2 28 4" xfId="8700" xr:uid="{00000000-0005-0000-0000-000099070000}"/>
    <cellStyle name="20% - Accent2 28 4 2" xfId="19988" xr:uid="{00000000-0005-0000-0000-00009A070000}"/>
    <cellStyle name="20% - Accent2 28 5" xfId="6706" xr:uid="{00000000-0005-0000-0000-00009B070000}"/>
    <cellStyle name="20% - Accent2 28 5 2" xfId="17994" xr:uid="{00000000-0005-0000-0000-00009C070000}"/>
    <cellStyle name="20% - Accent2 28 6" xfId="4712" xr:uid="{00000000-0005-0000-0000-00009D070000}"/>
    <cellStyle name="20% - Accent2 28 6 2" xfId="16000" xr:uid="{00000000-0005-0000-0000-00009E070000}"/>
    <cellStyle name="20% - Accent2 28 7" xfId="14006" xr:uid="{00000000-0005-0000-0000-00009F070000}"/>
    <cellStyle name="20% - Accent2 28 8" xfId="12692" xr:uid="{00000000-0005-0000-0000-0000A0070000}"/>
    <cellStyle name="20% - Accent2 29" xfId="757" xr:uid="{00000000-0005-0000-0000-0000A1070000}"/>
    <cellStyle name="20% - Accent2 29 2" xfId="3713" xr:uid="{00000000-0005-0000-0000-0000A2070000}"/>
    <cellStyle name="20% - Accent2 29 2 2" xfId="11692" xr:uid="{00000000-0005-0000-0000-0000A3070000}"/>
    <cellStyle name="20% - Accent2 29 2 2 2" xfId="22980" xr:uid="{00000000-0005-0000-0000-0000A4070000}"/>
    <cellStyle name="20% - Accent2 29 2 3" xfId="9698" xr:uid="{00000000-0005-0000-0000-0000A5070000}"/>
    <cellStyle name="20% - Accent2 29 2 3 2" xfId="20986" xr:uid="{00000000-0005-0000-0000-0000A6070000}"/>
    <cellStyle name="20% - Accent2 29 2 4" xfId="7704" xr:uid="{00000000-0005-0000-0000-0000A7070000}"/>
    <cellStyle name="20% - Accent2 29 2 4 2" xfId="18992" xr:uid="{00000000-0005-0000-0000-0000A8070000}"/>
    <cellStyle name="20% - Accent2 29 2 5" xfId="5710" xr:uid="{00000000-0005-0000-0000-0000A9070000}"/>
    <cellStyle name="20% - Accent2 29 2 5 2" xfId="16998" xr:uid="{00000000-0005-0000-0000-0000AA070000}"/>
    <cellStyle name="20% - Accent2 29 2 6" xfId="15004" xr:uid="{00000000-0005-0000-0000-0000AB070000}"/>
    <cellStyle name="20% - Accent2 29 3" xfId="10695" xr:uid="{00000000-0005-0000-0000-0000AC070000}"/>
    <cellStyle name="20% - Accent2 29 3 2" xfId="21983" xr:uid="{00000000-0005-0000-0000-0000AD070000}"/>
    <cellStyle name="20% - Accent2 29 4" xfId="8701" xr:uid="{00000000-0005-0000-0000-0000AE070000}"/>
    <cellStyle name="20% - Accent2 29 4 2" xfId="19989" xr:uid="{00000000-0005-0000-0000-0000AF070000}"/>
    <cellStyle name="20% - Accent2 29 5" xfId="6707" xr:uid="{00000000-0005-0000-0000-0000B0070000}"/>
    <cellStyle name="20% - Accent2 29 5 2" xfId="17995" xr:uid="{00000000-0005-0000-0000-0000B1070000}"/>
    <cellStyle name="20% - Accent2 29 6" xfId="4713" xr:uid="{00000000-0005-0000-0000-0000B2070000}"/>
    <cellStyle name="20% - Accent2 29 6 2" xfId="16001" xr:uid="{00000000-0005-0000-0000-0000B3070000}"/>
    <cellStyle name="20% - Accent2 29 7" xfId="14007" xr:uid="{00000000-0005-0000-0000-0000B4070000}"/>
    <cellStyle name="20% - Accent2 29 8" xfId="12693" xr:uid="{00000000-0005-0000-0000-0000B5070000}"/>
    <cellStyle name="20% - Accent2 3" xfId="758" xr:uid="{00000000-0005-0000-0000-0000B6070000}"/>
    <cellStyle name="20% - Accent2 3 10" xfId="24566" xr:uid="{00000000-0005-0000-0000-0000B7070000}"/>
    <cellStyle name="20% - Accent2 3 11" xfId="24956" xr:uid="{00000000-0005-0000-0000-0000B8070000}"/>
    <cellStyle name="20% - Accent2 3 2" xfId="3714" xr:uid="{00000000-0005-0000-0000-0000B9070000}"/>
    <cellStyle name="20% - Accent2 3 2 2" xfId="11693" xr:uid="{00000000-0005-0000-0000-0000BA070000}"/>
    <cellStyle name="20% - Accent2 3 2 2 2" xfId="22981" xr:uid="{00000000-0005-0000-0000-0000BB070000}"/>
    <cellStyle name="20% - Accent2 3 2 3" xfId="9699" xr:uid="{00000000-0005-0000-0000-0000BC070000}"/>
    <cellStyle name="20% - Accent2 3 2 3 2" xfId="20987" xr:uid="{00000000-0005-0000-0000-0000BD070000}"/>
    <cellStyle name="20% - Accent2 3 2 4" xfId="7705" xr:uid="{00000000-0005-0000-0000-0000BE070000}"/>
    <cellStyle name="20% - Accent2 3 2 4 2" xfId="18993" xr:uid="{00000000-0005-0000-0000-0000BF070000}"/>
    <cellStyle name="20% - Accent2 3 2 5" xfId="5711" xr:uid="{00000000-0005-0000-0000-0000C0070000}"/>
    <cellStyle name="20% - Accent2 3 2 5 2" xfId="16999" xr:uid="{00000000-0005-0000-0000-0000C1070000}"/>
    <cellStyle name="20% - Accent2 3 2 6" xfId="15005" xr:uid="{00000000-0005-0000-0000-0000C2070000}"/>
    <cellStyle name="20% - Accent2 3 2 7" xfId="24327" xr:uid="{00000000-0005-0000-0000-0000C3070000}"/>
    <cellStyle name="20% - Accent2 3 2 8" xfId="24791" xr:uid="{00000000-0005-0000-0000-0000C4070000}"/>
    <cellStyle name="20% - Accent2 3 2 9" xfId="25158" xr:uid="{00000000-0005-0000-0000-0000C5070000}"/>
    <cellStyle name="20% - Accent2 3 3" xfId="10696" xr:uid="{00000000-0005-0000-0000-0000C6070000}"/>
    <cellStyle name="20% - Accent2 3 3 2" xfId="21984" xr:uid="{00000000-0005-0000-0000-0000C7070000}"/>
    <cellStyle name="20% - Accent2 3 4" xfId="8702" xr:uid="{00000000-0005-0000-0000-0000C8070000}"/>
    <cellStyle name="20% - Accent2 3 4 2" xfId="19990" xr:uid="{00000000-0005-0000-0000-0000C9070000}"/>
    <cellStyle name="20% - Accent2 3 5" xfId="6708" xr:uid="{00000000-0005-0000-0000-0000CA070000}"/>
    <cellStyle name="20% - Accent2 3 5 2" xfId="17996" xr:uid="{00000000-0005-0000-0000-0000CB070000}"/>
    <cellStyle name="20% - Accent2 3 6" xfId="4714" xr:uid="{00000000-0005-0000-0000-0000CC070000}"/>
    <cellStyle name="20% - Accent2 3 6 2" xfId="16002" xr:uid="{00000000-0005-0000-0000-0000CD070000}"/>
    <cellStyle name="20% - Accent2 3 7" xfId="14008" xr:uid="{00000000-0005-0000-0000-0000CE070000}"/>
    <cellStyle name="20% - Accent2 3 8" xfId="12694" xr:uid="{00000000-0005-0000-0000-0000CF070000}"/>
    <cellStyle name="20% - Accent2 3 9" xfId="23939" xr:uid="{00000000-0005-0000-0000-0000D0070000}"/>
    <cellStyle name="20% - Accent2 30" xfId="759" xr:uid="{00000000-0005-0000-0000-0000D1070000}"/>
    <cellStyle name="20% - Accent2 30 2" xfId="3715" xr:uid="{00000000-0005-0000-0000-0000D2070000}"/>
    <cellStyle name="20% - Accent2 30 2 2" xfId="11694" xr:uid="{00000000-0005-0000-0000-0000D3070000}"/>
    <cellStyle name="20% - Accent2 30 2 2 2" xfId="22982" xr:uid="{00000000-0005-0000-0000-0000D4070000}"/>
    <cellStyle name="20% - Accent2 30 2 3" xfId="9700" xr:uid="{00000000-0005-0000-0000-0000D5070000}"/>
    <cellStyle name="20% - Accent2 30 2 3 2" xfId="20988" xr:uid="{00000000-0005-0000-0000-0000D6070000}"/>
    <cellStyle name="20% - Accent2 30 2 4" xfId="7706" xr:uid="{00000000-0005-0000-0000-0000D7070000}"/>
    <cellStyle name="20% - Accent2 30 2 4 2" xfId="18994" xr:uid="{00000000-0005-0000-0000-0000D8070000}"/>
    <cellStyle name="20% - Accent2 30 2 5" xfId="5712" xr:uid="{00000000-0005-0000-0000-0000D9070000}"/>
    <cellStyle name="20% - Accent2 30 2 5 2" xfId="17000" xr:uid="{00000000-0005-0000-0000-0000DA070000}"/>
    <cellStyle name="20% - Accent2 30 2 6" xfId="15006" xr:uid="{00000000-0005-0000-0000-0000DB070000}"/>
    <cellStyle name="20% - Accent2 30 3" xfId="10697" xr:uid="{00000000-0005-0000-0000-0000DC070000}"/>
    <cellStyle name="20% - Accent2 30 3 2" xfId="21985" xr:uid="{00000000-0005-0000-0000-0000DD070000}"/>
    <cellStyle name="20% - Accent2 30 4" xfId="8703" xr:uid="{00000000-0005-0000-0000-0000DE070000}"/>
    <cellStyle name="20% - Accent2 30 4 2" xfId="19991" xr:uid="{00000000-0005-0000-0000-0000DF070000}"/>
    <cellStyle name="20% - Accent2 30 5" xfId="6709" xr:uid="{00000000-0005-0000-0000-0000E0070000}"/>
    <cellStyle name="20% - Accent2 30 5 2" xfId="17997" xr:uid="{00000000-0005-0000-0000-0000E1070000}"/>
    <cellStyle name="20% - Accent2 30 6" xfId="4715" xr:uid="{00000000-0005-0000-0000-0000E2070000}"/>
    <cellStyle name="20% - Accent2 30 6 2" xfId="16003" xr:uid="{00000000-0005-0000-0000-0000E3070000}"/>
    <cellStyle name="20% - Accent2 30 7" xfId="14009" xr:uid="{00000000-0005-0000-0000-0000E4070000}"/>
    <cellStyle name="20% - Accent2 30 8" xfId="12695" xr:uid="{00000000-0005-0000-0000-0000E5070000}"/>
    <cellStyle name="20% - Accent2 31" xfId="760" xr:uid="{00000000-0005-0000-0000-0000E6070000}"/>
    <cellStyle name="20% - Accent2 31 2" xfId="3716" xr:uid="{00000000-0005-0000-0000-0000E7070000}"/>
    <cellStyle name="20% - Accent2 31 2 2" xfId="11695" xr:uid="{00000000-0005-0000-0000-0000E8070000}"/>
    <cellStyle name="20% - Accent2 31 2 2 2" xfId="22983" xr:uid="{00000000-0005-0000-0000-0000E9070000}"/>
    <cellStyle name="20% - Accent2 31 2 3" xfId="9701" xr:uid="{00000000-0005-0000-0000-0000EA070000}"/>
    <cellStyle name="20% - Accent2 31 2 3 2" xfId="20989" xr:uid="{00000000-0005-0000-0000-0000EB070000}"/>
    <cellStyle name="20% - Accent2 31 2 4" xfId="7707" xr:uid="{00000000-0005-0000-0000-0000EC070000}"/>
    <cellStyle name="20% - Accent2 31 2 4 2" xfId="18995" xr:uid="{00000000-0005-0000-0000-0000ED070000}"/>
    <cellStyle name="20% - Accent2 31 2 5" xfId="5713" xr:uid="{00000000-0005-0000-0000-0000EE070000}"/>
    <cellStyle name="20% - Accent2 31 2 5 2" xfId="17001" xr:uid="{00000000-0005-0000-0000-0000EF070000}"/>
    <cellStyle name="20% - Accent2 31 2 6" xfId="15007" xr:uid="{00000000-0005-0000-0000-0000F0070000}"/>
    <cellStyle name="20% - Accent2 31 3" xfId="10698" xr:uid="{00000000-0005-0000-0000-0000F1070000}"/>
    <cellStyle name="20% - Accent2 31 3 2" xfId="21986" xr:uid="{00000000-0005-0000-0000-0000F2070000}"/>
    <cellStyle name="20% - Accent2 31 4" xfId="8704" xr:uid="{00000000-0005-0000-0000-0000F3070000}"/>
    <cellStyle name="20% - Accent2 31 4 2" xfId="19992" xr:uid="{00000000-0005-0000-0000-0000F4070000}"/>
    <cellStyle name="20% - Accent2 31 5" xfId="6710" xr:uid="{00000000-0005-0000-0000-0000F5070000}"/>
    <cellStyle name="20% - Accent2 31 5 2" xfId="17998" xr:uid="{00000000-0005-0000-0000-0000F6070000}"/>
    <cellStyle name="20% - Accent2 31 6" xfId="4716" xr:uid="{00000000-0005-0000-0000-0000F7070000}"/>
    <cellStyle name="20% - Accent2 31 6 2" xfId="16004" xr:uid="{00000000-0005-0000-0000-0000F8070000}"/>
    <cellStyle name="20% - Accent2 31 7" xfId="14010" xr:uid="{00000000-0005-0000-0000-0000F9070000}"/>
    <cellStyle name="20% - Accent2 31 8" xfId="12696" xr:uid="{00000000-0005-0000-0000-0000FA070000}"/>
    <cellStyle name="20% - Accent2 32" xfId="761" xr:uid="{00000000-0005-0000-0000-0000FB070000}"/>
    <cellStyle name="20% - Accent2 32 2" xfId="3717" xr:uid="{00000000-0005-0000-0000-0000FC070000}"/>
    <cellStyle name="20% - Accent2 32 2 2" xfId="11696" xr:uid="{00000000-0005-0000-0000-0000FD070000}"/>
    <cellStyle name="20% - Accent2 32 2 2 2" xfId="22984" xr:uid="{00000000-0005-0000-0000-0000FE070000}"/>
    <cellStyle name="20% - Accent2 32 2 3" xfId="9702" xr:uid="{00000000-0005-0000-0000-0000FF070000}"/>
    <cellStyle name="20% - Accent2 32 2 3 2" xfId="20990" xr:uid="{00000000-0005-0000-0000-000000080000}"/>
    <cellStyle name="20% - Accent2 32 2 4" xfId="7708" xr:uid="{00000000-0005-0000-0000-000001080000}"/>
    <cellStyle name="20% - Accent2 32 2 4 2" xfId="18996" xr:uid="{00000000-0005-0000-0000-000002080000}"/>
    <cellStyle name="20% - Accent2 32 2 5" xfId="5714" xr:uid="{00000000-0005-0000-0000-000003080000}"/>
    <cellStyle name="20% - Accent2 32 2 5 2" xfId="17002" xr:uid="{00000000-0005-0000-0000-000004080000}"/>
    <cellStyle name="20% - Accent2 32 2 6" xfId="15008" xr:uid="{00000000-0005-0000-0000-000005080000}"/>
    <cellStyle name="20% - Accent2 32 3" xfId="10699" xr:uid="{00000000-0005-0000-0000-000006080000}"/>
    <cellStyle name="20% - Accent2 32 3 2" xfId="21987" xr:uid="{00000000-0005-0000-0000-000007080000}"/>
    <cellStyle name="20% - Accent2 32 4" xfId="8705" xr:uid="{00000000-0005-0000-0000-000008080000}"/>
    <cellStyle name="20% - Accent2 32 4 2" xfId="19993" xr:uid="{00000000-0005-0000-0000-000009080000}"/>
    <cellStyle name="20% - Accent2 32 5" xfId="6711" xr:uid="{00000000-0005-0000-0000-00000A080000}"/>
    <cellStyle name="20% - Accent2 32 5 2" xfId="17999" xr:uid="{00000000-0005-0000-0000-00000B080000}"/>
    <cellStyle name="20% - Accent2 32 6" xfId="4717" xr:uid="{00000000-0005-0000-0000-00000C080000}"/>
    <cellStyle name="20% - Accent2 32 6 2" xfId="16005" xr:uid="{00000000-0005-0000-0000-00000D080000}"/>
    <cellStyle name="20% - Accent2 32 7" xfId="14011" xr:uid="{00000000-0005-0000-0000-00000E080000}"/>
    <cellStyle name="20% - Accent2 32 8" xfId="12697" xr:uid="{00000000-0005-0000-0000-00000F080000}"/>
    <cellStyle name="20% - Accent2 33" xfId="762" xr:uid="{00000000-0005-0000-0000-000010080000}"/>
    <cellStyle name="20% - Accent2 33 2" xfId="3718" xr:uid="{00000000-0005-0000-0000-000011080000}"/>
    <cellStyle name="20% - Accent2 33 2 2" xfId="11697" xr:uid="{00000000-0005-0000-0000-000012080000}"/>
    <cellStyle name="20% - Accent2 33 2 2 2" xfId="22985" xr:uid="{00000000-0005-0000-0000-000013080000}"/>
    <cellStyle name="20% - Accent2 33 2 3" xfId="9703" xr:uid="{00000000-0005-0000-0000-000014080000}"/>
    <cellStyle name="20% - Accent2 33 2 3 2" xfId="20991" xr:uid="{00000000-0005-0000-0000-000015080000}"/>
    <cellStyle name="20% - Accent2 33 2 4" xfId="7709" xr:uid="{00000000-0005-0000-0000-000016080000}"/>
    <cellStyle name="20% - Accent2 33 2 4 2" xfId="18997" xr:uid="{00000000-0005-0000-0000-000017080000}"/>
    <cellStyle name="20% - Accent2 33 2 5" xfId="5715" xr:uid="{00000000-0005-0000-0000-000018080000}"/>
    <cellStyle name="20% - Accent2 33 2 5 2" xfId="17003" xr:uid="{00000000-0005-0000-0000-000019080000}"/>
    <cellStyle name="20% - Accent2 33 2 6" xfId="15009" xr:uid="{00000000-0005-0000-0000-00001A080000}"/>
    <cellStyle name="20% - Accent2 33 3" xfId="10700" xr:uid="{00000000-0005-0000-0000-00001B080000}"/>
    <cellStyle name="20% - Accent2 33 3 2" xfId="21988" xr:uid="{00000000-0005-0000-0000-00001C080000}"/>
    <cellStyle name="20% - Accent2 33 4" xfId="8706" xr:uid="{00000000-0005-0000-0000-00001D080000}"/>
    <cellStyle name="20% - Accent2 33 4 2" xfId="19994" xr:uid="{00000000-0005-0000-0000-00001E080000}"/>
    <cellStyle name="20% - Accent2 33 5" xfId="6712" xr:uid="{00000000-0005-0000-0000-00001F080000}"/>
    <cellStyle name="20% - Accent2 33 5 2" xfId="18000" xr:uid="{00000000-0005-0000-0000-000020080000}"/>
    <cellStyle name="20% - Accent2 33 6" xfId="4718" xr:uid="{00000000-0005-0000-0000-000021080000}"/>
    <cellStyle name="20% - Accent2 33 6 2" xfId="16006" xr:uid="{00000000-0005-0000-0000-000022080000}"/>
    <cellStyle name="20% - Accent2 33 7" xfId="14012" xr:uid="{00000000-0005-0000-0000-000023080000}"/>
    <cellStyle name="20% - Accent2 33 8" xfId="12698" xr:uid="{00000000-0005-0000-0000-000024080000}"/>
    <cellStyle name="20% - Accent2 34" xfId="763" xr:uid="{00000000-0005-0000-0000-000025080000}"/>
    <cellStyle name="20% - Accent2 34 2" xfId="3719" xr:uid="{00000000-0005-0000-0000-000026080000}"/>
    <cellStyle name="20% - Accent2 34 2 2" xfId="11698" xr:uid="{00000000-0005-0000-0000-000027080000}"/>
    <cellStyle name="20% - Accent2 34 2 2 2" xfId="22986" xr:uid="{00000000-0005-0000-0000-000028080000}"/>
    <cellStyle name="20% - Accent2 34 2 3" xfId="9704" xr:uid="{00000000-0005-0000-0000-000029080000}"/>
    <cellStyle name="20% - Accent2 34 2 3 2" xfId="20992" xr:uid="{00000000-0005-0000-0000-00002A080000}"/>
    <cellStyle name="20% - Accent2 34 2 4" xfId="7710" xr:uid="{00000000-0005-0000-0000-00002B080000}"/>
    <cellStyle name="20% - Accent2 34 2 4 2" xfId="18998" xr:uid="{00000000-0005-0000-0000-00002C080000}"/>
    <cellStyle name="20% - Accent2 34 2 5" xfId="5716" xr:uid="{00000000-0005-0000-0000-00002D080000}"/>
    <cellStyle name="20% - Accent2 34 2 5 2" xfId="17004" xr:uid="{00000000-0005-0000-0000-00002E080000}"/>
    <cellStyle name="20% - Accent2 34 2 6" xfId="15010" xr:uid="{00000000-0005-0000-0000-00002F080000}"/>
    <cellStyle name="20% - Accent2 34 3" xfId="10701" xr:uid="{00000000-0005-0000-0000-000030080000}"/>
    <cellStyle name="20% - Accent2 34 3 2" xfId="21989" xr:uid="{00000000-0005-0000-0000-000031080000}"/>
    <cellStyle name="20% - Accent2 34 4" xfId="8707" xr:uid="{00000000-0005-0000-0000-000032080000}"/>
    <cellStyle name="20% - Accent2 34 4 2" xfId="19995" xr:uid="{00000000-0005-0000-0000-000033080000}"/>
    <cellStyle name="20% - Accent2 34 5" xfId="6713" xr:uid="{00000000-0005-0000-0000-000034080000}"/>
    <cellStyle name="20% - Accent2 34 5 2" xfId="18001" xr:uid="{00000000-0005-0000-0000-000035080000}"/>
    <cellStyle name="20% - Accent2 34 6" xfId="4719" xr:uid="{00000000-0005-0000-0000-000036080000}"/>
    <cellStyle name="20% - Accent2 34 6 2" xfId="16007" xr:uid="{00000000-0005-0000-0000-000037080000}"/>
    <cellStyle name="20% - Accent2 34 7" xfId="14013" xr:uid="{00000000-0005-0000-0000-000038080000}"/>
    <cellStyle name="20% - Accent2 34 8" xfId="12699" xr:uid="{00000000-0005-0000-0000-000039080000}"/>
    <cellStyle name="20% - Accent2 35" xfId="764" xr:uid="{00000000-0005-0000-0000-00003A080000}"/>
    <cellStyle name="20% - Accent2 35 2" xfId="3720" xr:uid="{00000000-0005-0000-0000-00003B080000}"/>
    <cellStyle name="20% - Accent2 35 2 2" xfId="11699" xr:uid="{00000000-0005-0000-0000-00003C080000}"/>
    <cellStyle name="20% - Accent2 35 2 2 2" xfId="22987" xr:uid="{00000000-0005-0000-0000-00003D080000}"/>
    <cellStyle name="20% - Accent2 35 2 3" xfId="9705" xr:uid="{00000000-0005-0000-0000-00003E080000}"/>
    <cellStyle name="20% - Accent2 35 2 3 2" xfId="20993" xr:uid="{00000000-0005-0000-0000-00003F080000}"/>
    <cellStyle name="20% - Accent2 35 2 4" xfId="7711" xr:uid="{00000000-0005-0000-0000-000040080000}"/>
    <cellStyle name="20% - Accent2 35 2 4 2" xfId="18999" xr:uid="{00000000-0005-0000-0000-000041080000}"/>
    <cellStyle name="20% - Accent2 35 2 5" xfId="5717" xr:uid="{00000000-0005-0000-0000-000042080000}"/>
    <cellStyle name="20% - Accent2 35 2 5 2" xfId="17005" xr:uid="{00000000-0005-0000-0000-000043080000}"/>
    <cellStyle name="20% - Accent2 35 2 6" xfId="15011" xr:uid="{00000000-0005-0000-0000-000044080000}"/>
    <cellStyle name="20% - Accent2 35 3" xfId="10702" xr:uid="{00000000-0005-0000-0000-000045080000}"/>
    <cellStyle name="20% - Accent2 35 3 2" xfId="21990" xr:uid="{00000000-0005-0000-0000-000046080000}"/>
    <cellStyle name="20% - Accent2 35 4" xfId="8708" xr:uid="{00000000-0005-0000-0000-000047080000}"/>
    <cellStyle name="20% - Accent2 35 4 2" xfId="19996" xr:uid="{00000000-0005-0000-0000-000048080000}"/>
    <cellStyle name="20% - Accent2 35 5" xfId="6714" xr:uid="{00000000-0005-0000-0000-000049080000}"/>
    <cellStyle name="20% - Accent2 35 5 2" xfId="18002" xr:uid="{00000000-0005-0000-0000-00004A080000}"/>
    <cellStyle name="20% - Accent2 35 6" xfId="4720" xr:uid="{00000000-0005-0000-0000-00004B080000}"/>
    <cellStyle name="20% - Accent2 35 6 2" xfId="16008" xr:uid="{00000000-0005-0000-0000-00004C080000}"/>
    <cellStyle name="20% - Accent2 35 7" xfId="14014" xr:uid="{00000000-0005-0000-0000-00004D080000}"/>
    <cellStyle name="20% - Accent2 35 8" xfId="12700" xr:uid="{00000000-0005-0000-0000-00004E080000}"/>
    <cellStyle name="20% - Accent2 36" xfId="765" xr:uid="{00000000-0005-0000-0000-00004F080000}"/>
    <cellStyle name="20% - Accent2 36 2" xfId="3721" xr:uid="{00000000-0005-0000-0000-000050080000}"/>
    <cellStyle name="20% - Accent2 36 2 2" xfId="11700" xr:uid="{00000000-0005-0000-0000-000051080000}"/>
    <cellStyle name="20% - Accent2 36 2 2 2" xfId="22988" xr:uid="{00000000-0005-0000-0000-000052080000}"/>
    <cellStyle name="20% - Accent2 36 2 3" xfId="9706" xr:uid="{00000000-0005-0000-0000-000053080000}"/>
    <cellStyle name="20% - Accent2 36 2 3 2" xfId="20994" xr:uid="{00000000-0005-0000-0000-000054080000}"/>
    <cellStyle name="20% - Accent2 36 2 4" xfId="7712" xr:uid="{00000000-0005-0000-0000-000055080000}"/>
    <cellStyle name="20% - Accent2 36 2 4 2" xfId="19000" xr:uid="{00000000-0005-0000-0000-000056080000}"/>
    <cellStyle name="20% - Accent2 36 2 5" xfId="5718" xr:uid="{00000000-0005-0000-0000-000057080000}"/>
    <cellStyle name="20% - Accent2 36 2 5 2" xfId="17006" xr:uid="{00000000-0005-0000-0000-000058080000}"/>
    <cellStyle name="20% - Accent2 36 2 6" xfId="15012" xr:uid="{00000000-0005-0000-0000-000059080000}"/>
    <cellStyle name="20% - Accent2 36 3" xfId="10703" xr:uid="{00000000-0005-0000-0000-00005A080000}"/>
    <cellStyle name="20% - Accent2 36 3 2" xfId="21991" xr:uid="{00000000-0005-0000-0000-00005B080000}"/>
    <cellStyle name="20% - Accent2 36 4" xfId="8709" xr:uid="{00000000-0005-0000-0000-00005C080000}"/>
    <cellStyle name="20% - Accent2 36 4 2" xfId="19997" xr:uid="{00000000-0005-0000-0000-00005D080000}"/>
    <cellStyle name="20% - Accent2 36 5" xfId="6715" xr:uid="{00000000-0005-0000-0000-00005E080000}"/>
    <cellStyle name="20% - Accent2 36 5 2" xfId="18003" xr:uid="{00000000-0005-0000-0000-00005F080000}"/>
    <cellStyle name="20% - Accent2 36 6" xfId="4721" xr:uid="{00000000-0005-0000-0000-000060080000}"/>
    <cellStyle name="20% - Accent2 36 6 2" xfId="16009" xr:uid="{00000000-0005-0000-0000-000061080000}"/>
    <cellStyle name="20% - Accent2 36 7" xfId="14015" xr:uid="{00000000-0005-0000-0000-000062080000}"/>
    <cellStyle name="20% - Accent2 36 8" xfId="12701" xr:uid="{00000000-0005-0000-0000-000063080000}"/>
    <cellStyle name="20% - Accent2 37" xfId="766" xr:uid="{00000000-0005-0000-0000-000064080000}"/>
    <cellStyle name="20% - Accent2 37 2" xfId="3722" xr:uid="{00000000-0005-0000-0000-000065080000}"/>
    <cellStyle name="20% - Accent2 37 2 2" xfId="11701" xr:uid="{00000000-0005-0000-0000-000066080000}"/>
    <cellStyle name="20% - Accent2 37 2 2 2" xfId="22989" xr:uid="{00000000-0005-0000-0000-000067080000}"/>
    <cellStyle name="20% - Accent2 37 2 3" xfId="9707" xr:uid="{00000000-0005-0000-0000-000068080000}"/>
    <cellStyle name="20% - Accent2 37 2 3 2" xfId="20995" xr:uid="{00000000-0005-0000-0000-000069080000}"/>
    <cellStyle name="20% - Accent2 37 2 4" xfId="7713" xr:uid="{00000000-0005-0000-0000-00006A080000}"/>
    <cellStyle name="20% - Accent2 37 2 4 2" xfId="19001" xr:uid="{00000000-0005-0000-0000-00006B080000}"/>
    <cellStyle name="20% - Accent2 37 2 5" xfId="5719" xr:uid="{00000000-0005-0000-0000-00006C080000}"/>
    <cellStyle name="20% - Accent2 37 2 5 2" xfId="17007" xr:uid="{00000000-0005-0000-0000-00006D080000}"/>
    <cellStyle name="20% - Accent2 37 2 6" xfId="15013" xr:uid="{00000000-0005-0000-0000-00006E080000}"/>
    <cellStyle name="20% - Accent2 37 3" xfId="10704" xr:uid="{00000000-0005-0000-0000-00006F080000}"/>
    <cellStyle name="20% - Accent2 37 3 2" xfId="21992" xr:uid="{00000000-0005-0000-0000-000070080000}"/>
    <cellStyle name="20% - Accent2 37 4" xfId="8710" xr:uid="{00000000-0005-0000-0000-000071080000}"/>
    <cellStyle name="20% - Accent2 37 4 2" xfId="19998" xr:uid="{00000000-0005-0000-0000-000072080000}"/>
    <cellStyle name="20% - Accent2 37 5" xfId="6716" xr:uid="{00000000-0005-0000-0000-000073080000}"/>
    <cellStyle name="20% - Accent2 37 5 2" xfId="18004" xr:uid="{00000000-0005-0000-0000-000074080000}"/>
    <cellStyle name="20% - Accent2 37 6" xfId="4722" xr:uid="{00000000-0005-0000-0000-000075080000}"/>
    <cellStyle name="20% - Accent2 37 6 2" xfId="16010" xr:uid="{00000000-0005-0000-0000-000076080000}"/>
    <cellStyle name="20% - Accent2 37 7" xfId="14016" xr:uid="{00000000-0005-0000-0000-000077080000}"/>
    <cellStyle name="20% - Accent2 37 8" xfId="12702" xr:uid="{00000000-0005-0000-0000-000078080000}"/>
    <cellStyle name="20% - Accent2 38" xfId="767" xr:uid="{00000000-0005-0000-0000-000079080000}"/>
    <cellStyle name="20% - Accent2 38 2" xfId="3723" xr:uid="{00000000-0005-0000-0000-00007A080000}"/>
    <cellStyle name="20% - Accent2 38 2 2" xfId="11702" xr:uid="{00000000-0005-0000-0000-00007B080000}"/>
    <cellStyle name="20% - Accent2 38 2 2 2" xfId="22990" xr:uid="{00000000-0005-0000-0000-00007C080000}"/>
    <cellStyle name="20% - Accent2 38 2 3" xfId="9708" xr:uid="{00000000-0005-0000-0000-00007D080000}"/>
    <cellStyle name="20% - Accent2 38 2 3 2" xfId="20996" xr:uid="{00000000-0005-0000-0000-00007E080000}"/>
    <cellStyle name="20% - Accent2 38 2 4" xfId="7714" xr:uid="{00000000-0005-0000-0000-00007F080000}"/>
    <cellStyle name="20% - Accent2 38 2 4 2" xfId="19002" xr:uid="{00000000-0005-0000-0000-000080080000}"/>
    <cellStyle name="20% - Accent2 38 2 5" xfId="5720" xr:uid="{00000000-0005-0000-0000-000081080000}"/>
    <cellStyle name="20% - Accent2 38 2 5 2" xfId="17008" xr:uid="{00000000-0005-0000-0000-000082080000}"/>
    <cellStyle name="20% - Accent2 38 2 6" xfId="15014" xr:uid="{00000000-0005-0000-0000-000083080000}"/>
    <cellStyle name="20% - Accent2 38 3" xfId="10705" xr:uid="{00000000-0005-0000-0000-000084080000}"/>
    <cellStyle name="20% - Accent2 38 3 2" xfId="21993" xr:uid="{00000000-0005-0000-0000-000085080000}"/>
    <cellStyle name="20% - Accent2 38 4" xfId="8711" xr:uid="{00000000-0005-0000-0000-000086080000}"/>
    <cellStyle name="20% - Accent2 38 4 2" xfId="19999" xr:uid="{00000000-0005-0000-0000-000087080000}"/>
    <cellStyle name="20% - Accent2 38 5" xfId="6717" xr:uid="{00000000-0005-0000-0000-000088080000}"/>
    <cellStyle name="20% - Accent2 38 5 2" xfId="18005" xr:uid="{00000000-0005-0000-0000-000089080000}"/>
    <cellStyle name="20% - Accent2 38 6" xfId="4723" xr:uid="{00000000-0005-0000-0000-00008A080000}"/>
    <cellStyle name="20% - Accent2 38 6 2" xfId="16011" xr:uid="{00000000-0005-0000-0000-00008B080000}"/>
    <cellStyle name="20% - Accent2 38 7" xfId="14017" xr:uid="{00000000-0005-0000-0000-00008C080000}"/>
    <cellStyle name="20% - Accent2 38 8" xfId="12703" xr:uid="{00000000-0005-0000-0000-00008D080000}"/>
    <cellStyle name="20% - Accent2 39" xfId="768" xr:uid="{00000000-0005-0000-0000-00008E080000}"/>
    <cellStyle name="20% - Accent2 39 2" xfId="3724" xr:uid="{00000000-0005-0000-0000-00008F080000}"/>
    <cellStyle name="20% - Accent2 39 2 2" xfId="11703" xr:uid="{00000000-0005-0000-0000-000090080000}"/>
    <cellStyle name="20% - Accent2 39 2 2 2" xfId="22991" xr:uid="{00000000-0005-0000-0000-000091080000}"/>
    <cellStyle name="20% - Accent2 39 2 3" xfId="9709" xr:uid="{00000000-0005-0000-0000-000092080000}"/>
    <cellStyle name="20% - Accent2 39 2 3 2" xfId="20997" xr:uid="{00000000-0005-0000-0000-000093080000}"/>
    <cellStyle name="20% - Accent2 39 2 4" xfId="7715" xr:uid="{00000000-0005-0000-0000-000094080000}"/>
    <cellStyle name="20% - Accent2 39 2 4 2" xfId="19003" xr:uid="{00000000-0005-0000-0000-000095080000}"/>
    <cellStyle name="20% - Accent2 39 2 5" xfId="5721" xr:uid="{00000000-0005-0000-0000-000096080000}"/>
    <cellStyle name="20% - Accent2 39 2 5 2" xfId="17009" xr:uid="{00000000-0005-0000-0000-000097080000}"/>
    <cellStyle name="20% - Accent2 39 2 6" xfId="15015" xr:uid="{00000000-0005-0000-0000-000098080000}"/>
    <cellStyle name="20% - Accent2 39 3" xfId="10706" xr:uid="{00000000-0005-0000-0000-000099080000}"/>
    <cellStyle name="20% - Accent2 39 3 2" xfId="21994" xr:uid="{00000000-0005-0000-0000-00009A080000}"/>
    <cellStyle name="20% - Accent2 39 4" xfId="8712" xr:uid="{00000000-0005-0000-0000-00009B080000}"/>
    <cellStyle name="20% - Accent2 39 4 2" xfId="20000" xr:uid="{00000000-0005-0000-0000-00009C080000}"/>
    <cellStyle name="20% - Accent2 39 5" xfId="6718" xr:uid="{00000000-0005-0000-0000-00009D080000}"/>
    <cellStyle name="20% - Accent2 39 5 2" xfId="18006" xr:uid="{00000000-0005-0000-0000-00009E080000}"/>
    <cellStyle name="20% - Accent2 39 6" xfId="4724" xr:uid="{00000000-0005-0000-0000-00009F080000}"/>
    <cellStyle name="20% - Accent2 39 6 2" xfId="16012" xr:uid="{00000000-0005-0000-0000-0000A0080000}"/>
    <cellStyle name="20% - Accent2 39 7" xfId="14018" xr:uid="{00000000-0005-0000-0000-0000A1080000}"/>
    <cellStyle name="20% - Accent2 39 8" xfId="12704" xr:uid="{00000000-0005-0000-0000-0000A2080000}"/>
    <cellStyle name="20% - Accent2 4" xfId="769" xr:uid="{00000000-0005-0000-0000-0000A3080000}"/>
    <cellStyle name="20% - Accent2 4 10" xfId="24567" xr:uid="{00000000-0005-0000-0000-0000A4080000}"/>
    <cellStyle name="20% - Accent2 4 11" xfId="24957" xr:uid="{00000000-0005-0000-0000-0000A5080000}"/>
    <cellStyle name="20% - Accent2 4 2" xfId="3725" xr:uid="{00000000-0005-0000-0000-0000A6080000}"/>
    <cellStyle name="20% - Accent2 4 2 2" xfId="11704" xr:uid="{00000000-0005-0000-0000-0000A7080000}"/>
    <cellStyle name="20% - Accent2 4 2 2 2" xfId="22992" xr:uid="{00000000-0005-0000-0000-0000A8080000}"/>
    <cellStyle name="20% - Accent2 4 2 3" xfId="9710" xr:uid="{00000000-0005-0000-0000-0000A9080000}"/>
    <cellStyle name="20% - Accent2 4 2 3 2" xfId="20998" xr:uid="{00000000-0005-0000-0000-0000AA080000}"/>
    <cellStyle name="20% - Accent2 4 2 4" xfId="7716" xr:uid="{00000000-0005-0000-0000-0000AB080000}"/>
    <cellStyle name="20% - Accent2 4 2 4 2" xfId="19004" xr:uid="{00000000-0005-0000-0000-0000AC080000}"/>
    <cellStyle name="20% - Accent2 4 2 5" xfId="5722" xr:uid="{00000000-0005-0000-0000-0000AD080000}"/>
    <cellStyle name="20% - Accent2 4 2 5 2" xfId="17010" xr:uid="{00000000-0005-0000-0000-0000AE080000}"/>
    <cellStyle name="20% - Accent2 4 2 6" xfId="15016" xr:uid="{00000000-0005-0000-0000-0000AF080000}"/>
    <cellStyle name="20% - Accent2 4 2 7" xfId="24328" xr:uid="{00000000-0005-0000-0000-0000B0080000}"/>
    <cellStyle name="20% - Accent2 4 2 8" xfId="24792" xr:uid="{00000000-0005-0000-0000-0000B1080000}"/>
    <cellStyle name="20% - Accent2 4 2 9" xfId="25159" xr:uid="{00000000-0005-0000-0000-0000B2080000}"/>
    <cellStyle name="20% - Accent2 4 3" xfId="10707" xr:uid="{00000000-0005-0000-0000-0000B3080000}"/>
    <cellStyle name="20% - Accent2 4 3 2" xfId="21995" xr:uid="{00000000-0005-0000-0000-0000B4080000}"/>
    <cellStyle name="20% - Accent2 4 4" xfId="8713" xr:uid="{00000000-0005-0000-0000-0000B5080000}"/>
    <cellStyle name="20% - Accent2 4 4 2" xfId="20001" xr:uid="{00000000-0005-0000-0000-0000B6080000}"/>
    <cellStyle name="20% - Accent2 4 5" xfId="6719" xr:uid="{00000000-0005-0000-0000-0000B7080000}"/>
    <cellStyle name="20% - Accent2 4 5 2" xfId="18007" xr:uid="{00000000-0005-0000-0000-0000B8080000}"/>
    <cellStyle name="20% - Accent2 4 6" xfId="4725" xr:uid="{00000000-0005-0000-0000-0000B9080000}"/>
    <cellStyle name="20% - Accent2 4 6 2" xfId="16013" xr:uid="{00000000-0005-0000-0000-0000BA080000}"/>
    <cellStyle name="20% - Accent2 4 7" xfId="14019" xr:uid="{00000000-0005-0000-0000-0000BB080000}"/>
    <cellStyle name="20% - Accent2 4 8" xfId="12705" xr:uid="{00000000-0005-0000-0000-0000BC080000}"/>
    <cellStyle name="20% - Accent2 4 9" xfId="23940" xr:uid="{00000000-0005-0000-0000-0000BD080000}"/>
    <cellStyle name="20% - Accent2 40" xfId="770" xr:uid="{00000000-0005-0000-0000-0000BE080000}"/>
    <cellStyle name="20% - Accent2 40 2" xfId="3726" xr:uid="{00000000-0005-0000-0000-0000BF080000}"/>
    <cellStyle name="20% - Accent2 40 2 2" xfId="11705" xr:uid="{00000000-0005-0000-0000-0000C0080000}"/>
    <cellStyle name="20% - Accent2 40 2 2 2" xfId="22993" xr:uid="{00000000-0005-0000-0000-0000C1080000}"/>
    <cellStyle name="20% - Accent2 40 2 3" xfId="9711" xr:uid="{00000000-0005-0000-0000-0000C2080000}"/>
    <cellStyle name="20% - Accent2 40 2 3 2" xfId="20999" xr:uid="{00000000-0005-0000-0000-0000C3080000}"/>
    <cellStyle name="20% - Accent2 40 2 4" xfId="7717" xr:uid="{00000000-0005-0000-0000-0000C4080000}"/>
    <cellStyle name="20% - Accent2 40 2 4 2" xfId="19005" xr:uid="{00000000-0005-0000-0000-0000C5080000}"/>
    <cellStyle name="20% - Accent2 40 2 5" xfId="5723" xr:uid="{00000000-0005-0000-0000-0000C6080000}"/>
    <cellStyle name="20% - Accent2 40 2 5 2" xfId="17011" xr:uid="{00000000-0005-0000-0000-0000C7080000}"/>
    <cellStyle name="20% - Accent2 40 2 6" xfId="15017" xr:uid="{00000000-0005-0000-0000-0000C8080000}"/>
    <cellStyle name="20% - Accent2 40 3" xfId="10708" xr:uid="{00000000-0005-0000-0000-0000C9080000}"/>
    <cellStyle name="20% - Accent2 40 3 2" xfId="21996" xr:uid="{00000000-0005-0000-0000-0000CA080000}"/>
    <cellStyle name="20% - Accent2 40 4" xfId="8714" xr:uid="{00000000-0005-0000-0000-0000CB080000}"/>
    <cellStyle name="20% - Accent2 40 4 2" xfId="20002" xr:uid="{00000000-0005-0000-0000-0000CC080000}"/>
    <cellStyle name="20% - Accent2 40 5" xfId="6720" xr:uid="{00000000-0005-0000-0000-0000CD080000}"/>
    <cellStyle name="20% - Accent2 40 5 2" xfId="18008" xr:uid="{00000000-0005-0000-0000-0000CE080000}"/>
    <cellStyle name="20% - Accent2 40 6" xfId="4726" xr:uid="{00000000-0005-0000-0000-0000CF080000}"/>
    <cellStyle name="20% - Accent2 40 6 2" xfId="16014" xr:uid="{00000000-0005-0000-0000-0000D0080000}"/>
    <cellStyle name="20% - Accent2 40 7" xfId="14020" xr:uid="{00000000-0005-0000-0000-0000D1080000}"/>
    <cellStyle name="20% - Accent2 40 8" xfId="12706" xr:uid="{00000000-0005-0000-0000-0000D2080000}"/>
    <cellStyle name="20% - Accent2 41" xfId="771" xr:uid="{00000000-0005-0000-0000-0000D3080000}"/>
    <cellStyle name="20% - Accent2 41 2" xfId="3727" xr:uid="{00000000-0005-0000-0000-0000D4080000}"/>
    <cellStyle name="20% - Accent2 41 2 2" xfId="11706" xr:uid="{00000000-0005-0000-0000-0000D5080000}"/>
    <cellStyle name="20% - Accent2 41 2 2 2" xfId="22994" xr:uid="{00000000-0005-0000-0000-0000D6080000}"/>
    <cellStyle name="20% - Accent2 41 2 3" xfId="9712" xr:uid="{00000000-0005-0000-0000-0000D7080000}"/>
    <cellStyle name="20% - Accent2 41 2 3 2" xfId="21000" xr:uid="{00000000-0005-0000-0000-0000D8080000}"/>
    <cellStyle name="20% - Accent2 41 2 4" xfId="7718" xr:uid="{00000000-0005-0000-0000-0000D9080000}"/>
    <cellStyle name="20% - Accent2 41 2 4 2" xfId="19006" xr:uid="{00000000-0005-0000-0000-0000DA080000}"/>
    <cellStyle name="20% - Accent2 41 2 5" xfId="5724" xr:uid="{00000000-0005-0000-0000-0000DB080000}"/>
    <cellStyle name="20% - Accent2 41 2 5 2" xfId="17012" xr:uid="{00000000-0005-0000-0000-0000DC080000}"/>
    <cellStyle name="20% - Accent2 41 2 6" xfId="15018" xr:uid="{00000000-0005-0000-0000-0000DD080000}"/>
    <cellStyle name="20% - Accent2 41 3" xfId="10709" xr:uid="{00000000-0005-0000-0000-0000DE080000}"/>
    <cellStyle name="20% - Accent2 41 3 2" xfId="21997" xr:uid="{00000000-0005-0000-0000-0000DF080000}"/>
    <cellStyle name="20% - Accent2 41 4" xfId="8715" xr:uid="{00000000-0005-0000-0000-0000E0080000}"/>
    <cellStyle name="20% - Accent2 41 4 2" xfId="20003" xr:uid="{00000000-0005-0000-0000-0000E1080000}"/>
    <cellStyle name="20% - Accent2 41 5" xfId="6721" xr:uid="{00000000-0005-0000-0000-0000E2080000}"/>
    <cellStyle name="20% - Accent2 41 5 2" xfId="18009" xr:uid="{00000000-0005-0000-0000-0000E3080000}"/>
    <cellStyle name="20% - Accent2 41 6" xfId="4727" xr:uid="{00000000-0005-0000-0000-0000E4080000}"/>
    <cellStyle name="20% - Accent2 41 6 2" xfId="16015" xr:uid="{00000000-0005-0000-0000-0000E5080000}"/>
    <cellStyle name="20% - Accent2 41 7" xfId="14021" xr:uid="{00000000-0005-0000-0000-0000E6080000}"/>
    <cellStyle name="20% - Accent2 41 8" xfId="12707" xr:uid="{00000000-0005-0000-0000-0000E7080000}"/>
    <cellStyle name="20% - Accent2 42" xfId="772" xr:uid="{00000000-0005-0000-0000-0000E8080000}"/>
    <cellStyle name="20% - Accent2 42 2" xfId="3728" xr:uid="{00000000-0005-0000-0000-0000E9080000}"/>
    <cellStyle name="20% - Accent2 42 2 2" xfId="11707" xr:uid="{00000000-0005-0000-0000-0000EA080000}"/>
    <cellStyle name="20% - Accent2 42 2 2 2" xfId="22995" xr:uid="{00000000-0005-0000-0000-0000EB080000}"/>
    <cellStyle name="20% - Accent2 42 2 3" xfId="9713" xr:uid="{00000000-0005-0000-0000-0000EC080000}"/>
    <cellStyle name="20% - Accent2 42 2 3 2" xfId="21001" xr:uid="{00000000-0005-0000-0000-0000ED080000}"/>
    <cellStyle name="20% - Accent2 42 2 4" xfId="7719" xr:uid="{00000000-0005-0000-0000-0000EE080000}"/>
    <cellStyle name="20% - Accent2 42 2 4 2" xfId="19007" xr:uid="{00000000-0005-0000-0000-0000EF080000}"/>
    <cellStyle name="20% - Accent2 42 2 5" xfId="5725" xr:uid="{00000000-0005-0000-0000-0000F0080000}"/>
    <cellStyle name="20% - Accent2 42 2 5 2" xfId="17013" xr:uid="{00000000-0005-0000-0000-0000F1080000}"/>
    <cellStyle name="20% - Accent2 42 2 6" xfId="15019" xr:uid="{00000000-0005-0000-0000-0000F2080000}"/>
    <cellStyle name="20% - Accent2 42 3" xfId="10710" xr:uid="{00000000-0005-0000-0000-0000F3080000}"/>
    <cellStyle name="20% - Accent2 42 3 2" xfId="21998" xr:uid="{00000000-0005-0000-0000-0000F4080000}"/>
    <cellStyle name="20% - Accent2 42 4" xfId="8716" xr:uid="{00000000-0005-0000-0000-0000F5080000}"/>
    <cellStyle name="20% - Accent2 42 4 2" xfId="20004" xr:uid="{00000000-0005-0000-0000-0000F6080000}"/>
    <cellStyle name="20% - Accent2 42 5" xfId="6722" xr:uid="{00000000-0005-0000-0000-0000F7080000}"/>
    <cellStyle name="20% - Accent2 42 5 2" xfId="18010" xr:uid="{00000000-0005-0000-0000-0000F8080000}"/>
    <cellStyle name="20% - Accent2 42 6" xfId="4728" xr:uid="{00000000-0005-0000-0000-0000F9080000}"/>
    <cellStyle name="20% - Accent2 42 6 2" xfId="16016" xr:uid="{00000000-0005-0000-0000-0000FA080000}"/>
    <cellStyle name="20% - Accent2 42 7" xfId="14022" xr:uid="{00000000-0005-0000-0000-0000FB080000}"/>
    <cellStyle name="20% - Accent2 42 8" xfId="12708" xr:uid="{00000000-0005-0000-0000-0000FC080000}"/>
    <cellStyle name="20% - Accent2 43" xfId="773" xr:uid="{00000000-0005-0000-0000-0000FD080000}"/>
    <cellStyle name="20% - Accent2 43 2" xfId="3729" xr:uid="{00000000-0005-0000-0000-0000FE080000}"/>
    <cellStyle name="20% - Accent2 43 2 2" xfId="11708" xr:uid="{00000000-0005-0000-0000-0000FF080000}"/>
    <cellStyle name="20% - Accent2 43 2 2 2" xfId="22996" xr:uid="{00000000-0005-0000-0000-000000090000}"/>
    <cellStyle name="20% - Accent2 43 2 3" xfId="9714" xr:uid="{00000000-0005-0000-0000-000001090000}"/>
    <cellStyle name="20% - Accent2 43 2 3 2" xfId="21002" xr:uid="{00000000-0005-0000-0000-000002090000}"/>
    <cellStyle name="20% - Accent2 43 2 4" xfId="7720" xr:uid="{00000000-0005-0000-0000-000003090000}"/>
    <cellStyle name="20% - Accent2 43 2 4 2" xfId="19008" xr:uid="{00000000-0005-0000-0000-000004090000}"/>
    <cellStyle name="20% - Accent2 43 2 5" xfId="5726" xr:uid="{00000000-0005-0000-0000-000005090000}"/>
    <cellStyle name="20% - Accent2 43 2 5 2" xfId="17014" xr:uid="{00000000-0005-0000-0000-000006090000}"/>
    <cellStyle name="20% - Accent2 43 2 6" xfId="15020" xr:uid="{00000000-0005-0000-0000-000007090000}"/>
    <cellStyle name="20% - Accent2 43 3" xfId="10711" xr:uid="{00000000-0005-0000-0000-000008090000}"/>
    <cellStyle name="20% - Accent2 43 3 2" xfId="21999" xr:uid="{00000000-0005-0000-0000-000009090000}"/>
    <cellStyle name="20% - Accent2 43 4" xfId="8717" xr:uid="{00000000-0005-0000-0000-00000A090000}"/>
    <cellStyle name="20% - Accent2 43 4 2" xfId="20005" xr:uid="{00000000-0005-0000-0000-00000B090000}"/>
    <cellStyle name="20% - Accent2 43 5" xfId="6723" xr:uid="{00000000-0005-0000-0000-00000C090000}"/>
    <cellStyle name="20% - Accent2 43 5 2" xfId="18011" xr:uid="{00000000-0005-0000-0000-00000D090000}"/>
    <cellStyle name="20% - Accent2 43 6" xfId="4729" xr:uid="{00000000-0005-0000-0000-00000E090000}"/>
    <cellStyle name="20% - Accent2 43 6 2" xfId="16017" xr:uid="{00000000-0005-0000-0000-00000F090000}"/>
    <cellStyle name="20% - Accent2 43 7" xfId="14023" xr:uid="{00000000-0005-0000-0000-000010090000}"/>
    <cellStyle name="20% - Accent2 43 8" xfId="12709" xr:uid="{00000000-0005-0000-0000-000011090000}"/>
    <cellStyle name="20% - Accent2 44" xfId="774" xr:uid="{00000000-0005-0000-0000-000012090000}"/>
    <cellStyle name="20% - Accent2 44 2" xfId="3730" xr:uid="{00000000-0005-0000-0000-000013090000}"/>
    <cellStyle name="20% - Accent2 44 2 2" xfId="11709" xr:uid="{00000000-0005-0000-0000-000014090000}"/>
    <cellStyle name="20% - Accent2 44 2 2 2" xfId="22997" xr:uid="{00000000-0005-0000-0000-000015090000}"/>
    <cellStyle name="20% - Accent2 44 2 3" xfId="9715" xr:uid="{00000000-0005-0000-0000-000016090000}"/>
    <cellStyle name="20% - Accent2 44 2 3 2" xfId="21003" xr:uid="{00000000-0005-0000-0000-000017090000}"/>
    <cellStyle name="20% - Accent2 44 2 4" xfId="7721" xr:uid="{00000000-0005-0000-0000-000018090000}"/>
    <cellStyle name="20% - Accent2 44 2 4 2" xfId="19009" xr:uid="{00000000-0005-0000-0000-000019090000}"/>
    <cellStyle name="20% - Accent2 44 2 5" xfId="5727" xr:uid="{00000000-0005-0000-0000-00001A090000}"/>
    <cellStyle name="20% - Accent2 44 2 5 2" xfId="17015" xr:uid="{00000000-0005-0000-0000-00001B090000}"/>
    <cellStyle name="20% - Accent2 44 2 6" xfId="15021" xr:uid="{00000000-0005-0000-0000-00001C090000}"/>
    <cellStyle name="20% - Accent2 44 3" xfId="10712" xr:uid="{00000000-0005-0000-0000-00001D090000}"/>
    <cellStyle name="20% - Accent2 44 3 2" xfId="22000" xr:uid="{00000000-0005-0000-0000-00001E090000}"/>
    <cellStyle name="20% - Accent2 44 4" xfId="8718" xr:uid="{00000000-0005-0000-0000-00001F090000}"/>
    <cellStyle name="20% - Accent2 44 4 2" xfId="20006" xr:uid="{00000000-0005-0000-0000-000020090000}"/>
    <cellStyle name="20% - Accent2 44 5" xfId="6724" xr:uid="{00000000-0005-0000-0000-000021090000}"/>
    <cellStyle name="20% - Accent2 44 5 2" xfId="18012" xr:uid="{00000000-0005-0000-0000-000022090000}"/>
    <cellStyle name="20% - Accent2 44 6" xfId="4730" xr:uid="{00000000-0005-0000-0000-000023090000}"/>
    <cellStyle name="20% - Accent2 44 6 2" xfId="16018" xr:uid="{00000000-0005-0000-0000-000024090000}"/>
    <cellStyle name="20% - Accent2 44 7" xfId="14024" xr:uid="{00000000-0005-0000-0000-000025090000}"/>
    <cellStyle name="20% - Accent2 44 8" xfId="12710" xr:uid="{00000000-0005-0000-0000-000026090000}"/>
    <cellStyle name="20% - Accent2 45" xfId="775" xr:uid="{00000000-0005-0000-0000-000027090000}"/>
    <cellStyle name="20% - Accent2 45 2" xfId="3731" xr:uid="{00000000-0005-0000-0000-000028090000}"/>
    <cellStyle name="20% - Accent2 45 2 2" xfId="11710" xr:uid="{00000000-0005-0000-0000-000029090000}"/>
    <cellStyle name="20% - Accent2 45 2 2 2" xfId="22998" xr:uid="{00000000-0005-0000-0000-00002A090000}"/>
    <cellStyle name="20% - Accent2 45 2 3" xfId="9716" xr:uid="{00000000-0005-0000-0000-00002B090000}"/>
    <cellStyle name="20% - Accent2 45 2 3 2" xfId="21004" xr:uid="{00000000-0005-0000-0000-00002C090000}"/>
    <cellStyle name="20% - Accent2 45 2 4" xfId="7722" xr:uid="{00000000-0005-0000-0000-00002D090000}"/>
    <cellStyle name="20% - Accent2 45 2 4 2" xfId="19010" xr:uid="{00000000-0005-0000-0000-00002E090000}"/>
    <cellStyle name="20% - Accent2 45 2 5" xfId="5728" xr:uid="{00000000-0005-0000-0000-00002F090000}"/>
    <cellStyle name="20% - Accent2 45 2 5 2" xfId="17016" xr:uid="{00000000-0005-0000-0000-000030090000}"/>
    <cellStyle name="20% - Accent2 45 2 6" xfId="15022" xr:uid="{00000000-0005-0000-0000-000031090000}"/>
    <cellStyle name="20% - Accent2 45 3" xfId="10713" xr:uid="{00000000-0005-0000-0000-000032090000}"/>
    <cellStyle name="20% - Accent2 45 3 2" xfId="22001" xr:uid="{00000000-0005-0000-0000-000033090000}"/>
    <cellStyle name="20% - Accent2 45 4" xfId="8719" xr:uid="{00000000-0005-0000-0000-000034090000}"/>
    <cellStyle name="20% - Accent2 45 4 2" xfId="20007" xr:uid="{00000000-0005-0000-0000-000035090000}"/>
    <cellStyle name="20% - Accent2 45 5" xfId="6725" xr:uid="{00000000-0005-0000-0000-000036090000}"/>
    <cellStyle name="20% - Accent2 45 5 2" xfId="18013" xr:uid="{00000000-0005-0000-0000-000037090000}"/>
    <cellStyle name="20% - Accent2 45 6" xfId="4731" xr:uid="{00000000-0005-0000-0000-000038090000}"/>
    <cellStyle name="20% - Accent2 45 6 2" xfId="16019" xr:uid="{00000000-0005-0000-0000-000039090000}"/>
    <cellStyle name="20% - Accent2 45 7" xfId="14025" xr:uid="{00000000-0005-0000-0000-00003A090000}"/>
    <cellStyle name="20% - Accent2 45 8" xfId="12711" xr:uid="{00000000-0005-0000-0000-00003B090000}"/>
    <cellStyle name="20% - Accent2 46" xfId="776" xr:uid="{00000000-0005-0000-0000-00003C090000}"/>
    <cellStyle name="20% - Accent2 46 2" xfId="3732" xr:uid="{00000000-0005-0000-0000-00003D090000}"/>
    <cellStyle name="20% - Accent2 46 2 2" xfId="11711" xr:uid="{00000000-0005-0000-0000-00003E090000}"/>
    <cellStyle name="20% - Accent2 46 2 2 2" xfId="22999" xr:uid="{00000000-0005-0000-0000-00003F090000}"/>
    <cellStyle name="20% - Accent2 46 2 3" xfId="9717" xr:uid="{00000000-0005-0000-0000-000040090000}"/>
    <cellStyle name="20% - Accent2 46 2 3 2" xfId="21005" xr:uid="{00000000-0005-0000-0000-000041090000}"/>
    <cellStyle name="20% - Accent2 46 2 4" xfId="7723" xr:uid="{00000000-0005-0000-0000-000042090000}"/>
    <cellStyle name="20% - Accent2 46 2 4 2" xfId="19011" xr:uid="{00000000-0005-0000-0000-000043090000}"/>
    <cellStyle name="20% - Accent2 46 2 5" xfId="5729" xr:uid="{00000000-0005-0000-0000-000044090000}"/>
    <cellStyle name="20% - Accent2 46 2 5 2" xfId="17017" xr:uid="{00000000-0005-0000-0000-000045090000}"/>
    <cellStyle name="20% - Accent2 46 2 6" xfId="15023" xr:uid="{00000000-0005-0000-0000-000046090000}"/>
    <cellStyle name="20% - Accent2 46 3" xfId="10714" xr:uid="{00000000-0005-0000-0000-000047090000}"/>
    <cellStyle name="20% - Accent2 46 3 2" xfId="22002" xr:uid="{00000000-0005-0000-0000-000048090000}"/>
    <cellStyle name="20% - Accent2 46 4" xfId="8720" xr:uid="{00000000-0005-0000-0000-000049090000}"/>
    <cellStyle name="20% - Accent2 46 4 2" xfId="20008" xr:uid="{00000000-0005-0000-0000-00004A090000}"/>
    <cellStyle name="20% - Accent2 46 5" xfId="6726" xr:uid="{00000000-0005-0000-0000-00004B090000}"/>
    <cellStyle name="20% - Accent2 46 5 2" xfId="18014" xr:uid="{00000000-0005-0000-0000-00004C090000}"/>
    <cellStyle name="20% - Accent2 46 6" xfId="4732" xr:uid="{00000000-0005-0000-0000-00004D090000}"/>
    <cellStyle name="20% - Accent2 46 6 2" xfId="16020" xr:uid="{00000000-0005-0000-0000-00004E090000}"/>
    <cellStyle name="20% - Accent2 46 7" xfId="14026" xr:uid="{00000000-0005-0000-0000-00004F090000}"/>
    <cellStyle name="20% - Accent2 46 8" xfId="12712" xr:uid="{00000000-0005-0000-0000-000050090000}"/>
    <cellStyle name="20% - Accent2 47" xfId="777" xr:uid="{00000000-0005-0000-0000-000051090000}"/>
    <cellStyle name="20% - Accent2 47 2" xfId="3733" xr:uid="{00000000-0005-0000-0000-000052090000}"/>
    <cellStyle name="20% - Accent2 47 2 2" xfId="11712" xr:uid="{00000000-0005-0000-0000-000053090000}"/>
    <cellStyle name="20% - Accent2 47 2 2 2" xfId="23000" xr:uid="{00000000-0005-0000-0000-000054090000}"/>
    <cellStyle name="20% - Accent2 47 2 3" xfId="9718" xr:uid="{00000000-0005-0000-0000-000055090000}"/>
    <cellStyle name="20% - Accent2 47 2 3 2" xfId="21006" xr:uid="{00000000-0005-0000-0000-000056090000}"/>
    <cellStyle name="20% - Accent2 47 2 4" xfId="7724" xr:uid="{00000000-0005-0000-0000-000057090000}"/>
    <cellStyle name="20% - Accent2 47 2 4 2" xfId="19012" xr:uid="{00000000-0005-0000-0000-000058090000}"/>
    <cellStyle name="20% - Accent2 47 2 5" xfId="5730" xr:uid="{00000000-0005-0000-0000-000059090000}"/>
    <cellStyle name="20% - Accent2 47 2 5 2" xfId="17018" xr:uid="{00000000-0005-0000-0000-00005A090000}"/>
    <cellStyle name="20% - Accent2 47 2 6" xfId="15024" xr:uid="{00000000-0005-0000-0000-00005B090000}"/>
    <cellStyle name="20% - Accent2 47 3" xfId="10715" xr:uid="{00000000-0005-0000-0000-00005C090000}"/>
    <cellStyle name="20% - Accent2 47 3 2" xfId="22003" xr:uid="{00000000-0005-0000-0000-00005D090000}"/>
    <cellStyle name="20% - Accent2 47 4" xfId="8721" xr:uid="{00000000-0005-0000-0000-00005E090000}"/>
    <cellStyle name="20% - Accent2 47 4 2" xfId="20009" xr:uid="{00000000-0005-0000-0000-00005F090000}"/>
    <cellStyle name="20% - Accent2 47 5" xfId="6727" xr:uid="{00000000-0005-0000-0000-000060090000}"/>
    <cellStyle name="20% - Accent2 47 5 2" xfId="18015" xr:uid="{00000000-0005-0000-0000-000061090000}"/>
    <cellStyle name="20% - Accent2 47 6" xfId="4733" xr:uid="{00000000-0005-0000-0000-000062090000}"/>
    <cellStyle name="20% - Accent2 47 6 2" xfId="16021" xr:uid="{00000000-0005-0000-0000-000063090000}"/>
    <cellStyle name="20% - Accent2 47 7" xfId="14027" xr:uid="{00000000-0005-0000-0000-000064090000}"/>
    <cellStyle name="20% - Accent2 47 8" xfId="12713" xr:uid="{00000000-0005-0000-0000-000065090000}"/>
    <cellStyle name="20% - Accent2 48" xfId="778" xr:uid="{00000000-0005-0000-0000-000066090000}"/>
    <cellStyle name="20% - Accent2 48 2" xfId="3734" xr:uid="{00000000-0005-0000-0000-000067090000}"/>
    <cellStyle name="20% - Accent2 48 2 2" xfId="11713" xr:uid="{00000000-0005-0000-0000-000068090000}"/>
    <cellStyle name="20% - Accent2 48 2 2 2" xfId="23001" xr:uid="{00000000-0005-0000-0000-000069090000}"/>
    <cellStyle name="20% - Accent2 48 2 3" xfId="9719" xr:uid="{00000000-0005-0000-0000-00006A090000}"/>
    <cellStyle name="20% - Accent2 48 2 3 2" xfId="21007" xr:uid="{00000000-0005-0000-0000-00006B090000}"/>
    <cellStyle name="20% - Accent2 48 2 4" xfId="7725" xr:uid="{00000000-0005-0000-0000-00006C090000}"/>
    <cellStyle name="20% - Accent2 48 2 4 2" xfId="19013" xr:uid="{00000000-0005-0000-0000-00006D090000}"/>
    <cellStyle name="20% - Accent2 48 2 5" xfId="5731" xr:uid="{00000000-0005-0000-0000-00006E090000}"/>
    <cellStyle name="20% - Accent2 48 2 5 2" xfId="17019" xr:uid="{00000000-0005-0000-0000-00006F090000}"/>
    <cellStyle name="20% - Accent2 48 2 6" xfId="15025" xr:uid="{00000000-0005-0000-0000-000070090000}"/>
    <cellStyle name="20% - Accent2 48 3" xfId="10716" xr:uid="{00000000-0005-0000-0000-000071090000}"/>
    <cellStyle name="20% - Accent2 48 3 2" xfId="22004" xr:uid="{00000000-0005-0000-0000-000072090000}"/>
    <cellStyle name="20% - Accent2 48 4" xfId="8722" xr:uid="{00000000-0005-0000-0000-000073090000}"/>
    <cellStyle name="20% - Accent2 48 4 2" xfId="20010" xr:uid="{00000000-0005-0000-0000-000074090000}"/>
    <cellStyle name="20% - Accent2 48 5" xfId="6728" xr:uid="{00000000-0005-0000-0000-000075090000}"/>
    <cellStyle name="20% - Accent2 48 5 2" xfId="18016" xr:uid="{00000000-0005-0000-0000-000076090000}"/>
    <cellStyle name="20% - Accent2 48 6" xfId="4734" xr:uid="{00000000-0005-0000-0000-000077090000}"/>
    <cellStyle name="20% - Accent2 48 6 2" xfId="16022" xr:uid="{00000000-0005-0000-0000-000078090000}"/>
    <cellStyle name="20% - Accent2 48 7" xfId="14028" xr:uid="{00000000-0005-0000-0000-000079090000}"/>
    <cellStyle name="20% - Accent2 48 8" xfId="12714" xr:uid="{00000000-0005-0000-0000-00007A090000}"/>
    <cellStyle name="20% - Accent2 49" xfId="779" xr:uid="{00000000-0005-0000-0000-00007B090000}"/>
    <cellStyle name="20% - Accent2 49 2" xfId="3735" xr:uid="{00000000-0005-0000-0000-00007C090000}"/>
    <cellStyle name="20% - Accent2 49 2 2" xfId="11714" xr:uid="{00000000-0005-0000-0000-00007D090000}"/>
    <cellStyle name="20% - Accent2 49 2 2 2" xfId="23002" xr:uid="{00000000-0005-0000-0000-00007E090000}"/>
    <cellStyle name="20% - Accent2 49 2 3" xfId="9720" xr:uid="{00000000-0005-0000-0000-00007F090000}"/>
    <cellStyle name="20% - Accent2 49 2 3 2" xfId="21008" xr:uid="{00000000-0005-0000-0000-000080090000}"/>
    <cellStyle name="20% - Accent2 49 2 4" xfId="7726" xr:uid="{00000000-0005-0000-0000-000081090000}"/>
    <cellStyle name="20% - Accent2 49 2 4 2" xfId="19014" xr:uid="{00000000-0005-0000-0000-000082090000}"/>
    <cellStyle name="20% - Accent2 49 2 5" xfId="5732" xr:uid="{00000000-0005-0000-0000-000083090000}"/>
    <cellStyle name="20% - Accent2 49 2 5 2" xfId="17020" xr:uid="{00000000-0005-0000-0000-000084090000}"/>
    <cellStyle name="20% - Accent2 49 2 6" xfId="15026" xr:uid="{00000000-0005-0000-0000-000085090000}"/>
    <cellStyle name="20% - Accent2 49 3" xfId="10717" xr:uid="{00000000-0005-0000-0000-000086090000}"/>
    <cellStyle name="20% - Accent2 49 3 2" xfId="22005" xr:uid="{00000000-0005-0000-0000-000087090000}"/>
    <cellStyle name="20% - Accent2 49 4" xfId="8723" xr:uid="{00000000-0005-0000-0000-000088090000}"/>
    <cellStyle name="20% - Accent2 49 4 2" xfId="20011" xr:uid="{00000000-0005-0000-0000-000089090000}"/>
    <cellStyle name="20% - Accent2 49 5" xfId="6729" xr:uid="{00000000-0005-0000-0000-00008A090000}"/>
    <cellStyle name="20% - Accent2 49 5 2" xfId="18017" xr:uid="{00000000-0005-0000-0000-00008B090000}"/>
    <cellStyle name="20% - Accent2 49 6" xfId="4735" xr:uid="{00000000-0005-0000-0000-00008C090000}"/>
    <cellStyle name="20% - Accent2 49 6 2" xfId="16023" xr:uid="{00000000-0005-0000-0000-00008D090000}"/>
    <cellStyle name="20% - Accent2 49 7" xfId="14029" xr:uid="{00000000-0005-0000-0000-00008E090000}"/>
    <cellStyle name="20% - Accent2 49 8" xfId="12715" xr:uid="{00000000-0005-0000-0000-00008F090000}"/>
    <cellStyle name="20% - Accent2 5" xfId="780" xr:uid="{00000000-0005-0000-0000-000090090000}"/>
    <cellStyle name="20% - Accent2 5 10" xfId="24568" xr:uid="{00000000-0005-0000-0000-000091090000}"/>
    <cellStyle name="20% - Accent2 5 11" xfId="24958" xr:uid="{00000000-0005-0000-0000-000092090000}"/>
    <cellStyle name="20% - Accent2 5 2" xfId="3736" xr:uid="{00000000-0005-0000-0000-000093090000}"/>
    <cellStyle name="20% - Accent2 5 2 2" xfId="11715" xr:uid="{00000000-0005-0000-0000-000094090000}"/>
    <cellStyle name="20% - Accent2 5 2 2 2" xfId="23003" xr:uid="{00000000-0005-0000-0000-000095090000}"/>
    <cellStyle name="20% - Accent2 5 2 3" xfId="9721" xr:uid="{00000000-0005-0000-0000-000096090000}"/>
    <cellStyle name="20% - Accent2 5 2 3 2" xfId="21009" xr:uid="{00000000-0005-0000-0000-000097090000}"/>
    <cellStyle name="20% - Accent2 5 2 4" xfId="7727" xr:uid="{00000000-0005-0000-0000-000098090000}"/>
    <cellStyle name="20% - Accent2 5 2 4 2" xfId="19015" xr:uid="{00000000-0005-0000-0000-000099090000}"/>
    <cellStyle name="20% - Accent2 5 2 5" xfId="5733" xr:uid="{00000000-0005-0000-0000-00009A090000}"/>
    <cellStyle name="20% - Accent2 5 2 5 2" xfId="17021" xr:uid="{00000000-0005-0000-0000-00009B090000}"/>
    <cellStyle name="20% - Accent2 5 2 6" xfId="15027" xr:uid="{00000000-0005-0000-0000-00009C090000}"/>
    <cellStyle name="20% - Accent2 5 2 7" xfId="24329" xr:uid="{00000000-0005-0000-0000-00009D090000}"/>
    <cellStyle name="20% - Accent2 5 2 8" xfId="24793" xr:uid="{00000000-0005-0000-0000-00009E090000}"/>
    <cellStyle name="20% - Accent2 5 2 9" xfId="25160" xr:uid="{00000000-0005-0000-0000-00009F090000}"/>
    <cellStyle name="20% - Accent2 5 3" xfId="10718" xr:uid="{00000000-0005-0000-0000-0000A0090000}"/>
    <cellStyle name="20% - Accent2 5 3 2" xfId="22006" xr:uid="{00000000-0005-0000-0000-0000A1090000}"/>
    <cellStyle name="20% - Accent2 5 4" xfId="8724" xr:uid="{00000000-0005-0000-0000-0000A2090000}"/>
    <cellStyle name="20% - Accent2 5 4 2" xfId="20012" xr:uid="{00000000-0005-0000-0000-0000A3090000}"/>
    <cellStyle name="20% - Accent2 5 5" xfId="6730" xr:uid="{00000000-0005-0000-0000-0000A4090000}"/>
    <cellStyle name="20% - Accent2 5 5 2" xfId="18018" xr:uid="{00000000-0005-0000-0000-0000A5090000}"/>
    <cellStyle name="20% - Accent2 5 6" xfId="4736" xr:uid="{00000000-0005-0000-0000-0000A6090000}"/>
    <cellStyle name="20% - Accent2 5 6 2" xfId="16024" xr:uid="{00000000-0005-0000-0000-0000A7090000}"/>
    <cellStyle name="20% - Accent2 5 7" xfId="14030" xr:uid="{00000000-0005-0000-0000-0000A8090000}"/>
    <cellStyle name="20% - Accent2 5 8" xfId="12716" xr:uid="{00000000-0005-0000-0000-0000A9090000}"/>
    <cellStyle name="20% - Accent2 5 9" xfId="23941" xr:uid="{00000000-0005-0000-0000-0000AA090000}"/>
    <cellStyle name="20% - Accent2 50" xfId="781" xr:uid="{00000000-0005-0000-0000-0000AB090000}"/>
    <cellStyle name="20% - Accent2 50 2" xfId="3737" xr:uid="{00000000-0005-0000-0000-0000AC090000}"/>
    <cellStyle name="20% - Accent2 50 2 2" xfId="11716" xr:uid="{00000000-0005-0000-0000-0000AD090000}"/>
    <cellStyle name="20% - Accent2 50 2 2 2" xfId="23004" xr:uid="{00000000-0005-0000-0000-0000AE090000}"/>
    <cellStyle name="20% - Accent2 50 2 3" xfId="9722" xr:uid="{00000000-0005-0000-0000-0000AF090000}"/>
    <cellStyle name="20% - Accent2 50 2 3 2" xfId="21010" xr:uid="{00000000-0005-0000-0000-0000B0090000}"/>
    <cellStyle name="20% - Accent2 50 2 4" xfId="7728" xr:uid="{00000000-0005-0000-0000-0000B1090000}"/>
    <cellStyle name="20% - Accent2 50 2 4 2" xfId="19016" xr:uid="{00000000-0005-0000-0000-0000B2090000}"/>
    <cellStyle name="20% - Accent2 50 2 5" xfId="5734" xr:uid="{00000000-0005-0000-0000-0000B3090000}"/>
    <cellStyle name="20% - Accent2 50 2 5 2" xfId="17022" xr:uid="{00000000-0005-0000-0000-0000B4090000}"/>
    <cellStyle name="20% - Accent2 50 2 6" xfId="15028" xr:uid="{00000000-0005-0000-0000-0000B5090000}"/>
    <cellStyle name="20% - Accent2 50 3" xfId="10719" xr:uid="{00000000-0005-0000-0000-0000B6090000}"/>
    <cellStyle name="20% - Accent2 50 3 2" xfId="22007" xr:uid="{00000000-0005-0000-0000-0000B7090000}"/>
    <cellStyle name="20% - Accent2 50 4" xfId="8725" xr:uid="{00000000-0005-0000-0000-0000B8090000}"/>
    <cellStyle name="20% - Accent2 50 4 2" xfId="20013" xr:uid="{00000000-0005-0000-0000-0000B9090000}"/>
    <cellStyle name="20% - Accent2 50 5" xfId="6731" xr:uid="{00000000-0005-0000-0000-0000BA090000}"/>
    <cellStyle name="20% - Accent2 50 5 2" xfId="18019" xr:uid="{00000000-0005-0000-0000-0000BB090000}"/>
    <cellStyle name="20% - Accent2 50 6" xfId="4737" xr:uid="{00000000-0005-0000-0000-0000BC090000}"/>
    <cellStyle name="20% - Accent2 50 6 2" xfId="16025" xr:uid="{00000000-0005-0000-0000-0000BD090000}"/>
    <cellStyle name="20% - Accent2 50 7" xfId="14031" xr:uid="{00000000-0005-0000-0000-0000BE090000}"/>
    <cellStyle name="20% - Accent2 50 8" xfId="12717" xr:uid="{00000000-0005-0000-0000-0000BF090000}"/>
    <cellStyle name="20% - Accent2 51" xfId="782" xr:uid="{00000000-0005-0000-0000-0000C0090000}"/>
    <cellStyle name="20% - Accent2 51 2" xfId="3738" xr:uid="{00000000-0005-0000-0000-0000C1090000}"/>
    <cellStyle name="20% - Accent2 51 2 2" xfId="11717" xr:uid="{00000000-0005-0000-0000-0000C2090000}"/>
    <cellStyle name="20% - Accent2 51 2 2 2" xfId="23005" xr:uid="{00000000-0005-0000-0000-0000C3090000}"/>
    <cellStyle name="20% - Accent2 51 2 3" xfId="9723" xr:uid="{00000000-0005-0000-0000-0000C4090000}"/>
    <cellStyle name="20% - Accent2 51 2 3 2" xfId="21011" xr:uid="{00000000-0005-0000-0000-0000C5090000}"/>
    <cellStyle name="20% - Accent2 51 2 4" xfId="7729" xr:uid="{00000000-0005-0000-0000-0000C6090000}"/>
    <cellStyle name="20% - Accent2 51 2 4 2" xfId="19017" xr:uid="{00000000-0005-0000-0000-0000C7090000}"/>
    <cellStyle name="20% - Accent2 51 2 5" xfId="5735" xr:uid="{00000000-0005-0000-0000-0000C8090000}"/>
    <cellStyle name="20% - Accent2 51 2 5 2" xfId="17023" xr:uid="{00000000-0005-0000-0000-0000C9090000}"/>
    <cellStyle name="20% - Accent2 51 2 6" xfId="15029" xr:uid="{00000000-0005-0000-0000-0000CA090000}"/>
    <cellStyle name="20% - Accent2 51 3" xfId="10720" xr:uid="{00000000-0005-0000-0000-0000CB090000}"/>
    <cellStyle name="20% - Accent2 51 3 2" xfId="22008" xr:uid="{00000000-0005-0000-0000-0000CC090000}"/>
    <cellStyle name="20% - Accent2 51 4" xfId="8726" xr:uid="{00000000-0005-0000-0000-0000CD090000}"/>
    <cellStyle name="20% - Accent2 51 4 2" xfId="20014" xr:uid="{00000000-0005-0000-0000-0000CE090000}"/>
    <cellStyle name="20% - Accent2 51 5" xfId="6732" xr:uid="{00000000-0005-0000-0000-0000CF090000}"/>
    <cellStyle name="20% - Accent2 51 5 2" xfId="18020" xr:uid="{00000000-0005-0000-0000-0000D0090000}"/>
    <cellStyle name="20% - Accent2 51 6" xfId="4738" xr:uid="{00000000-0005-0000-0000-0000D1090000}"/>
    <cellStyle name="20% - Accent2 51 6 2" xfId="16026" xr:uid="{00000000-0005-0000-0000-0000D2090000}"/>
    <cellStyle name="20% - Accent2 51 7" xfId="14032" xr:uid="{00000000-0005-0000-0000-0000D3090000}"/>
    <cellStyle name="20% - Accent2 51 8" xfId="12718" xr:uid="{00000000-0005-0000-0000-0000D4090000}"/>
    <cellStyle name="20% - Accent2 52" xfId="783" xr:uid="{00000000-0005-0000-0000-0000D5090000}"/>
    <cellStyle name="20% - Accent2 52 2" xfId="3739" xr:uid="{00000000-0005-0000-0000-0000D6090000}"/>
    <cellStyle name="20% - Accent2 52 2 2" xfId="11718" xr:uid="{00000000-0005-0000-0000-0000D7090000}"/>
    <cellStyle name="20% - Accent2 52 2 2 2" xfId="23006" xr:uid="{00000000-0005-0000-0000-0000D8090000}"/>
    <cellStyle name="20% - Accent2 52 2 3" xfId="9724" xr:uid="{00000000-0005-0000-0000-0000D9090000}"/>
    <cellStyle name="20% - Accent2 52 2 3 2" xfId="21012" xr:uid="{00000000-0005-0000-0000-0000DA090000}"/>
    <cellStyle name="20% - Accent2 52 2 4" xfId="7730" xr:uid="{00000000-0005-0000-0000-0000DB090000}"/>
    <cellStyle name="20% - Accent2 52 2 4 2" xfId="19018" xr:uid="{00000000-0005-0000-0000-0000DC090000}"/>
    <cellStyle name="20% - Accent2 52 2 5" xfId="5736" xr:uid="{00000000-0005-0000-0000-0000DD090000}"/>
    <cellStyle name="20% - Accent2 52 2 5 2" xfId="17024" xr:uid="{00000000-0005-0000-0000-0000DE090000}"/>
    <cellStyle name="20% - Accent2 52 2 6" xfId="15030" xr:uid="{00000000-0005-0000-0000-0000DF090000}"/>
    <cellStyle name="20% - Accent2 52 3" xfId="10721" xr:uid="{00000000-0005-0000-0000-0000E0090000}"/>
    <cellStyle name="20% - Accent2 52 3 2" xfId="22009" xr:uid="{00000000-0005-0000-0000-0000E1090000}"/>
    <cellStyle name="20% - Accent2 52 4" xfId="8727" xr:uid="{00000000-0005-0000-0000-0000E2090000}"/>
    <cellStyle name="20% - Accent2 52 4 2" xfId="20015" xr:uid="{00000000-0005-0000-0000-0000E3090000}"/>
    <cellStyle name="20% - Accent2 52 5" xfId="6733" xr:uid="{00000000-0005-0000-0000-0000E4090000}"/>
    <cellStyle name="20% - Accent2 52 5 2" xfId="18021" xr:uid="{00000000-0005-0000-0000-0000E5090000}"/>
    <cellStyle name="20% - Accent2 52 6" xfId="4739" xr:uid="{00000000-0005-0000-0000-0000E6090000}"/>
    <cellStyle name="20% - Accent2 52 6 2" xfId="16027" xr:uid="{00000000-0005-0000-0000-0000E7090000}"/>
    <cellStyle name="20% - Accent2 52 7" xfId="14033" xr:uid="{00000000-0005-0000-0000-0000E8090000}"/>
    <cellStyle name="20% - Accent2 52 8" xfId="12719" xr:uid="{00000000-0005-0000-0000-0000E9090000}"/>
    <cellStyle name="20% - Accent2 53" xfId="784" xr:uid="{00000000-0005-0000-0000-0000EA090000}"/>
    <cellStyle name="20% - Accent2 53 2" xfId="3740" xr:uid="{00000000-0005-0000-0000-0000EB090000}"/>
    <cellStyle name="20% - Accent2 53 2 2" xfId="11719" xr:uid="{00000000-0005-0000-0000-0000EC090000}"/>
    <cellStyle name="20% - Accent2 53 2 2 2" xfId="23007" xr:uid="{00000000-0005-0000-0000-0000ED090000}"/>
    <cellStyle name="20% - Accent2 53 2 3" xfId="9725" xr:uid="{00000000-0005-0000-0000-0000EE090000}"/>
    <cellStyle name="20% - Accent2 53 2 3 2" xfId="21013" xr:uid="{00000000-0005-0000-0000-0000EF090000}"/>
    <cellStyle name="20% - Accent2 53 2 4" xfId="7731" xr:uid="{00000000-0005-0000-0000-0000F0090000}"/>
    <cellStyle name="20% - Accent2 53 2 4 2" xfId="19019" xr:uid="{00000000-0005-0000-0000-0000F1090000}"/>
    <cellStyle name="20% - Accent2 53 2 5" xfId="5737" xr:uid="{00000000-0005-0000-0000-0000F2090000}"/>
    <cellStyle name="20% - Accent2 53 2 5 2" xfId="17025" xr:uid="{00000000-0005-0000-0000-0000F3090000}"/>
    <cellStyle name="20% - Accent2 53 2 6" xfId="15031" xr:uid="{00000000-0005-0000-0000-0000F4090000}"/>
    <cellStyle name="20% - Accent2 53 3" xfId="10722" xr:uid="{00000000-0005-0000-0000-0000F5090000}"/>
    <cellStyle name="20% - Accent2 53 3 2" xfId="22010" xr:uid="{00000000-0005-0000-0000-0000F6090000}"/>
    <cellStyle name="20% - Accent2 53 4" xfId="8728" xr:uid="{00000000-0005-0000-0000-0000F7090000}"/>
    <cellStyle name="20% - Accent2 53 4 2" xfId="20016" xr:uid="{00000000-0005-0000-0000-0000F8090000}"/>
    <cellStyle name="20% - Accent2 53 5" xfId="6734" xr:uid="{00000000-0005-0000-0000-0000F9090000}"/>
    <cellStyle name="20% - Accent2 53 5 2" xfId="18022" xr:uid="{00000000-0005-0000-0000-0000FA090000}"/>
    <cellStyle name="20% - Accent2 53 6" xfId="4740" xr:uid="{00000000-0005-0000-0000-0000FB090000}"/>
    <cellStyle name="20% - Accent2 53 6 2" xfId="16028" xr:uid="{00000000-0005-0000-0000-0000FC090000}"/>
    <cellStyle name="20% - Accent2 53 7" xfId="14034" xr:uid="{00000000-0005-0000-0000-0000FD090000}"/>
    <cellStyle name="20% - Accent2 53 8" xfId="12720" xr:uid="{00000000-0005-0000-0000-0000FE090000}"/>
    <cellStyle name="20% - Accent2 54" xfId="785" xr:uid="{00000000-0005-0000-0000-0000FF090000}"/>
    <cellStyle name="20% - Accent2 54 2" xfId="3741" xr:uid="{00000000-0005-0000-0000-0000000A0000}"/>
    <cellStyle name="20% - Accent2 54 2 2" xfId="11720" xr:uid="{00000000-0005-0000-0000-0000010A0000}"/>
    <cellStyle name="20% - Accent2 54 2 2 2" xfId="23008" xr:uid="{00000000-0005-0000-0000-0000020A0000}"/>
    <cellStyle name="20% - Accent2 54 2 3" xfId="9726" xr:uid="{00000000-0005-0000-0000-0000030A0000}"/>
    <cellStyle name="20% - Accent2 54 2 3 2" xfId="21014" xr:uid="{00000000-0005-0000-0000-0000040A0000}"/>
    <cellStyle name="20% - Accent2 54 2 4" xfId="7732" xr:uid="{00000000-0005-0000-0000-0000050A0000}"/>
    <cellStyle name="20% - Accent2 54 2 4 2" xfId="19020" xr:uid="{00000000-0005-0000-0000-0000060A0000}"/>
    <cellStyle name="20% - Accent2 54 2 5" xfId="5738" xr:uid="{00000000-0005-0000-0000-0000070A0000}"/>
    <cellStyle name="20% - Accent2 54 2 5 2" xfId="17026" xr:uid="{00000000-0005-0000-0000-0000080A0000}"/>
    <cellStyle name="20% - Accent2 54 2 6" xfId="15032" xr:uid="{00000000-0005-0000-0000-0000090A0000}"/>
    <cellStyle name="20% - Accent2 54 3" xfId="10723" xr:uid="{00000000-0005-0000-0000-00000A0A0000}"/>
    <cellStyle name="20% - Accent2 54 3 2" xfId="22011" xr:uid="{00000000-0005-0000-0000-00000B0A0000}"/>
    <cellStyle name="20% - Accent2 54 4" xfId="8729" xr:uid="{00000000-0005-0000-0000-00000C0A0000}"/>
    <cellStyle name="20% - Accent2 54 4 2" xfId="20017" xr:uid="{00000000-0005-0000-0000-00000D0A0000}"/>
    <cellStyle name="20% - Accent2 54 5" xfId="6735" xr:uid="{00000000-0005-0000-0000-00000E0A0000}"/>
    <cellStyle name="20% - Accent2 54 5 2" xfId="18023" xr:uid="{00000000-0005-0000-0000-00000F0A0000}"/>
    <cellStyle name="20% - Accent2 54 6" xfId="4741" xr:uid="{00000000-0005-0000-0000-0000100A0000}"/>
    <cellStyle name="20% - Accent2 54 6 2" xfId="16029" xr:uid="{00000000-0005-0000-0000-0000110A0000}"/>
    <cellStyle name="20% - Accent2 54 7" xfId="14035" xr:uid="{00000000-0005-0000-0000-0000120A0000}"/>
    <cellStyle name="20% - Accent2 54 8" xfId="12721" xr:uid="{00000000-0005-0000-0000-0000130A0000}"/>
    <cellStyle name="20% - Accent2 55" xfId="786" xr:uid="{00000000-0005-0000-0000-0000140A0000}"/>
    <cellStyle name="20% - Accent2 55 2" xfId="3742" xr:uid="{00000000-0005-0000-0000-0000150A0000}"/>
    <cellStyle name="20% - Accent2 55 2 2" xfId="11721" xr:uid="{00000000-0005-0000-0000-0000160A0000}"/>
    <cellStyle name="20% - Accent2 55 2 2 2" xfId="23009" xr:uid="{00000000-0005-0000-0000-0000170A0000}"/>
    <cellStyle name="20% - Accent2 55 2 3" xfId="9727" xr:uid="{00000000-0005-0000-0000-0000180A0000}"/>
    <cellStyle name="20% - Accent2 55 2 3 2" xfId="21015" xr:uid="{00000000-0005-0000-0000-0000190A0000}"/>
    <cellStyle name="20% - Accent2 55 2 4" xfId="7733" xr:uid="{00000000-0005-0000-0000-00001A0A0000}"/>
    <cellStyle name="20% - Accent2 55 2 4 2" xfId="19021" xr:uid="{00000000-0005-0000-0000-00001B0A0000}"/>
    <cellStyle name="20% - Accent2 55 2 5" xfId="5739" xr:uid="{00000000-0005-0000-0000-00001C0A0000}"/>
    <cellStyle name="20% - Accent2 55 2 5 2" xfId="17027" xr:uid="{00000000-0005-0000-0000-00001D0A0000}"/>
    <cellStyle name="20% - Accent2 55 2 6" xfId="15033" xr:uid="{00000000-0005-0000-0000-00001E0A0000}"/>
    <cellStyle name="20% - Accent2 55 3" xfId="10724" xr:uid="{00000000-0005-0000-0000-00001F0A0000}"/>
    <cellStyle name="20% - Accent2 55 3 2" xfId="22012" xr:uid="{00000000-0005-0000-0000-0000200A0000}"/>
    <cellStyle name="20% - Accent2 55 4" xfId="8730" xr:uid="{00000000-0005-0000-0000-0000210A0000}"/>
    <cellStyle name="20% - Accent2 55 4 2" xfId="20018" xr:uid="{00000000-0005-0000-0000-0000220A0000}"/>
    <cellStyle name="20% - Accent2 55 5" xfId="6736" xr:uid="{00000000-0005-0000-0000-0000230A0000}"/>
    <cellStyle name="20% - Accent2 55 5 2" xfId="18024" xr:uid="{00000000-0005-0000-0000-0000240A0000}"/>
    <cellStyle name="20% - Accent2 55 6" xfId="4742" xr:uid="{00000000-0005-0000-0000-0000250A0000}"/>
    <cellStyle name="20% - Accent2 55 6 2" xfId="16030" xr:uid="{00000000-0005-0000-0000-0000260A0000}"/>
    <cellStyle name="20% - Accent2 55 7" xfId="14036" xr:uid="{00000000-0005-0000-0000-0000270A0000}"/>
    <cellStyle name="20% - Accent2 55 8" xfId="12722" xr:uid="{00000000-0005-0000-0000-0000280A0000}"/>
    <cellStyle name="20% - Accent2 56" xfId="787" xr:uid="{00000000-0005-0000-0000-0000290A0000}"/>
    <cellStyle name="20% - Accent2 56 2" xfId="3743" xr:uid="{00000000-0005-0000-0000-00002A0A0000}"/>
    <cellStyle name="20% - Accent2 56 2 2" xfId="11722" xr:uid="{00000000-0005-0000-0000-00002B0A0000}"/>
    <cellStyle name="20% - Accent2 56 2 2 2" xfId="23010" xr:uid="{00000000-0005-0000-0000-00002C0A0000}"/>
    <cellStyle name="20% - Accent2 56 2 3" xfId="9728" xr:uid="{00000000-0005-0000-0000-00002D0A0000}"/>
    <cellStyle name="20% - Accent2 56 2 3 2" xfId="21016" xr:uid="{00000000-0005-0000-0000-00002E0A0000}"/>
    <cellStyle name="20% - Accent2 56 2 4" xfId="7734" xr:uid="{00000000-0005-0000-0000-00002F0A0000}"/>
    <cellStyle name="20% - Accent2 56 2 4 2" xfId="19022" xr:uid="{00000000-0005-0000-0000-0000300A0000}"/>
    <cellStyle name="20% - Accent2 56 2 5" xfId="5740" xr:uid="{00000000-0005-0000-0000-0000310A0000}"/>
    <cellStyle name="20% - Accent2 56 2 5 2" xfId="17028" xr:uid="{00000000-0005-0000-0000-0000320A0000}"/>
    <cellStyle name="20% - Accent2 56 2 6" xfId="15034" xr:uid="{00000000-0005-0000-0000-0000330A0000}"/>
    <cellStyle name="20% - Accent2 56 3" xfId="10725" xr:uid="{00000000-0005-0000-0000-0000340A0000}"/>
    <cellStyle name="20% - Accent2 56 3 2" xfId="22013" xr:uid="{00000000-0005-0000-0000-0000350A0000}"/>
    <cellStyle name="20% - Accent2 56 4" xfId="8731" xr:uid="{00000000-0005-0000-0000-0000360A0000}"/>
    <cellStyle name="20% - Accent2 56 4 2" xfId="20019" xr:uid="{00000000-0005-0000-0000-0000370A0000}"/>
    <cellStyle name="20% - Accent2 56 5" xfId="6737" xr:uid="{00000000-0005-0000-0000-0000380A0000}"/>
    <cellStyle name="20% - Accent2 56 5 2" xfId="18025" xr:uid="{00000000-0005-0000-0000-0000390A0000}"/>
    <cellStyle name="20% - Accent2 56 6" xfId="4743" xr:uid="{00000000-0005-0000-0000-00003A0A0000}"/>
    <cellStyle name="20% - Accent2 56 6 2" xfId="16031" xr:uid="{00000000-0005-0000-0000-00003B0A0000}"/>
    <cellStyle name="20% - Accent2 56 7" xfId="14037" xr:uid="{00000000-0005-0000-0000-00003C0A0000}"/>
    <cellStyle name="20% - Accent2 56 8" xfId="12723" xr:uid="{00000000-0005-0000-0000-00003D0A0000}"/>
    <cellStyle name="20% - Accent2 57" xfId="788" xr:uid="{00000000-0005-0000-0000-00003E0A0000}"/>
    <cellStyle name="20% - Accent2 57 2" xfId="3744" xr:uid="{00000000-0005-0000-0000-00003F0A0000}"/>
    <cellStyle name="20% - Accent2 57 2 2" xfId="11723" xr:uid="{00000000-0005-0000-0000-0000400A0000}"/>
    <cellStyle name="20% - Accent2 57 2 2 2" xfId="23011" xr:uid="{00000000-0005-0000-0000-0000410A0000}"/>
    <cellStyle name="20% - Accent2 57 2 3" xfId="9729" xr:uid="{00000000-0005-0000-0000-0000420A0000}"/>
    <cellStyle name="20% - Accent2 57 2 3 2" xfId="21017" xr:uid="{00000000-0005-0000-0000-0000430A0000}"/>
    <cellStyle name="20% - Accent2 57 2 4" xfId="7735" xr:uid="{00000000-0005-0000-0000-0000440A0000}"/>
    <cellStyle name="20% - Accent2 57 2 4 2" xfId="19023" xr:uid="{00000000-0005-0000-0000-0000450A0000}"/>
    <cellStyle name="20% - Accent2 57 2 5" xfId="5741" xr:uid="{00000000-0005-0000-0000-0000460A0000}"/>
    <cellStyle name="20% - Accent2 57 2 5 2" xfId="17029" xr:uid="{00000000-0005-0000-0000-0000470A0000}"/>
    <cellStyle name="20% - Accent2 57 2 6" xfId="15035" xr:uid="{00000000-0005-0000-0000-0000480A0000}"/>
    <cellStyle name="20% - Accent2 57 3" xfId="10726" xr:uid="{00000000-0005-0000-0000-0000490A0000}"/>
    <cellStyle name="20% - Accent2 57 3 2" xfId="22014" xr:uid="{00000000-0005-0000-0000-00004A0A0000}"/>
    <cellStyle name="20% - Accent2 57 4" xfId="8732" xr:uid="{00000000-0005-0000-0000-00004B0A0000}"/>
    <cellStyle name="20% - Accent2 57 4 2" xfId="20020" xr:uid="{00000000-0005-0000-0000-00004C0A0000}"/>
    <cellStyle name="20% - Accent2 57 5" xfId="6738" xr:uid="{00000000-0005-0000-0000-00004D0A0000}"/>
    <cellStyle name="20% - Accent2 57 5 2" xfId="18026" xr:uid="{00000000-0005-0000-0000-00004E0A0000}"/>
    <cellStyle name="20% - Accent2 57 6" xfId="4744" xr:uid="{00000000-0005-0000-0000-00004F0A0000}"/>
    <cellStyle name="20% - Accent2 57 6 2" xfId="16032" xr:uid="{00000000-0005-0000-0000-0000500A0000}"/>
    <cellStyle name="20% - Accent2 57 7" xfId="14038" xr:uid="{00000000-0005-0000-0000-0000510A0000}"/>
    <cellStyle name="20% - Accent2 57 8" xfId="12724" xr:uid="{00000000-0005-0000-0000-0000520A0000}"/>
    <cellStyle name="20% - Accent2 58" xfId="789" xr:uid="{00000000-0005-0000-0000-0000530A0000}"/>
    <cellStyle name="20% - Accent2 58 2" xfId="3745" xr:uid="{00000000-0005-0000-0000-0000540A0000}"/>
    <cellStyle name="20% - Accent2 58 2 2" xfId="11724" xr:uid="{00000000-0005-0000-0000-0000550A0000}"/>
    <cellStyle name="20% - Accent2 58 2 2 2" xfId="23012" xr:uid="{00000000-0005-0000-0000-0000560A0000}"/>
    <cellStyle name="20% - Accent2 58 2 3" xfId="9730" xr:uid="{00000000-0005-0000-0000-0000570A0000}"/>
    <cellStyle name="20% - Accent2 58 2 3 2" xfId="21018" xr:uid="{00000000-0005-0000-0000-0000580A0000}"/>
    <cellStyle name="20% - Accent2 58 2 4" xfId="7736" xr:uid="{00000000-0005-0000-0000-0000590A0000}"/>
    <cellStyle name="20% - Accent2 58 2 4 2" xfId="19024" xr:uid="{00000000-0005-0000-0000-00005A0A0000}"/>
    <cellStyle name="20% - Accent2 58 2 5" xfId="5742" xr:uid="{00000000-0005-0000-0000-00005B0A0000}"/>
    <cellStyle name="20% - Accent2 58 2 5 2" xfId="17030" xr:uid="{00000000-0005-0000-0000-00005C0A0000}"/>
    <cellStyle name="20% - Accent2 58 2 6" xfId="15036" xr:uid="{00000000-0005-0000-0000-00005D0A0000}"/>
    <cellStyle name="20% - Accent2 58 3" xfId="10727" xr:uid="{00000000-0005-0000-0000-00005E0A0000}"/>
    <cellStyle name="20% - Accent2 58 3 2" xfId="22015" xr:uid="{00000000-0005-0000-0000-00005F0A0000}"/>
    <cellStyle name="20% - Accent2 58 4" xfId="8733" xr:uid="{00000000-0005-0000-0000-0000600A0000}"/>
    <cellStyle name="20% - Accent2 58 4 2" xfId="20021" xr:uid="{00000000-0005-0000-0000-0000610A0000}"/>
    <cellStyle name="20% - Accent2 58 5" xfId="6739" xr:uid="{00000000-0005-0000-0000-0000620A0000}"/>
    <cellStyle name="20% - Accent2 58 5 2" xfId="18027" xr:uid="{00000000-0005-0000-0000-0000630A0000}"/>
    <cellStyle name="20% - Accent2 58 6" xfId="4745" xr:uid="{00000000-0005-0000-0000-0000640A0000}"/>
    <cellStyle name="20% - Accent2 58 6 2" xfId="16033" xr:uid="{00000000-0005-0000-0000-0000650A0000}"/>
    <cellStyle name="20% - Accent2 58 7" xfId="14039" xr:uid="{00000000-0005-0000-0000-0000660A0000}"/>
    <cellStyle name="20% - Accent2 58 8" xfId="12725" xr:uid="{00000000-0005-0000-0000-0000670A0000}"/>
    <cellStyle name="20% - Accent2 59" xfId="790" xr:uid="{00000000-0005-0000-0000-0000680A0000}"/>
    <cellStyle name="20% - Accent2 59 2" xfId="3746" xr:uid="{00000000-0005-0000-0000-0000690A0000}"/>
    <cellStyle name="20% - Accent2 59 2 2" xfId="11725" xr:uid="{00000000-0005-0000-0000-00006A0A0000}"/>
    <cellStyle name="20% - Accent2 59 2 2 2" xfId="23013" xr:uid="{00000000-0005-0000-0000-00006B0A0000}"/>
    <cellStyle name="20% - Accent2 59 2 3" xfId="9731" xr:uid="{00000000-0005-0000-0000-00006C0A0000}"/>
    <cellStyle name="20% - Accent2 59 2 3 2" xfId="21019" xr:uid="{00000000-0005-0000-0000-00006D0A0000}"/>
    <cellStyle name="20% - Accent2 59 2 4" xfId="7737" xr:uid="{00000000-0005-0000-0000-00006E0A0000}"/>
    <cellStyle name="20% - Accent2 59 2 4 2" xfId="19025" xr:uid="{00000000-0005-0000-0000-00006F0A0000}"/>
    <cellStyle name="20% - Accent2 59 2 5" xfId="5743" xr:uid="{00000000-0005-0000-0000-0000700A0000}"/>
    <cellStyle name="20% - Accent2 59 2 5 2" xfId="17031" xr:uid="{00000000-0005-0000-0000-0000710A0000}"/>
    <cellStyle name="20% - Accent2 59 2 6" xfId="15037" xr:uid="{00000000-0005-0000-0000-0000720A0000}"/>
    <cellStyle name="20% - Accent2 59 3" xfId="10728" xr:uid="{00000000-0005-0000-0000-0000730A0000}"/>
    <cellStyle name="20% - Accent2 59 3 2" xfId="22016" xr:uid="{00000000-0005-0000-0000-0000740A0000}"/>
    <cellStyle name="20% - Accent2 59 4" xfId="8734" xr:uid="{00000000-0005-0000-0000-0000750A0000}"/>
    <cellStyle name="20% - Accent2 59 4 2" xfId="20022" xr:uid="{00000000-0005-0000-0000-0000760A0000}"/>
    <cellStyle name="20% - Accent2 59 5" xfId="6740" xr:uid="{00000000-0005-0000-0000-0000770A0000}"/>
    <cellStyle name="20% - Accent2 59 5 2" xfId="18028" xr:uid="{00000000-0005-0000-0000-0000780A0000}"/>
    <cellStyle name="20% - Accent2 59 6" xfId="4746" xr:uid="{00000000-0005-0000-0000-0000790A0000}"/>
    <cellStyle name="20% - Accent2 59 6 2" xfId="16034" xr:uid="{00000000-0005-0000-0000-00007A0A0000}"/>
    <cellStyle name="20% - Accent2 59 7" xfId="14040" xr:uid="{00000000-0005-0000-0000-00007B0A0000}"/>
    <cellStyle name="20% - Accent2 59 8" xfId="12726" xr:uid="{00000000-0005-0000-0000-00007C0A0000}"/>
    <cellStyle name="20% - Accent2 6" xfId="791" xr:uid="{00000000-0005-0000-0000-00007D0A0000}"/>
    <cellStyle name="20% - Accent2 6 10" xfId="24569" xr:uid="{00000000-0005-0000-0000-00007E0A0000}"/>
    <cellStyle name="20% - Accent2 6 11" xfId="24959" xr:uid="{00000000-0005-0000-0000-00007F0A0000}"/>
    <cellStyle name="20% - Accent2 6 2" xfId="3747" xr:uid="{00000000-0005-0000-0000-0000800A0000}"/>
    <cellStyle name="20% - Accent2 6 2 2" xfId="11726" xr:uid="{00000000-0005-0000-0000-0000810A0000}"/>
    <cellStyle name="20% - Accent2 6 2 2 2" xfId="23014" xr:uid="{00000000-0005-0000-0000-0000820A0000}"/>
    <cellStyle name="20% - Accent2 6 2 3" xfId="9732" xr:uid="{00000000-0005-0000-0000-0000830A0000}"/>
    <cellStyle name="20% - Accent2 6 2 3 2" xfId="21020" xr:uid="{00000000-0005-0000-0000-0000840A0000}"/>
    <cellStyle name="20% - Accent2 6 2 4" xfId="7738" xr:uid="{00000000-0005-0000-0000-0000850A0000}"/>
    <cellStyle name="20% - Accent2 6 2 4 2" xfId="19026" xr:uid="{00000000-0005-0000-0000-0000860A0000}"/>
    <cellStyle name="20% - Accent2 6 2 5" xfId="5744" xr:uid="{00000000-0005-0000-0000-0000870A0000}"/>
    <cellStyle name="20% - Accent2 6 2 5 2" xfId="17032" xr:uid="{00000000-0005-0000-0000-0000880A0000}"/>
    <cellStyle name="20% - Accent2 6 2 6" xfId="15038" xr:uid="{00000000-0005-0000-0000-0000890A0000}"/>
    <cellStyle name="20% - Accent2 6 2 7" xfId="24330" xr:uid="{00000000-0005-0000-0000-00008A0A0000}"/>
    <cellStyle name="20% - Accent2 6 2 8" xfId="24794" xr:uid="{00000000-0005-0000-0000-00008B0A0000}"/>
    <cellStyle name="20% - Accent2 6 2 9" xfId="25161" xr:uid="{00000000-0005-0000-0000-00008C0A0000}"/>
    <cellStyle name="20% - Accent2 6 3" xfId="10729" xr:uid="{00000000-0005-0000-0000-00008D0A0000}"/>
    <cellStyle name="20% - Accent2 6 3 2" xfId="22017" xr:uid="{00000000-0005-0000-0000-00008E0A0000}"/>
    <cellStyle name="20% - Accent2 6 4" xfId="8735" xr:uid="{00000000-0005-0000-0000-00008F0A0000}"/>
    <cellStyle name="20% - Accent2 6 4 2" xfId="20023" xr:uid="{00000000-0005-0000-0000-0000900A0000}"/>
    <cellStyle name="20% - Accent2 6 5" xfId="6741" xr:uid="{00000000-0005-0000-0000-0000910A0000}"/>
    <cellStyle name="20% - Accent2 6 5 2" xfId="18029" xr:uid="{00000000-0005-0000-0000-0000920A0000}"/>
    <cellStyle name="20% - Accent2 6 6" xfId="4747" xr:uid="{00000000-0005-0000-0000-0000930A0000}"/>
    <cellStyle name="20% - Accent2 6 6 2" xfId="16035" xr:uid="{00000000-0005-0000-0000-0000940A0000}"/>
    <cellStyle name="20% - Accent2 6 7" xfId="14041" xr:uid="{00000000-0005-0000-0000-0000950A0000}"/>
    <cellStyle name="20% - Accent2 6 8" xfId="12727" xr:uid="{00000000-0005-0000-0000-0000960A0000}"/>
    <cellStyle name="20% - Accent2 6 9" xfId="23942" xr:uid="{00000000-0005-0000-0000-0000970A0000}"/>
    <cellStyle name="20% - Accent2 60" xfId="792" xr:uid="{00000000-0005-0000-0000-0000980A0000}"/>
    <cellStyle name="20% - Accent2 60 2" xfId="3748" xr:uid="{00000000-0005-0000-0000-0000990A0000}"/>
    <cellStyle name="20% - Accent2 60 2 2" xfId="11727" xr:uid="{00000000-0005-0000-0000-00009A0A0000}"/>
    <cellStyle name="20% - Accent2 60 2 2 2" xfId="23015" xr:uid="{00000000-0005-0000-0000-00009B0A0000}"/>
    <cellStyle name="20% - Accent2 60 2 3" xfId="9733" xr:uid="{00000000-0005-0000-0000-00009C0A0000}"/>
    <cellStyle name="20% - Accent2 60 2 3 2" xfId="21021" xr:uid="{00000000-0005-0000-0000-00009D0A0000}"/>
    <cellStyle name="20% - Accent2 60 2 4" xfId="7739" xr:uid="{00000000-0005-0000-0000-00009E0A0000}"/>
    <cellStyle name="20% - Accent2 60 2 4 2" xfId="19027" xr:uid="{00000000-0005-0000-0000-00009F0A0000}"/>
    <cellStyle name="20% - Accent2 60 2 5" xfId="5745" xr:uid="{00000000-0005-0000-0000-0000A00A0000}"/>
    <cellStyle name="20% - Accent2 60 2 5 2" xfId="17033" xr:uid="{00000000-0005-0000-0000-0000A10A0000}"/>
    <cellStyle name="20% - Accent2 60 2 6" xfId="15039" xr:uid="{00000000-0005-0000-0000-0000A20A0000}"/>
    <cellStyle name="20% - Accent2 60 3" xfId="10730" xr:uid="{00000000-0005-0000-0000-0000A30A0000}"/>
    <cellStyle name="20% - Accent2 60 3 2" xfId="22018" xr:uid="{00000000-0005-0000-0000-0000A40A0000}"/>
    <cellStyle name="20% - Accent2 60 4" xfId="8736" xr:uid="{00000000-0005-0000-0000-0000A50A0000}"/>
    <cellStyle name="20% - Accent2 60 4 2" xfId="20024" xr:uid="{00000000-0005-0000-0000-0000A60A0000}"/>
    <cellStyle name="20% - Accent2 60 5" xfId="6742" xr:uid="{00000000-0005-0000-0000-0000A70A0000}"/>
    <cellStyle name="20% - Accent2 60 5 2" xfId="18030" xr:uid="{00000000-0005-0000-0000-0000A80A0000}"/>
    <cellStyle name="20% - Accent2 60 6" xfId="4748" xr:uid="{00000000-0005-0000-0000-0000A90A0000}"/>
    <cellStyle name="20% - Accent2 60 6 2" xfId="16036" xr:uid="{00000000-0005-0000-0000-0000AA0A0000}"/>
    <cellStyle name="20% - Accent2 60 7" xfId="14042" xr:uid="{00000000-0005-0000-0000-0000AB0A0000}"/>
    <cellStyle name="20% - Accent2 60 8" xfId="12728" xr:uid="{00000000-0005-0000-0000-0000AC0A0000}"/>
    <cellStyle name="20% - Accent2 61" xfId="793" xr:uid="{00000000-0005-0000-0000-0000AD0A0000}"/>
    <cellStyle name="20% - Accent2 61 2" xfId="3749" xr:uid="{00000000-0005-0000-0000-0000AE0A0000}"/>
    <cellStyle name="20% - Accent2 61 2 2" xfId="11728" xr:uid="{00000000-0005-0000-0000-0000AF0A0000}"/>
    <cellStyle name="20% - Accent2 61 2 2 2" xfId="23016" xr:uid="{00000000-0005-0000-0000-0000B00A0000}"/>
    <cellStyle name="20% - Accent2 61 2 3" xfId="9734" xr:uid="{00000000-0005-0000-0000-0000B10A0000}"/>
    <cellStyle name="20% - Accent2 61 2 3 2" xfId="21022" xr:uid="{00000000-0005-0000-0000-0000B20A0000}"/>
    <cellStyle name="20% - Accent2 61 2 4" xfId="7740" xr:uid="{00000000-0005-0000-0000-0000B30A0000}"/>
    <cellStyle name="20% - Accent2 61 2 4 2" xfId="19028" xr:uid="{00000000-0005-0000-0000-0000B40A0000}"/>
    <cellStyle name="20% - Accent2 61 2 5" xfId="5746" xr:uid="{00000000-0005-0000-0000-0000B50A0000}"/>
    <cellStyle name="20% - Accent2 61 2 5 2" xfId="17034" xr:uid="{00000000-0005-0000-0000-0000B60A0000}"/>
    <cellStyle name="20% - Accent2 61 2 6" xfId="15040" xr:uid="{00000000-0005-0000-0000-0000B70A0000}"/>
    <cellStyle name="20% - Accent2 61 3" xfId="10731" xr:uid="{00000000-0005-0000-0000-0000B80A0000}"/>
    <cellStyle name="20% - Accent2 61 3 2" xfId="22019" xr:uid="{00000000-0005-0000-0000-0000B90A0000}"/>
    <cellStyle name="20% - Accent2 61 4" xfId="8737" xr:uid="{00000000-0005-0000-0000-0000BA0A0000}"/>
    <cellStyle name="20% - Accent2 61 4 2" xfId="20025" xr:uid="{00000000-0005-0000-0000-0000BB0A0000}"/>
    <cellStyle name="20% - Accent2 61 5" xfId="6743" xr:uid="{00000000-0005-0000-0000-0000BC0A0000}"/>
    <cellStyle name="20% - Accent2 61 5 2" xfId="18031" xr:uid="{00000000-0005-0000-0000-0000BD0A0000}"/>
    <cellStyle name="20% - Accent2 61 6" xfId="4749" xr:uid="{00000000-0005-0000-0000-0000BE0A0000}"/>
    <cellStyle name="20% - Accent2 61 6 2" xfId="16037" xr:uid="{00000000-0005-0000-0000-0000BF0A0000}"/>
    <cellStyle name="20% - Accent2 61 7" xfId="14043" xr:uid="{00000000-0005-0000-0000-0000C00A0000}"/>
    <cellStyle name="20% - Accent2 61 8" xfId="12729" xr:uid="{00000000-0005-0000-0000-0000C10A0000}"/>
    <cellStyle name="20% - Accent2 62" xfId="794" xr:uid="{00000000-0005-0000-0000-0000C20A0000}"/>
    <cellStyle name="20% - Accent2 62 2" xfId="3750" xr:uid="{00000000-0005-0000-0000-0000C30A0000}"/>
    <cellStyle name="20% - Accent2 62 2 2" xfId="11729" xr:uid="{00000000-0005-0000-0000-0000C40A0000}"/>
    <cellStyle name="20% - Accent2 62 2 2 2" xfId="23017" xr:uid="{00000000-0005-0000-0000-0000C50A0000}"/>
    <cellStyle name="20% - Accent2 62 2 3" xfId="9735" xr:uid="{00000000-0005-0000-0000-0000C60A0000}"/>
    <cellStyle name="20% - Accent2 62 2 3 2" xfId="21023" xr:uid="{00000000-0005-0000-0000-0000C70A0000}"/>
    <cellStyle name="20% - Accent2 62 2 4" xfId="7741" xr:uid="{00000000-0005-0000-0000-0000C80A0000}"/>
    <cellStyle name="20% - Accent2 62 2 4 2" xfId="19029" xr:uid="{00000000-0005-0000-0000-0000C90A0000}"/>
    <cellStyle name="20% - Accent2 62 2 5" xfId="5747" xr:uid="{00000000-0005-0000-0000-0000CA0A0000}"/>
    <cellStyle name="20% - Accent2 62 2 5 2" xfId="17035" xr:uid="{00000000-0005-0000-0000-0000CB0A0000}"/>
    <cellStyle name="20% - Accent2 62 2 6" xfId="15041" xr:uid="{00000000-0005-0000-0000-0000CC0A0000}"/>
    <cellStyle name="20% - Accent2 62 3" xfId="10732" xr:uid="{00000000-0005-0000-0000-0000CD0A0000}"/>
    <cellStyle name="20% - Accent2 62 3 2" xfId="22020" xr:uid="{00000000-0005-0000-0000-0000CE0A0000}"/>
    <cellStyle name="20% - Accent2 62 4" xfId="8738" xr:uid="{00000000-0005-0000-0000-0000CF0A0000}"/>
    <cellStyle name="20% - Accent2 62 4 2" xfId="20026" xr:uid="{00000000-0005-0000-0000-0000D00A0000}"/>
    <cellStyle name="20% - Accent2 62 5" xfId="6744" xr:uid="{00000000-0005-0000-0000-0000D10A0000}"/>
    <cellStyle name="20% - Accent2 62 5 2" xfId="18032" xr:uid="{00000000-0005-0000-0000-0000D20A0000}"/>
    <cellStyle name="20% - Accent2 62 6" xfId="4750" xr:uid="{00000000-0005-0000-0000-0000D30A0000}"/>
    <cellStyle name="20% - Accent2 62 6 2" xfId="16038" xr:uid="{00000000-0005-0000-0000-0000D40A0000}"/>
    <cellStyle name="20% - Accent2 62 7" xfId="14044" xr:uid="{00000000-0005-0000-0000-0000D50A0000}"/>
    <cellStyle name="20% - Accent2 62 8" xfId="12730" xr:uid="{00000000-0005-0000-0000-0000D60A0000}"/>
    <cellStyle name="20% - Accent2 63" xfId="795" xr:uid="{00000000-0005-0000-0000-0000D70A0000}"/>
    <cellStyle name="20% - Accent2 63 2" xfId="3751" xr:uid="{00000000-0005-0000-0000-0000D80A0000}"/>
    <cellStyle name="20% - Accent2 63 2 2" xfId="11730" xr:uid="{00000000-0005-0000-0000-0000D90A0000}"/>
    <cellStyle name="20% - Accent2 63 2 2 2" xfId="23018" xr:uid="{00000000-0005-0000-0000-0000DA0A0000}"/>
    <cellStyle name="20% - Accent2 63 2 3" xfId="9736" xr:uid="{00000000-0005-0000-0000-0000DB0A0000}"/>
    <cellStyle name="20% - Accent2 63 2 3 2" xfId="21024" xr:uid="{00000000-0005-0000-0000-0000DC0A0000}"/>
    <cellStyle name="20% - Accent2 63 2 4" xfId="7742" xr:uid="{00000000-0005-0000-0000-0000DD0A0000}"/>
    <cellStyle name="20% - Accent2 63 2 4 2" xfId="19030" xr:uid="{00000000-0005-0000-0000-0000DE0A0000}"/>
    <cellStyle name="20% - Accent2 63 2 5" xfId="5748" xr:uid="{00000000-0005-0000-0000-0000DF0A0000}"/>
    <cellStyle name="20% - Accent2 63 2 5 2" xfId="17036" xr:uid="{00000000-0005-0000-0000-0000E00A0000}"/>
    <cellStyle name="20% - Accent2 63 2 6" xfId="15042" xr:uid="{00000000-0005-0000-0000-0000E10A0000}"/>
    <cellStyle name="20% - Accent2 63 3" xfId="10733" xr:uid="{00000000-0005-0000-0000-0000E20A0000}"/>
    <cellStyle name="20% - Accent2 63 3 2" xfId="22021" xr:uid="{00000000-0005-0000-0000-0000E30A0000}"/>
    <cellStyle name="20% - Accent2 63 4" xfId="8739" xr:uid="{00000000-0005-0000-0000-0000E40A0000}"/>
    <cellStyle name="20% - Accent2 63 4 2" xfId="20027" xr:uid="{00000000-0005-0000-0000-0000E50A0000}"/>
    <cellStyle name="20% - Accent2 63 5" xfId="6745" xr:uid="{00000000-0005-0000-0000-0000E60A0000}"/>
    <cellStyle name="20% - Accent2 63 5 2" xfId="18033" xr:uid="{00000000-0005-0000-0000-0000E70A0000}"/>
    <cellStyle name="20% - Accent2 63 6" xfId="4751" xr:uid="{00000000-0005-0000-0000-0000E80A0000}"/>
    <cellStyle name="20% - Accent2 63 6 2" xfId="16039" xr:uid="{00000000-0005-0000-0000-0000E90A0000}"/>
    <cellStyle name="20% - Accent2 63 7" xfId="14045" xr:uid="{00000000-0005-0000-0000-0000EA0A0000}"/>
    <cellStyle name="20% - Accent2 63 8" xfId="12731" xr:uid="{00000000-0005-0000-0000-0000EB0A0000}"/>
    <cellStyle name="20% - Accent2 64" xfId="796" xr:uid="{00000000-0005-0000-0000-0000EC0A0000}"/>
    <cellStyle name="20% - Accent2 64 2" xfId="3752" xr:uid="{00000000-0005-0000-0000-0000ED0A0000}"/>
    <cellStyle name="20% - Accent2 64 2 2" xfId="11731" xr:uid="{00000000-0005-0000-0000-0000EE0A0000}"/>
    <cellStyle name="20% - Accent2 64 2 2 2" xfId="23019" xr:uid="{00000000-0005-0000-0000-0000EF0A0000}"/>
    <cellStyle name="20% - Accent2 64 2 3" xfId="9737" xr:uid="{00000000-0005-0000-0000-0000F00A0000}"/>
    <cellStyle name="20% - Accent2 64 2 3 2" xfId="21025" xr:uid="{00000000-0005-0000-0000-0000F10A0000}"/>
    <cellStyle name="20% - Accent2 64 2 4" xfId="7743" xr:uid="{00000000-0005-0000-0000-0000F20A0000}"/>
    <cellStyle name="20% - Accent2 64 2 4 2" xfId="19031" xr:uid="{00000000-0005-0000-0000-0000F30A0000}"/>
    <cellStyle name="20% - Accent2 64 2 5" xfId="5749" xr:uid="{00000000-0005-0000-0000-0000F40A0000}"/>
    <cellStyle name="20% - Accent2 64 2 5 2" xfId="17037" xr:uid="{00000000-0005-0000-0000-0000F50A0000}"/>
    <cellStyle name="20% - Accent2 64 2 6" xfId="15043" xr:uid="{00000000-0005-0000-0000-0000F60A0000}"/>
    <cellStyle name="20% - Accent2 64 3" xfId="10734" xr:uid="{00000000-0005-0000-0000-0000F70A0000}"/>
    <cellStyle name="20% - Accent2 64 3 2" xfId="22022" xr:uid="{00000000-0005-0000-0000-0000F80A0000}"/>
    <cellStyle name="20% - Accent2 64 4" xfId="8740" xr:uid="{00000000-0005-0000-0000-0000F90A0000}"/>
    <cellStyle name="20% - Accent2 64 4 2" xfId="20028" xr:uid="{00000000-0005-0000-0000-0000FA0A0000}"/>
    <cellStyle name="20% - Accent2 64 5" xfId="6746" xr:uid="{00000000-0005-0000-0000-0000FB0A0000}"/>
    <cellStyle name="20% - Accent2 64 5 2" xfId="18034" xr:uid="{00000000-0005-0000-0000-0000FC0A0000}"/>
    <cellStyle name="20% - Accent2 64 6" xfId="4752" xr:uid="{00000000-0005-0000-0000-0000FD0A0000}"/>
    <cellStyle name="20% - Accent2 64 6 2" xfId="16040" xr:uid="{00000000-0005-0000-0000-0000FE0A0000}"/>
    <cellStyle name="20% - Accent2 64 7" xfId="14046" xr:uid="{00000000-0005-0000-0000-0000FF0A0000}"/>
    <cellStyle name="20% - Accent2 64 8" xfId="12732" xr:uid="{00000000-0005-0000-0000-0000000B0000}"/>
    <cellStyle name="20% - Accent2 65" xfId="797" xr:uid="{00000000-0005-0000-0000-0000010B0000}"/>
    <cellStyle name="20% - Accent2 65 2" xfId="3753" xr:uid="{00000000-0005-0000-0000-0000020B0000}"/>
    <cellStyle name="20% - Accent2 65 2 2" xfId="11732" xr:uid="{00000000-0005-0000-0000-0000030B0000}"/>
    <cellStyle name="20% - Accent2 65 2 2 2" xfId="23020" xr:uid="{00000000-0005-0000-0000-0000040B0000}"/>
    <cellStyle name="20% - Accent2 65 2 3" xfId="9738" xr:uid="{00000000-0005-0000-0000-0000050B0000}"/>
    <cellStyle name="20% - Accent2 65 2 3 2" xfId="21026" xr:uid="{00000000-0005-0000-0000-0000060B0000}"/>
    <cellStyle name="20% - Accent2 65 2 4" xfId="7744" xr:uid="{00000000-0005-0000-0000-0000070B0000}"/>
    <cellStyle name="20% - Accent2 65 2 4 2" xfId="19032" xr:uid="{00000000-0005-0000-0000-0000080B0000}"/>
    <cellStyle name="20% - Accent2 65 2 5" xfId="5750" xr:uid="{00000000-0005-0000-0000-0000090B0000}"/>
    <cellStyle name="20% - Accent2 65 2 5 2" xfId="17038" xr:uid="{00000000-0005-0000-0000-00000A0B0000}"/>
    <cellStyle name="20% - Accent2 65 2 6" xfId="15044" xr:uid="{00000000-0005-0000-0000-00000B0B0000}"/>
    <cellStyle name="20% - Accent2 65 3" xfId="10735" xr:uid="{00000000-0005-0000-0000-00000C0B0000}"/>
    <cellStyle name="20% - Accent2 65 3 2" xfId="22023" xr:uid="{00000000-0005-0000-0000-00000D0B0000}"/>
    <cellStyle name="20% - Accent2 65 4" xfId="8741" xr:uid="{00000000-0005-0000-0000-00000E0B0000}"/>
    <cellStyle name="20% - Accent2 65 4 2" xfId="20029" xr:uid="{00000000-0005-0000-0000-00000F0B0000}"/>
    <cellStyle name="20% - Accent2 65 5" xfId="6747" xr:uid="{00000000-0005-0000-0000-0000100B0000}"/>
    <cellStyle name="20% - Accent2 65 5 2" xfId="18035" xr:uid="{00000000-0005-0000-0000-0000110B0000}"/>
    <cellStyle name="20% - Accent2 65 6" xfId="4753" xr:uid="{00000000-0005-0000-0000-0000120B0000}"/>
    <cellStyle name="20% - Accent2 65 6 2" xfId="16041" xr:uid="{00000000-0005-0000-0000-0000130B0000}"/>
    <cellStyle name="20% - Accent2 65 7" xfId="14047" xr:uid="{00000000-0005-0000-0000-0000140B0000}"/>
    <cellStyle name="20% - Accent2 65 8" xfId="12733" xr:uid="{00000000-0005-0000-0000-0000150B0000}"/>
    <cellStyle name="20% - Accent2 66" xfId="798" xr:uid="{00000000-0005-0000-0000-0000160B0000}"/>
    <cellStyle name="20% - Accent2 66 2" xfId="3754" xr:uid="{00000000-0005-0000-0000-0000170B0000}"/>
    <cellStyle name="20% - Accent2 66 2 2" xfId="11733" xr:uid="{00000000-0005-0000-0000-0000180B0000}"/>
    <cellStyle name="20% - Accent2 66 2 2 2" xfId="23021" xr:uid="{00000000-0005-0000-0000-0000190B0000}"/>
    <cellStyle name="20% - Accent2 66 2 3" xfId="9739" xr:uid="{00000000-0005-0000-0000-00001A0B0000}"/>
    <cellStyle name="20% - Accent2 66 2 3 2" xfId="21027" xr:uid="{00000000-0005-0000-0000-00001B0B0000}"/>
    <cellStyle name="20% - Accent2 66 2 4" xfId="7745" xr:uid="{00000000-0005-0000-0000-00001C0B0000}"/>
    <cellStyle name="20% - Accent2 66 2 4 2" xfId="19033" xr:uid="{00000000-0005-0000-0000-00001D0B0000}"/>
    <cellStyle name="20% - Accent2 66 2 5" xfId="5751" xr:uid="{00000000-0005-0000-0000-00001E0B0000}"/>
    <cellStyle name="20% - Accent2 66 2 5 2" xfId="17039" xr:uid="{00000000-0005-0000-0000-00001F0B0000}"/>
    <cellStyle name="20% - Accent2 66 2 6" xfId="15045" xr:uid="{00000000-0005-0000-0000-0000200B0000}"/>
    <cellStyle name="20% - Accent2 66 3" xfId="10736" xr:uid="{00000000-0005-0000-0000-0000210B0000}"/>
    <cellStyle name="20% - Accent2 66 3 2" xfId="22024" xr:uid="{00000000-0005-0000-0000-0000220B0000}"/>
    <cellStyle name="20% - Accent2 66 4" xfId="8742" xr:uid="{00000000-0005-0000-0000-0000230B0000}"/>
    <cellStyle name="20% - Accent2 66 4 2" xfId="20030" xr:uid="{00000000-0005-0000-0000-0000240B0000}"/>
    <cellStyle name="20% - Accent2 66 5" xfId="6748" xr:uid="{00000000-0005-0000-0000-0000250B0000}"/>
    <cellStyle name="20% - Accent2 66 5 2" xfId="18036" xr:uid="{00000000-0005-0000-0000-0000260B0000}"/>
    <cellStyle name="20% - Accent2 66 6" xfId="4754" xr:uid="{00000000-0005-0000-0000-0000270B0000}"/>
    <cellStyle name="20% - Accent2 66 6 2" xfId="16042" xr:uid="{00000000-0005-0000-0000-0000280B0000}"/>
    <cellStyle name="20% - Accent2 66 7" xfId="14048" xr:uid="{00000000-0005-0000-0000-0000290B0000}"/>
    <cellStyle name="20% - Accent2 66 8" xfId="12734" xr:uid="{00000000-0005-0000-0000-00002A0B0000}"/>
    <cellStyle name="20% - Accent2 67" xfId="799" xr:uid="{00000000-0005-0000-0000-00002B0B0000}"/>
    <cellStyle name="20% - Accent2 67 2" xfId="3755" xr:uid="{00000000-0005-0000-0000-00002C0B0000}"/>
    <cellStyle name="20% - Accent2 67 2 2" xfId="11734" xr:uid="{00000000-0005-0000-0000-00002D0B0000}"/>
    <cellStyle name="20% - Accent2 67 2 2 2" xfId="23022" xr:uid="{00000000-0005-0000-0000-00002E0B0000}"/>
    <cellStyle name="20% - Accent2 67 2 3" xfId="9740" xr:uid="{00000000-0005-0000-0000-00002F0B0000}"/>
    <cellStyle name="20% - Accent2 67 2 3 2" xfId="21028" xr:uid="{00000000-0005-0000-0000-0000300B0000}"/>
    <cellStyle name="20% - Accent2 67 2 4" xfId="7746" xr:uid="{00000000-0005-0000-0000-0000310B0000}"/>
    <cellStyle name="20% - Accent2 67 2 4 2" xfId="19034" xr:uid="{00000000-0005-0000-0000-0000320B0000}"/>
    <cellStyle name="20% - Accent2 67 2 5" xfId="5752" xr:uid="{00000000-0005-0000-0000-0000330B0000}"/>
    <cellStyle name="20% - Accent2 67 2 5 2" xfId="17040" xr:uid="{00000000-0005-0000-0000-0000340B0000}"/>
    <cellStyle name="20% - Accent2 67 2 6" xfId="15046" xr:uid="{00000000-0005-0000-0000-0000350B0000}"/>
    <cellStyle name="20% - Accent2 67 3" xfId="10737" xr:uid="{00000000-0005-0000-0000-0000360B0000}"/>
    <cellStyle name="20% - Accent2 67 3 2" xfId="22025" xr:uid="{00000000-0005-0000-0000-0000370B0000}"/>
    <cellStyle name="20% - Accent2 67 4" xfId="8743" xr:uid="{00000000-0005-0000-0000-0000380B0000}"/>
    <cellStyle name="20% - Accent2 67 4 2" xfId="20031" xr:uid="{00000000-0005-0000-0000-0000390B0000}"/>
    <cellStyle name="20% - Accent2 67 5" xfId="6749" xr:uid="{00000000-0005-0000-0000-00003A0B0000}"/>
    <cellStyle name="20% - Accent2 67 5 2" xfId="18037" xr:uid="{00000000-0005-0000-0000-00003B0B0000}"/>
    <cellStyle name="20% - Accent2 67 6" xfId="4755" xr:uid="{00000000-0005-0000-0000-00003C0B0000}"/>
    <cellStyle name="20% - Accent2 67 6 2" xfId="16043" xr:uid="{00000000-0005-0000-0000-00003D0B0000}"/>
    <cellStyle name="20% - Accent2 67 7" xfId="14049" xr:uid="{00000000-0005-0000-0000-00003E0B0000}"/>
    <cellStyle name="20% - Accent2 67 8" xfId="12735" xr:uid="{00000000-0005-0000-0000-00003F0B0000}"/>
    <cellStyle name="20% - Accent2 68" xfId="800" xr:uid="{00000000-0005-0000-0000-0000400B0000}"/>
    <cellStyle name="20% - Accent2 68 2" xfId="3756" xr:uid="{00000000-0005-0000-0000-0000410B0000}"/>
    <cellStyle name="20% - Accent2 68 2 2" xfId="11735" xr:uid="{00000000-0005-0000-0000-0000420B0000}"/>
    <cellStyle name="20% - Accent2 68 2 2 2" xfId="23023" xr:uid="{00000000-0005-0000-0000-0000430B0000}"/>
    <cellStyle name="20% - Accent2 68 2 3" xfId="9741" xr:uid="{00000000-0005-0000-0000-0000440B0000}"/>
    <cellStyle name="20% - Accent2 68 2 3 2" xfId="21029" xr:uid="{00000000-0005-0000-0000-0000450B0000}"/>
    <cellStyle name="20% - Accent2 68 2 4" xfId="7747" xr:uid="{00000000-0005-0000-0000-0000460B0000}"/>
    <cellStyle name="20% - Accent2 68 2 4 2" xfId="19035" xr:uid="{00000000-0005-0000-0000-0000470B0000}"/>
    <cellStyle name="20% - Accent2 68 2 5" xfId="5753" xr:uid="{00000000-0005-0000-0000-0000480B0000}"/>
    <cellStyle name="20% - Accent2 68 2 5 2" xfId="17041" xr:uid="{00000000-0005-0000-0000-0000490B0000}"/>
    <cellStyle name="20% - Accent2 68 2 6" xfId="15047" xr:uid="{00000000-0005-0000-0000-00004A0B0000}"/>
    <cellStyle name="20% - Accent2 68 3" xfId="10738" xr:uid="{00000000-0005-0000-0000-00004B0B0000}"/>
    <cellStyle name="20% - Accent2 68 3 2" xfId="22026" xr:uid="{00000000-0005-0000-0000-00004C0B0000}"/>
    <cellStyle name="20% - Accent2 68 4" xfId="8744" xr:uid="{00000000-0005-0000-0000-00004D0B0000}"/>
    <cellStyle name="20% - Accent2 68 4 2" xfId="20032" xr:uid="{00000000-0005-0000-0000-00004E0B0000}"/>
    <cellStyle name="20% - Accent2 68 5" xfId="6750" xr:uid="{00000000-0005-0000-0000-00004F0B0000}"/>
    <cellStyle name="20% - Accent2 68 5 2" xfId="18038" xr:uid="{00000000-0005-0000-0000-0000500B0000}"/>
    <cellStyle name="20% - Accent2 68 6" xfId="4756" xr:uid="{00000000-0005-0000-0000-0000510B0000}"/>
    <cellStyle name="20% - Accent2 68 6 2" xfId="16044" xr:uid="{00000000-0005-0000-0000-0000520B0000}"/>
    <cellStyle name="20% - Accent2 68 7" xfId="14050" xr:uid="{00000000-0005-0000-0000-0000530B0000}"/>
    <cellStyle name="20% - Accent2 68 8" xfId="12736" xr:uid="{00000000-0005-0000-0000-0000540B0000}"/>
    <cellStyle name="20% - Accent2 69" xfId="801" xr:uid="{00000000-0005-0000-0000-0000550B0000}"/>
    <cellStyle name="20% - Accent2 69 2" xfId="3757" xr:uid="{00000000-0005-0000-0000-0000560B0000}"/>
    <cellStyle name="20% - Accent2 69 2 2" xfId="11736" xr:uid="{00000000-0005-0000-0000-0000570B0000}"/>
    <cellStyle name="20% - Accent2 69 2 2 2" xfId="23024" xr:uid="{00000000-0005-0000-0000-0000580B0000}"/>
    <cellStyle name="20% - Accent2 69 2 3" xfId="9742" xr:uid="{00000000-0005-0000-0000-0000590B0000}"/>
    <cellStyle name="20% - Accent2 69 2 3 2" xfId="21030" xr:uid="{00000000-0005-0000-0000-00005A0B0000}"/>
    <cellStyle name="20% - Accent2 69 2 4" xfId="7748" xr:uid="{00000000-0005-0000-0000-00005B0B0000}"/>
    <cellStyle name="20% - Accent2 69 2 4 2" xfId="19036" xr:uid="{00000000-0005-0000-0000-00005C0B0000}"/>
    <cellStyle name="20% - Accent2 69 2 5" xfId="5754" xr:uid="{00000000-0005-0000-0000-00005D0B0000}"/>
    <cellStyle name="20% - Accent2 69 2 5 2" xfId="17042" xr:uid="{00000000-0005-0000-0000-00005E0B0000}"/>
    <cellStyle name="20% - Accent2 69 2 6" xfId="15048" xr:uid="{00000000-0005-0000-0000-00005F0B0000}"/>
    <cellStyle name="20% - Accent2 69 3" xfId="10739" xr:uid="{00000000-0005-0000-0000-0000600B0000}"/>
    <cellStyle name="20% - Accent2 69 3 2" xfId="22027" xr:uid="{00000000-0005-0000-0000-0000610B0000}"/>
    <cellStyle name="20% - Accent2 69 4" xfId="8745" xr:uid="{00000000-0005-0000-0000-0000620B0000}"/>
    <cellStyle name="20% - Accent2 69 4 2" xfId="20033" xr:uid="{00000000-0005-0000-0000-0000630B0000}"/>
    <cellStyle name="20% - Accent2 69 5" xfId="6751" xr:uid="{00000000-0005-0000-0000-0000640B0000}"/>
    <cellStyle name="20% - Accent2 69 5 2" xfId="18039" xr:uid="{00000000-0005-0000-0000-0000650B0000}"/>
    <cellStyle name="20% - Accent2 69 6" xfId="4757" xr:uid="{00000000-0005-0000-0000-0000660B0000}"/>
    <cellStyle name="20% - Accent2 69 6 2" xfId="16045" xr:uid="{00000000-0005-0000-0000-0000670B0000}"/>
    <cellStyle name="20% - Accent2 69 7" xfId="14051" xr:uid="{00000000-0005-0000-0000-0000680B0000}"/>
    <cellStyle name="20% - Accent2 69 8" xfId="12737" xr:uid="{00000000-0005-0000-0000-0000690B0000}"/>
    <cellStyle name="20% - Accent2 7" xfId="802" xr:uid="{00000000-0005-0000-0000-00006A0B0000}"/>
    <cellStyle name="20% - Accent2 7 10" xfId="24570" xr:uid="{00000000-0005-0000-0000-00006B0B0000}"/>
    <cellStyle name="20% - Accent2 7 11" xfId="24960" xr:uid="{00000000-0005-0000-0000-00006C0B0000}"/>
    <cellStyle name="20% - Accent2 7 2" xfId="3758" xr:uid="{00000000-0005-0000-0000-00006D0B0000}"/>
    <cellStyle name="20% - Accent2 7 2 2" xfId="11737" xr:uid="{00000000-0005-0000-0000-00006E0B0000}"/>
    <cellStyle name="20% - Accent2 7 2 2 2" xfId="23025" xr:uid="{00000000-0005-0000-0000-00006F0B0000}"/>
    <cellStyle name="20% - Accent2 7 2 3" xfId="9743" xr:uid="{00000000-0005-0000-0000-0000700B0000}"/>
    <cellStyle name="20% - Accent2 7 2 3 2" xfId="21031" xr:uid="{00000000-0005-0000-0000-0000710B0000}"/>
    <cellStyle name="20% - Accent2 7 2 4" xfId="7749" xr:uid="{00000000-0005-0000-0000-0000720B0000}"/>
    <cellStyle name="20% - Accent2 7 2 4 2" xfId="19037" xr:uid="{00000000-0005-0000-0000-0000730B0000}"/>
    <cellStyle name="20% - Accent2 7 2 5" xfId="5755" xr:uid="{00000000-0005-0000-0000-0000740B0000}"/>
    <cellStyle name="20% - Accent2 7 2 5 2" xfId="17043" xr:uid="{00000000-0005-0000-0000-0000750B0000}"/>
    <cellStyle name="20% - Accent2 7 2 6" xfId="15049" xr:uid="{00000000-0005-0000-0000-0000760B0000}"/>
    <cellStyle name="20% - Accent2 7 2 7" xfId="24331" xr:uid="{00000000-0005-0000-0000-0000770B0000}"/>
    <cellStyle name="20% - Accent2 7 2 8" xfId="24795" xr:uid="{00000000-0005-0000-0000-0000780B0000}"/>
    <cellStyle name="20% - Accent2 7 2 9" xfId="25162" xr:uid="{00000000-0005-0000-0000-0000790B0000}"/>
    <cellStyle name="20% - Accent2 7 3" xfId="10740" xr:uid="{00000000-0005-0000-0000-00007A0B0000}"/>
    <cellStyle name="20% - Accent2 7 3 2" xfId="22028" xr:uid="{00000000-0005-0000-0000-00007B0B0000}"/>
    <cellStyle name="20% - Accent2 7 4" xfId="8746" xr:uid="{00000000-0005-0000-0000-00007C0B0000}"/>
    <cellStyle name="20% - Accent2 7 4 2" xfId="20034" xr:uid="{00000000-0005-0000-0000-00007D0B0000}"/>
    <cellStyle name="20% - Accent2 7 5" xfId="6752" xr:uid="{00000000-0005-0000-0000-00007E0B0000}"/>
    <cellStyle name="20% - Accent2 7 5 2" xfId="18040" xr:uid="{00000000-0005-0000-0000-00007F0B0000}"/>
    <cellStyle name="20% - Accent2 7 6" xfId="4758" xr:uid="{00000000-0005-0000-0000-0000800B0000}"/>
    <cellStyle name="20% - Accent2 7 6 2" xfId="16046" xr:uid="{00000000-0005-0000-0000-0000810B0000}"/>
    <cellStyle name="20% - Accent2 7 7" xfId="14052" xr:uid="{00000000-0005-0000-0000-0000820B0000}"/>
    <cellStyle name="20% - Accent2 7 8" xfId="12738" xr:uid="{00000000-0005-0000-0000-0000830B0000}"/>
    <cellStyle name="20% - Accent2 7 9" xfId="23943" xr:uid="{00000000-0005-0000-0000-0000840B0000}"/>
    <cellStyle name="20% - Accent2 70" xfId="803" xr:uid="{00000000-0005-0000-0000-0000850B0000}"/>
    <cellStyle name="20% - Accent2 70 2" xfId="3759" xr:uid="{00000000-0005-0000-0000-0000860B0000}"/>
    <cellStyle name="20% - Accent2 70 2 2" xfId="11738" xr:uid="{00000000-0005-0000-0000-0000870B0000}"/>
    <cellStyle name="20% - Accent2 70 2 2 2" xfId="23026" xr:uid="{00000000-0005-0000-0000-0000880B0000}"/>
    <cellStyle name="20% - Accent2 70 2 3" xfId="9744" xr:uid="{00000000-0005-0000-0000-0000890B0000}"/>
    <cellStyle name="20% - Accent2 70 2 3 2" xfId="21032" xr:uid="{00000000-0005-0000-0000-00008A0B0000}"/>
    <cellStyle name="20% - Accent2 70 2 4" xfId="7750" xr:uid="{00000000-0005-0000-0000-00008B0B0000}"/>
    <cellStyle name="20% - Accent2 70 2 4 2" xfId="19038" xr:uid="{00000000-0005-0000-0000-00008C0B0000}"/>
    <cellStyle name="20% - Accent2 70 2 5" xfId="5756" xr:uid="{00000000-0005-0000-0000-00008D0B0000}"/>
    <cellStyle name="20% - Accent2 70 2 5 2" xfId="17044" xr:uid="{00000000-0005-0000-0000-00008E0B0000}"/>
    <cellStyle name="20% - Accent2 70 2 6" xfId="15050" xr:uid="{00000000-0005-0000-0000-00008F0B0000}"/>
    <cellStyle name="20% - Accent2 70 3" xfId="10741" xr:uid="{00000000-0005-0000-0000-0000900B0000}"/>
    <cellStyle name="20% - Accent2 70 3 2" xfId="22029" xr:uid="{00000000-0005-0000-0000-0000910B0000}"/>
    <cellStyle name="20% - Accent2 70 4" xfId="8747" xr:uid="{00000000-0005-0000-0000-0000920B0000}"/>
    <cellStyle name="20% - Accent2 70 4 2" xfId="20035" xr:uid="{00000000-0005-0000-0000-0000930B0000}"/>
    <cellStyle name="20% - Accent2 70 5" xfId="6753" xr:uid="{00000000-0005-0000-0000-0000940B0000}"/>
    <cellStyle name="20% - Accent2 70 5 2" xfId="18041" xr:uid="{00000000-0005-0000-0000-0000950B0000}"/>
    <cellStyle name="20% - Accent2 70 6" xfId="4759" xr:uid="{00000000-0005-0000-0000-0000960B0000}"/>
    <cellStyle name="20% - Accent2 70 6 2" xfId="16047" xr:uid="{00000000-0005-0000-0000-0000970B0000}"/>
    <cellStyle name="20% - Accent2 70 7" xfId="14053" xr:uid="{00000000-0005-0000-0000-0000980B0000}"/>
    <cellStyle name="20% - Accent2 70 8" xfId="12739" xr:uid="{00000000-0005-0000-0000-0000990B0000}"/>
    <cellStyle name="20% - Accent2 71" xfId="804" xr:uid="{00000000-0005-0000-0000-00009A0B0000}"/>
    <cellStyle name="20% - Accent2 71 2" xfId="3760" xr:uid="{00000000-0005-0000-0000-00009B0B0000}"/>
    <cellStyle name="20% - Accent2 71 2 2" xfId="11739" xr:uid="{00000000-0005-0000-0000-00009C0B0000}"/>
    <cellStyle name="20% - Accent2 71 2 2 2" xfId="23027" xr:uid="{00000000-0005-0000-0000-00009D0B0000}"/>
    <cellStyle name="20% - Accent2 71 2 3" xfId="9745" xr:uid="{00000000-0005-0000-0000-00009E0B0000}"/>
    <cellStyle name="20% - Accent2 71 2 3 2" xfId="21033" xr:uid="{00000000-0005-0000-0000-00009F0B0000}"/>
    <cellStyle name="20% - Accent2 71 2 4" xfId="7751" xr:uid="{00000000-0005-0000-0000-0000A00B0000}"/>
    <cellStyle name="20% - Accent2 71 2 4 2" xfId="19039" xr:uid="{00000000-0005-0000-0000-0000A10B0000}"/>
    <cellStyle name="20% - Accent2 71 2 5" xfId="5757" xr:uid="{00000000-0005-0000-0000-0000A20B0000}"/>
    <cellStyle name="20% - Accent2 71 2 5 2" xfId="17045" xr:uid="{00000000-0005-0000-0000-0000A30B0000}"/>
    <cellStyle name="20% - Accent2 71 2 6" xfId="15051" xr:uid="{00000000-0005-0000-0000-0000A40B0000}"/>
    <cellStyle name="20% - Accent2 71 3" xfId="10742" xr:uid="{00000000-0005-0000-0000-0000A50B0000}"/>
    <cellStyle name="20% - Accent2 71 3 2" xfId="22030" xr:uid="{00000000-0005-0000-0000-0000A60B0000}"/>
    <cellStyle name="20% - Accent2 71 4" xfId="8748" xr:uid="{00000000-0005-0000-0000-0000A70B0000}"/>
    <cellStyle name="20% - Accent2 71 4 2" xfId="20036" xr:uid="{00000000-0005-0000-0000-0000A80B0000}"/>
    <cellStyle name="20% - Accent2 71 5" xfId="6754" xr:uid="{00000000-0005-0000-0000-0000A90B0000}"/>
    <cellStyle name="20% - Accent2 71 5 2" xfId="18042" xr:uid="{00000000-0005-0000-0000-0000AA0B0000}"/>
    <cellStyle name="20% - Accent2 71 6" xfId="4760" xr:uid="{00000000-0005-0000-0000-0000AB0B0000}"/>
    <cellStyle name="20% - Accent2 71 6 2" xfId="16048" xr:uid="{00000000-0005-0000-0000-0000AC0B0000}"/>
    <cellStyle name="20% - Accent2 71 7" xfId="14054" xr:uid="{00000000-0005-0000-0000-0000AD0B0000}"/>
    <cellStyle name="20% - Accent2 71 8" xfId="12740" xr:uid="{00000000-0005-0000-0000-0000AE0B0000}"/>
    <cellStyle name="20% - Accent2 72" xfId="805" xr:uid="{00000000-0005-0000-0000-0000AF0B0000}"/>
    <cellStyle name="20% - Accent2 72 2" xfId="3761" xr:uid="{00000000-0005-0000-0000-0000B00B0000}"/>
    <cellStyle name="20% - Accent2 72 2 2" xfId="11740" xr:uid="{00000000-0005-0000-0000-0000B10B0000}"/>
    <cellStyle name="20% - Accent2 72 2 2 2" xfId="23028" xr:uid="{00000000-0005-0000-0000-0000B20B0000}"/>
    <cellStyle name="20% - Accent2 72 2 3" xfId="9746" xr:uid="{00000000-0005-0000-0000-0000B30B0000}"/>
    <cellStyle name="20% - Accent2 72 2 3 2" xfId="21034" xr:uid="{00000000-0005-0000-0000-0000B40B0000}"/>
    <cellStyle name="20% - Accent2 72 2 4" xfId="7752" xr:uid="{00000000-0005-0000-0000-0000B50B0000}"/>
    <cellStyle name="20% - Accent2 72 2 4 2" xfId="19040" xr:uid="{00000000-0005-0000-0000-0000B60B0000}"/>
    <cellStyle name="20% - Accent2 72 2 5" xfId="5758" xr:uid="{00000000-0005-0000-0000-0000B70B0000}"/>
    <cellStyle name="20% - Accent2 72 2 5 2" xfId="17046" xr:uid="{00000000-0005-0000-0000-0000B80B0000}"/>
    <cellStyle name="20% - Accent2 72 2 6" xfId="15052" xr:uid="{00000000-0005-0000-0000-0000B90B0000}"/>
    <cellStyle name="20% - Accent2 72 3" xfId="10743" xr:uid="{00000000-0005-0000-0000-0000BA0B0000}"/>
    <cellStyle name="20% - Accent2 72 3 2" xfId="22031" xr:uid="{00000000-0005-0000-0000-0000BB0B0000}"/>
    <cellStyle name="20% - Accent2 72 4" xfId="8749" xr:uid="{00000000-0005-0000-0000-0000BC0B0000}"/>
    <cellStyle name="20% - Accent2 72 4 2" xfId="20037" xr:uid="{00000000-0005-0000-0000-0000BD0B0000}"/>
    <cellStyle name="20% - Accent2 72 5" xfId="6755" xr:uid="{00000000-0005-0000-0000-0000BE0B0000}"/>
    <cellStyle name="20% - Accent2 72 5 2" xfId="18043" xr:uid="{00000000-0005-0000-0000-0000BF0B0000}"/>
    <cellStyle name="20% - Accent2 72 6" xfId="4761" xr:uid="{00000000-0005-0000-0000-0000C00B0000}"/>
    <cellStyle name="20% - Accent2 72 6 2" xfId="16049" xr:uid="{00000000-0005-0000-0000-0000C10B0000}"/>
    <cellStyle name="20% - Accent2 72 7" xfId="14055" xr:uid="{00000000-0005-0000-0000-0000C20B0000}"/>
    <cellStyle name="20% - Accent2 72 8" xfId="12741" xr:uid="{00000000-0005-0000-0000-0000C30B0000}"/>
    <cellStyle name="20% - Accent2 8" xfId="806" xr:uid="{00000000-0005-0000-0000-0000C40B0000}"/>
    <cellStyle name="20% - Accent2 8 2" xfId="3762" xr:uid="{00000000-0005-0000-0000-0000C50B0000}"/>
    <cellStyle name="20% - Accent2 8 2 2" xfId="11741" xr:uid="{00000000-0005-0000-0000-0000C60B0000}"/>
    <cellStyle name="20% - Accent2 8 2 2 2" xfId="23029" xr:uid="{00000000-0005-0000-0000-0000C70B0000}"/>
    <cellStyle name="20% - Accent2 8 2 3" xfId="9747" xr:uid="{00000000-0005-0000-0000-0000C80B0000}"/>
    <cellStyle name="20% - Accent2 8 2 3 2" xfId="21035" xr:uid="{00000000-0005-0000-0000-0000C90B0000}"/>
    <cellStyle name="20% - Accent2 8 2 4" xfId="7753" xr:uid="{00000000-0005-0000-0000-0000CA0B0000}"/>
    <cellStyle name="20% - Accent2 8 2 4 2" xfId="19041" xr:uid="{00000000-0005-0000-0000-0000CB0B0000}"/>
    <cellStyle name="20% - Accent2 8 2 5" xfId="5759" xr:uid="{00000000-0005-0000-0000-0000CC0B0000}"/>
    <cellStyle name="20% - Accent2 8 2 5 2" xfId="17047" xr:uid="{00000000-0005-0000-0000-0000CD0B0000}"/>
    <cellStyle name="20% - Accent2 8 2 6" xfId="15053" xr:uid="{00000000-0005-0000-0000-0000CE0B0000}"/>
    <cellStyle name="20% - Accent2 8 3" xfId="10744" xr:uid="{00000000-0005-0000-0000-0000CF0B0000}"/>
    <cellStyle name="20% - Accent2 8 3 2" xfId="22032" xr:uid="{00000000-0005-0000-0000-0000D00B0000}"/>
    <cellStyle name="20% - Accent2 8 4" xfId="8750" xr:uid="{00000000-0005-0000-0000-0000D10B0000}"/>
    <cellStyle name="20% - Accent2 8 4 2" xfId="20038" xr:uid="{00000000-0005-0000-0000-0000D20B0000}"/>
    <cellStyle name="20% - Accent2 8 5" xfId="6756" xr:uid="{00000000-0005-0000-0000-0000D30B0000}"/>
    <cellStyle name="20% - Accent2 8 5 2" xfId="18044" xr:uid="{00000000-0005-0000-0000-0000D40B0000}"/>
    <cellStyle name="20% - Accent2 8 6" xfId="4762" xr:uid="{00000000-0005-0000-0000-0000D50B0000}"/>
    <cellStyle name="20% - Accent2 8 6 2" xfId="16050" xr:uid="{00000000-0005-0000-0000-0000D60B0000}"/>
    <cellStyle name="20% - Accent2 8 7" xfId="14056" xr:uid="{00000000-0005-0000-0000-0000D70B0000}"/>
    <cellStyle name="20% - Accent2 8 8" xfId="12742" xr:uid="{00000000-0005-0000-0000-0000D80B0000}"/>
    <cellStyle name="20% - Accent2 9" xfId="807" xr:uid="{00000000-0005-0000-0000-0000D90B0000}"/>
    <cellStyle name="20% - Accent2 9 2" xfId="3763" xr:uid="{00000000-0005-0000-0000-0000DA0B0000}"/>
    <cellStyle name="20% - Accent2 9 2 2" xfId="11742" xr:uid="{00000000-0005-0000-0000-0000DB0B0000}"/>
    <cellStyle name="20% - Accent2 9 2 2 2" xfId="23030" xr:uid="{00000000-0005-0000-0000-0000DC0B0000}"/>
    <cellStyle name="20% - Accent2 9 2 3" xfId="9748" xr:uid="{00000000-0005-0000-0000-0000DD0B0000}"/>
    <cellStyle name="20% - Accent2 9 2 3 2" xfId="21036" xr:uid="{00000000-0005-0000-0000-0000DE0B0000}"/>
    <cellStyle name="20% - Accent2 9 2 4" xfId="7754" xr:uid="{00000000-0005-0000-0000-0000DF0B0000}"/>
    <cellStyle name="20% - Accent2 9 2 4 2" xfId="19042" xr:uid="{00000000-0005-0000-0000-0000E00B0000}"/>
    <cellStyle name="20% - Accent2 9 2 5" xfId="5760" xr:uid="{00000000-0005-0000-0000-0000E10B0000}"/>
    <cellStyle name="20% - Accent2 9 2 5 2" xfId="17048" xr:uid="{00000000-0005-0000-0000-0000E20B0000}"/>
    <cellStyle name="20% - Accent2 9 2 6" xfId="15054" xr:uid="{00000000-0005-0000-0000-0000E30B0000}"/>
    <cellStyle name="20% - Accent2 9 3" xfId="10745" xr:uid="{00000000-0005-0000-0000-0000E40B0000}"/>
    <cellStyle name="20% - Accent2 9 3 2" xfId="22033" xr:uid="{00000000-0005-0000-0000-0000E50B0000}"/>
    <cellStyle name="20% - Accent2 9 4" xfId="8751" xr:uid="{00000000-0005-0000-0000-0000E60B0000}"/>
    <cellStyle name="20% - Accent2 9 4 2" xfId="20039" xr:uid="{00000000-0005-0000-0000-0000E70B0000}"/>
    <cellStyle name="20% - Accent2 9 5" xfId="6757" xr:uid="{00000000-0005-0000-0000-0000E80B0000}"/>
    <cellStyle name="20% - Accent2 9 5 2" xfId="18045" xr:uid="{00000000-0005-0000-0000-0000E90B0000}"/>
    <cellStyle name="20% - Accent2 9 6" xfId="4763" xr:uid="{00000000-0005-0000-0000-0000EA0B0000}"/>
    <cellStyle name="20% - Accent2 9 6 2" xfId="16051" xr:uid="{00000000-0005-0000-0000-0000EB0B0000}"/>
    <cellStyle name="20% - Accent2 9 7" xfId="14057" xr:uid="{00000000-0005-0000-0000-0000EC0B0000}"/>
    <cellStyle name="20% - Accent2 9 8" xfId="12743" xr:uid="{00000000-0005-0000-0000-0000ED0B0000}"/>
    <cellStyle name="20% - Accent3 10" xfId="808" xr:uid="{00000000-0005-0000-0000-0000EE0B0000}"/>
    <cellStyle name="20% - Accent3 10 2" xfId="3764" xr:uid="{00000000-0005-0000-0000-0000EF0B0000}"/>
    <cellStyle name="20% - Accent3 10 2 2" xfId="11743" xr:uid="{00000000-0005-0000-0000-0000F00B0000}"/>
    <cellStyle name="20% - Accent3 10 2 2 2" xfId="23031" xr:uid="{00000000-0005-0000-0000-0000F10B0000}"/>
    <cellStyle name="20% - Accent3 10 2 3" xfId="9749" xr:uid="{00000000-0005-0000-0000-0000F20B0000}"/>
    <cellStyle name="20% - Accent3 10 2 3 2" xfId="21037" xr:uid="{00000000-0005-0000-0000-0000F30B0000}"/>
    <cellStyle name="20% - Accent3 10 2 4" xfId="7755" xr:uid="{00000000-0005-0000-0000-0000F40B0000}"/>
    <cellStyle name="20% - Accent3 10 2 4 2" xfId="19043" xr:uid="{00000000-0005-0000-0000-0000F50B0000}"/>
    <cellStyle name="20% - Accent3 10 2 5" xfId="5761" xr:uid="{00000000-0005-0000-0000-0000F60B0000}"/>
    <cellStyle name="20% - Accent3 10 2 5 2" xfId="17049" xr:uid="{00000000-0005-0000-0000-0000F70B0000}"/>
    <cellStyle name="20% - Accent3 10 2 6" xfId="15055" xr:uid="{00000000-0005-0000-0000-0000F80B0000}"/>
    <cellStyle name="20% - Accent3 10 3" xfId="10746" xr:uid="{00000000-0005-0000-0000-0000F90B0000}"/>
    <cellStyle name="20% - Accent3 10 3 2" xfId="22034" xr:uid="{00000000-0005-0000-0000-0000FA0B0000}"/>
    <cellStyle name="20% - Accent3 10 4" xfId="8752" xr:uid="{00000000-0005-0000-0000-0000FB0B0000}"/>
    <cellStyle name="20% - Accent3 10 4 2" xfId="20040" xr:uid="{00000000-0005-0000-0000-0000FC0B0000}"/>
    <cellStyle name="20% - Accent3 10 5" xfId="6758" xr:uid="{00000000-0005-0000-0000-0000FD0B0000}"/>
    <cellStyle name="20% - Accent3 10 5 2" xfId="18046" xr:uid="{00000000-0005-0000-0000-0000FE0B0000}"/>
    <cellStyle name="20% - Accent3 10 6" xfId="4764" xr:uid="{00000000-0005-0000-0000-0000FF0B0000}"/>
    <cellStyle name="20% - Accent3 10 6 2" xfId="16052" xr:uid="{00000000-0005-0000-0000-0000000C0000}"/>
    <cellStyle name="20% - Accent3 10 7" xfId="14058" xr:uid="{00000000-0005-0000-0000-0000010C0000}"/>
    <cellStyle name="20% - Accent3 10 8" xfId="12744" xr:uid="{00000000-0005-0000-0000-0000020C0000}"/>
    <cellStyle name="20% - Accent3 11" xfId="809" xr:uid="{00000000-0005-0000-0000-0000030C0000}"/>
    <cellStyle name="20% - Accent3 11 2" xfId="3765" xr:uid="{00000000-0005-0000-0000-0000040C0000}"/>
    <cellStyle name="20% - Accent3 11 2 2" xfId="11744" xr:uid="{00000000-0005-0000-0000-0000050C0000}"/>
    <cellStyle name="20% - Accent3 11 2 2 2" xfId="23032" xr:uid="{00000000-0005-0000-0000-0000060C0000}"/>
    <cellStyle name="20% - Accent3 11 2 3" xfId="9750" xr:uid="{00000000-0005-0000-0000-0000070C0000}"/>
    <cellStyle name="20% - Accent3 11 2 3 2" xfId="21038" xr:uid="{00000000-0005-0000-0000-0000080C0000}"/>
    <cellStyle name="20% - Accent3 11 2 4" xfId="7756" xr:uid="{00000000-0005-0000-0000-0000090C0000}"/>
    <cellStyle name="20% - Accent3 11 2 4 2" xfId="19044" xr:uid="{00000000-0005-0000-0000-00000A0C0000}"/>
    <cellStyle name="20% - Accent3 11 2 5" xfId="5762" xr:uid="{00000000-0005-0000-0000-00000B0C0000}"/>
    <cellStyle name="20% - Accent3 11 2 5 2" xfId="17050" xr:uid="{00000000-0005-0000-0000-00000C0C0000}"/>
    <cellStyle name="20% - Accent3 11 2 6" xfId="15056" xr:uid="{00000000-0005-0000-0000-00000D0C0000}"/>
    <cellStyle name="20% - Accent3 11 3" xfId="10747" xr:uid="{00000000-0005-0000-0000-00000E0C0000}"/>
    <cellStyle name="20% - Accent3 11 3 2" xfId="22035" xr:uid="{00000000-0005-0000-0000-00000F0C0000}"/>
    <cellStyle name="20% - Accent3 11 4" xfId="8753" xr:uid="{00000000-0005-0000-0000-0000100C0000}"/>
    <cellStyle name="20% - Accent3 11 4 2" xfId="20041" xr:uid="{00000000-0005-0000-0000-0000110C0000}"/>
    <cellStyle name="20% - Accent3 11 5" xfId="6759" xr:uid="{00000000-0005-0000-0000-0000120C0000}"/>
    <cellStyle name="20% - Accent3 11 5 2" xfId="18047" xr:uid="{00000000-0005-0000-0000-0000130C0000}"/>
    <cellStyle name="20% - Accent3 11 6" xfId="4765" xr:uid="{00000000-0005-0000-0000-0000140C0000}"/>
    <cellStyle name="20% - Accent3 11 6 2" xfId="16053" xr:uid="{00000000-0005-0000-0000-0000150C0000}"/>
    <cellStyle name="20% - Accent3 11 7" xfId="14059" xr:uid="{00000000-0005-0000-0000-0000160C0000}"/>
    <cellStyle name="20% - Accent3 11 8" xfId="12745" xr:uid="{00000000-0005-0000-0000-0000170C0000}"/>
    <cellStyle name="20% - Accent3 12" xfId="810" xr:uid="{00000000-0005-0000-0000-0000180C0000}"/>
    <cellStyle name="20% - Accent3 12 2" xfId="3766" xr:uid="{00000000-0005-0000-0000-0000190C0000}"/>
    <cellStyle name="20% - Accent3 12 2 2" xfId="11745" xr:uid="{00000000-0005-0000-0000-00001A0C0000}"/>
    <cellStyle name="20% - Accent3 12 2 2 2" xfId="23033" xr:uid="{00000000-0005-0000-0000-00001B0C0000}"/>
    <cellStyle name="20% - Accent3 12 2 3" xfId="9751" xr:uid="{00000000-0005-0000-0000-00001C0C0000}"/>
    <cellStyle name="20% - Accent3 12 2 3 2" xfId="21039" xr:uid="{00000000-0005-0000-0000-00001D0C0000}"/>
    <cellStyle name="20% - Accent3 12 2 4" xfId="7757" xr:uid="{00000000-0005-0000-0000-00001E0C0000}"/>
    <cellStyle name="20% - Accent3 12 2 4 2" xfId="19045" xr:uid="{00000000-0005-0000-0000-00001F0C0000}"/>
    <cellStyle name="20% - Accent3 12 2 5" xfId="5763" xr:uid="{00000000-0005-0000-0000-0000200C0000}"/>
    <cellStyle name="20% - Accent3 12 2 5 2" xfId="17051" xr:uid="{00000000-0005-0000-0000-0000210C0000}"/>
    <cellStyle name="20% - Accent3 12 2 6" xfId="15057" xr:uid="{00000000-0005-0000-0000-0000220C0000}"/>
    <cellStyle name="20% - Accent3 12 3" xfId="10748" xr:uid="{00000000-0005-0000-0000-0000230C0000}"/>
    <cellStyle name="20% - Accent3 12 3 2" xfId="22036" xr:uid="{00000000-0005-0000-0000-0000240C0000}"/>
    <cellStyle name="20% - Accent3 12 4" xfId="8754" xr:uid="{00000000-0005-0000-0000-0000250C0000}"/>
    <cellStyle name="20% - Accent3 12 4 2" xfId="20042" xr:uid="{00000000-0005-0000-0000-0000260C0000}"/>
    <cellStyle name="20% - Accent3 12 5" xfId="6760" xr:uid="{00000000-0005-0000-0000-0000270C0000}"/>
    <cellStyle name="20% - Accent3 12 5 2" xfId="18048" xr:uid="{00000000-0005-0000-0000-0000280C0000}"/>
    <cellStyle name="20% - Accent3 12 6" xfId="4766" xr:uid="{00000000-0005-0000-0000-0000290C0000}"/>
    <cellStyle name="20% - Accent3 12 6 2" xfId="16054" xr:uid="{00000000-0005-0000-0000-00002A0C0000}"/>
    <cellStyle name="20% - Accent3 12 7" xfId="14060" xr:uid="{00000000-0005-0000-0000-00002B0C0000}"/>
    <cellStyle name="20% - Accent3 12 8" xfId="12746" xr:uid="{00000000-0005-0000-0000-00002C0C0000}"/>
    <cellStyle name="20% - Accent3 13" xfId="811" xr:uid="{00000000-0005-0000-0000-00002D0C0000}"/>
    <cellStyle name="20% - Accent3 13 2" xfId="3767" xr:uid="{00000000-0005-0000-0000-00002E0C0000}"/>
    <cellStyle name="20% - Accent3 13 2 2" xfId="11746" xr:uid="{00000000-0005-0000-0000-00002F0C0000}"/>
    <cellStyle name="20% - Accent3 13 2 2 2" xfId="23034" xr:uid="{00000000-0005-0000-0000-0000300C0000}"/>
    <cellStyle name="20% - Accent3 13 2 3" xfId="9752" xr:uid="{00000000-0005-0000-0000-0000310C0000}"/>
    <cellStyle name="20% - Accent3 13 2 3 2" xfId="21040" xr:uid="{00000000-0005-0000-0000-0000320C0000}"/>
    <cellStyle name="20% - Accent3 13 2 4" xfId="7758" xr:uid="{00000000-0005-0000-0000-0000330C0000}"/>
    <cellStyle name="20% - Accent3 13 2 4 2" xfId="19046" xr:uid="{00000000-0005-0000-0000-0000340C0000}"/>
    <cellStyle name="20% - Accent3 13 2 5" xfId="5764" xr:uid="{00000000-0005-0000-0000-0000350C0000}"/>
    <cellStyle name="20% - Accent3 13 2 5 2" xfId="17052" xr:uid="{00000000-0005-0000-0000-0000360C0000}"/>
    <cellStyle name="20% - Accent3 13 2 6" xfId="15058" xr:uid="{00000000-0005-0000-0000-0000370C0000}"/>
    <cellStyle name="20% - Accent3 13 3" xfId="10749" xr:uid="{00000000-0005-0000-0000-0000380C0000}"/>
    <cellStyle name="20% - Accent3 13 3 2" xfId="22037" xr:uid="{00000000-0005-0000-0000-0000390C0000}"/>
    <cellStyle name="20% - Accent3 13 4" xfId="8755" xr:uid="{00000000-0005-0000-0000-00003A0C0000}"/>
    <cellStyle name="20% - Accent3 13 4 2" xfId="20043" xr:uid="{00000000-0005-0000-0000-00003B0C0000}"/>
    <cellStyle name="20% - Accent3 13 5" xfId="6761" xr:uid="{00000000-0005-0000-0000-00003C0C0000}"/>
    <cellStyle name="20% - Accent3 13 5 2" xfId="18049" xr:uid="{00000000-0005-0000-0000-00003D0C0000}"/>
    <cellStyle name="20% - Accent3 13 6" xfId="4767" xr:uid="{00000000-0005-0000-0000-00003E0C0000}"/>
    <cellStyle name="20% - Accent3 13 6 2" xfId="16055" xr:uid="{00000000-0005-0000-0000-00003F0C0000}"/>
    <cellStyle name="20% - Accent3 13 7" xfId="14061" xr:uid="{00000000-0005-0000-0000-0000400C0000}"/>
    <cellStyle name="20% - Accent3 13 8" xfId="12747" xr:uid="{00000000-0005-0000-0000-0000410C0000}"/>
    <cellStyle name="20% - Accent3 14" xfId="812" xr:uid="{00000000-0005-0000-0000-0000420C0000}"/>
    <cellStyle name="20% - Accent3 14 2" xfId="3768" xr:uid="{00000000-0005-0000-0000-0000430C0000}"/>
    <cellStyle name="20% - Accent3 14 2 2" xfId="11747" xr:uid="{00000000-0005-0000-0000-0000440C0000}"/>
    <cellStyle name="20% - Accent3 14 2 2 2" xfId="23035" xr:uid="{00000000-0005-0000-0000-0000450C0000}"/>
    <cellStyle name="20% - Accent3 14 2 3" xfId="9753" xr:uid="{00000000-0005-0000-0000-0000460C0000}"/>
    <cellStyle name="20% - Accent3 14 2 3 2" xfId="21041" xr:uid="{00000000-0005-0000-0000-0000470C0000}"/>
    <cellStyle name="20% - Accent3 14 2 4" xfId="7759" xr:uid="{00000000-0005-0000-0000-0000480C0000}"/>
    <cellStyle name="20% - Accent3 14 2 4 2" xfId="19047" xr:uid="{00000000-0005-0000-0000-0000490C0000}"/>
    <cellStyle name="20% - Accent3 14 2 5" xfId="5765" xr:uid="{00000000-0005-0000-0000-00004A0C0000}"/>
    <cellStyle name="20% - Accent3 14 2 5 2" xfId="17053" xr:uid="{00000000-0005-0000-0000-00004B0C0000}"/>
    <cellStyle name="20% - Accent3 14 2 6" xfId="15059" xr:uid="{00000000-0005-0000-0000-00004C0C0000}"/>
    <cellStyle name="20% - Accent3 14 3" xfId="10750" xr:uid="{00000000-0005-0000-0000-00004D0C0000}"/>
    <cellStyle name="20% - Accent3 14 3 2" xfId="22038" xr:uid="{00000000-0005-0000-0000-00004E0C0000}"/>
    <cellStyle name="20% - Accent3 14 4" xfId="8756" xr:uid="{00000000-0005-0000-0000-00004F0C0000}"/>
    <cellStyle name="20% - Accent3 14 4 2" xfId="20044" xr:uid="{00000000-0005-0000-0000-0000500C0000}"/>
    <cellStyle name="20% - Accent3 14 5" xfId="6762" xr:uid="{00000000-0005-0000-0000-0000510C0000}"/>
    <cellStyle name="20% - Accent3 14 5 2" xfId="18050" xr:uid="{00000000-0005-0000-0000-0000520C0000}"/>
    <cellStyle name="20% - Accent3 14 6" xfId="4768" xr:uid="{00000000-0005-0000-0000-0000530C0000}"/>
    <cellStyle name="20% - Accent3 14 6 2" xfId="16056" xr:uid="{00000000-0005-0000-0000-0000540C0000}"/>
    <cellStyle name="20% - Accent3 14 7" xfId="14062" xr:uid="{00000000-0005-0000-0000-0000550C0000}"/>
    <cellStyle name="20% - Accent3 14 8" xfId="12748" xr:uid="{00000000-0005-0000-0000-0000560C0000}"/>
    <cellStyle name="20% - Accent3 15" xfId="813" xr:uid="{00000000-0005-0000-0000-0000570C0000}"/>
    <cellStyle name="20% - Accent3 15 2" xfId="3769" xr:uid="{00000000-0005-0000-0000-0000580C0000}"/>
    <cellStyle name="20% - Accent3 15 2 2" xfId="11748" xr:uid="{00000000-0005-0000-0000-0000590C0000}"/>
    <cellStyle name="20% - Accent3 15 2 2 2" xfId="23036" xr:uid="{00000000-0005-0000-0000-00005A0C0000}"/>
    <cellStyle name="20% - Accent3 15 2 3" xfId="9754" xr:uid="{00000000-0005-0000-0000-00005B0C0000}"/>
    <cellStyle name="20% - Accent3 15 2 3 2" xfId="21042" xr:uid="{00000000-0005-0000-0000-00005C0C0000}"/>
    <cellStyle name="20% - Accent3 15 2 4" xfId="7760" xr:uid="{00000000-0005-0000-0000-00005D0C0000}"/>
    <cellStyle name="20% - Accent3 15 2 4 2" xfId="19048" xr:uid="{00000000-0005-0000-0000-00005E0C0000}"/>
    <cellStyle name="20% - Accent3 15 2 5" xfId="5766" xr:uid="{00000000-0005-0000-0000-00005F0C0000}"/>
    <cellStyle name="20% - Accent3 15 2 5 2" xfId="17054" xr:uid="{00000000-0005-0000-0000-0000600C0000}"/>
    <cellStyle name="20% - Accent3 15 2 6" xfId="15060" xr:uid="{00000000-0005-0000-0000-0000610C0000}"/>
    <cellStyle name="20% - Accent3 15 3" xfId="10751" xr:uid="{00000000-0005-0000-0000-0000620C0000}"/>
    <cellStyle name="20% - Accent3 15 3 2" xfId="22039" xr:uid="{00000000-0005-0000-0000-0000630C0000}"/>
    <cellStyle name="20% - Accent3 15 4" xfId="8757" xr:uid="{00000000-0005-0000-0000-0000640C0000}"/>
    <cellStyle name="20% - Accent3 15 4 2" xfId="20045" xr:uid="{00000000-0005-0000-0000-0000650C0000}"/>
    <cellStyle name="20% - Accent3 15 5" xfId="6763" xr:uid="{00000000-0005-0000-0000-0000660C0000}"/>
    <cellStyle name="20% - Accent3 15 5 2" xfId="18051" xr:uid="{00000000-0005-0000-0000-0000670C0000}"/>
    <cellStyle name="20% - Accent3 15 6" xfId="4769" xr:uid="{00000000-0005-0000-0000-0000680C0000}"/>
    <cellStyle name="20% - Accent3 15 6 2" xfId="16057" xr:uid="{00000000-0005-0000-0000-0000690C0000}"/>
    <cellStyle name="20% - Accent3 15 7" xfId="14063" xr:uid="{00000000-0005-0000-0000-00006A0C0000}"/>
    <cellStyle name="20% - Accent3 15 8" xfId="12749" xr:uid="{00000000-0005-0000-0000-00006B0C0000}"/>
    <cellStyle name="20% - Accent3 16" xfId="814" xr:uid="{00000000-0005-0000-0000-00006C0C0000}"/>
    <cellStyle name="20% - Accent3 16 2" xfId="3770" xr:uid="{00000000-0005-0000-0000-00006D0C0000}"/>
    <cellStyle name="20% - Accent3 16 2 2" xfId="11749" xr:uid="{00000000-0005-0000-0000-00006E0C0000}"/>
    <cellStyle name="20% - Accent3 16 2 2 2" xfId="23037" xr:uid="{00000000-0005-0000-0000-00006F0C0000}"/>
    <cellStyle name="20% - Accent3 16 2 3" xfId="9755" xr:uid="{00000000-0005-0000-0000-0000700C0000}"/>
    <cellStyle name="20% - Accent3 16 2 3 2" xfId="21043" xr:uid="{00000000-0005-0000-0000-0000710C0000}"/>
    <cellStyle name="20% - Accent3 16 2 4" xfId="7761" xr:uid="{00000000-0005-0000-0000-0000720C0000}"/>
    <cellStyle name="20% - Accent3 16 2 4 2" xfId="19049" xr:uid="{00000000-0005-0000-0000-0000730C0000}"/>
    <cellStyle name="20% - Accent3 16 2 5" xfId="5767" xr:uid="{00000000-0005-0000-0000-0000740C0000}"/>
    <cellStyle name="20% - Accent3 16 2 5 2" xfId="17055" xr:uid="{00000000-0005-0000-0000-0000750C0000}"/>
    <cellStyle name="20% - Accent3 16 2 6" xfId="15061" xr:uid="{00000000-0005-0000-0000-0000760C0000}"/>
    <cellStyle name="20% - Accent3 16 3" xfId="10752" xr:uid="{00000000-0005-0000-0000-0000770C0000}"/>
    <cellStyle name="20% - Accent3 16 3 2" xfId="22040" xr:uid="{00000000-0005-0000-0000-0000780C0000}"/>
    <cellStyle name="20% - Accent3 16 4" xfId="8758" xr:uid="{00000000-0005-0000-0000-0000790C0000}"/>
    <cellStyle name="20% - Accent3 16 4 2" xfId="20046" xr:uid="{00000000-0005-0000-0000-00007A0C0000}"/>
    <cellStyle name="20% - Accent3 16 5" xfId="6764" xr:uid="{00000000-0005-0000-0000-00007B0C0000}"/>
    <cellStyle name="20% - Accent3 16 5 2" xfId="18052" xr:uid="{00000000-0005-0000-0000-00007C0C0000}"/>
    <cellStyle name="20% - Accent3 16 6" xfId="4770" xr:uid="{00000000-0005-0000-0000-00007D0C0000}"/>
    <cellStyle name="20% - Accent3 16 6 2" xfId="16058" xr:uid="{00000000-0005-0000-0000-00007E0C0000}"/>
    <cellStyle name="20% - Accent3 16 7" xfId="14064" xr:uid="{00000000-0005-0000-0000-00007F0C0000}"/>
    <cellStyle name="20% - Accent3 16 8" xfId="12750" xr:uid="{00000000-0005-0000-0000-0000800C0000}"/>
    <cellStyle name="20% - Accent3 17" xfId="815" xr:uid="{00000000-0005-0000-0000-0000810C0000}"/>
    <cellStyle name="20% - Accent3 17 2" xfId="3771" xr:uid="{00000000-0005-0000-0000-0000820C0000}"/>
    <cellStyle name="20% - Accent3 17 2 2" xfId="11750" xr:uid="{00000000-0005-0000-0000-0000830C0000}"/>
    <cellStyle name="20% - Accent3 17 2 2 2" xfId="23038" xr:uid="{00000000-0005-0000-0000-0000840C0000}"/>
    <cellStyle name="20% - Accent3 17 2 3" xfId="9756" xr:uid="{00000000-0005-0000-0000-0000850C0000}"/>
    <cellStyle name="20% - Accent3 17 2 3 2" xfId="21044" xr:uid="{00000000-0005-0000-0000-0000860C0000}"/>
    <cellStyle name="20% - Accent3 17 2 4" xfId="7762" xr:uid="{00000000-0005-0000-0000-0000870C0000}"/>
    <cellStyle name="20% - Accent3 17 2 4 2" xfId="19050" xr:uid="{00000000-0005-0000-0000-0000880C0000}"/>
    <cellStyle name="20% - Accent3 17 2 5" xfId="5768" xr:uid="{00000000-0005-0000-0000-0000890C0000}"/>
    <cellStyle name="20% - Accent3 17 2 5 2" xfId="17056" xr:uid="{00000000-0005-0000-0000-00008A0C0000}"/>
    <cellStyle name="20% - Accent3 17 2 6" xfId="15062" xr:uid="{00000000-0005-0000-0000-00008B0C0000}"/>
    <cellStyle name="20% - Accent3 17 3" xfId="10753" xr:uid="{00000000-0005-0000-0000-00008C0C0000}"/>
    <cellStyle name="20% - Accent3 17 3 2" xfId="22041" xr:uid="{00000000-0005-0000-0000-00008D0C0000}"/>
    <cellStyle name="20% - Accent3 17 4" xfId="8759" xr:uid="{00000000-0005-0000-0000-00008E0C0000}"/>
    <cellStyle name="20% - Accent3 17 4 2" xfId="20047" xr:uid="{00000000-0005-0000-0000-00008F0C0000}"/>
    <cellStyle name="20% - Accent3 17 5" xfId="6765" xr:uid="{00000000-0005-0000-0000-0000900C0000}"/>
    <cellStyle name="20% - Accent3 17 5 2" xfId="18053" xr:uid="{00000000-0005-0000-0000-0000910C0000}"/>
    <cellStyle name="20% - Accent3 17 6" xfId="4771" xr:uid="{00000000-0005-0000-0000-0000920C0000}"/>
    <cellStyle name="20% - Accent3 17 6 2" xfId="16059" xr:uid="{00000000-0005-0000-0000-0000930C0000}"/>
    <cellStyle name="20% - Accent3 17 7" xfId="14065" xr:uid="{00000000-0005-0000-0000-0000940C0000}"/>
    <cellStyle name="20% - Accent3 17 8" xfId="12751" xr:uid="{00000000-0005-0000-0000-0000950C0000}"/>
    <cellStyle name="20% - Accent3 18" xfId="816" xr:uid="{00000000-0005-0000-0000-0000960C0000}"/>
    <cellStyle name="20% - Accent3 18 2" xfId="3772" xr:uid="{00000000-0005-0000-0000-0000970C0000}"/>
    <cellStyle name="20% - Accent3 18 2 2" xfId="11751" xr:uid="{00000000-0005-0000-0000-0000980C0000}"/>
    <cellStyle name="20% - Accent3 18 2 2 2" xfId="23039" xr:uid="{00000000-0005-0000-0000-0000990C0000}"/>
    <cellStyle name="20% - Accent3 18 2 3" xfId="9757" xr:uid="{00000000-0005-0000-0000-00009A0C0000}"/>
    <cellStyle name="20% - Accent3 18 2 3 2" xfId="21045" xr:uid="{00000000-0005-0000-0000-00009B0C0000}"/>
    <cellStyle name="20% - Accent3 18 2 4" xfId="7763" xr:uid="{00000000-0005-0000-0000-00009C0C0000}"/>
    <cellStyle name="20% - Accent3 18 2 4 2" xfId="19051" xr:uid="{00000000-0005-0000-0000-00009D0C0000}"/>
    <cellStyle name="20% - Accent3 18 2 5" xfId="5769" xr:uid="{00000000-0005-0000-0000-00009E0C0000}"/>
    <cellStyle name="20% - Accent3 18 2 5 2" xfId="17057" xr:uid="{00000000-0005-0000-0000-00009F0C0000}"/>
    <cellStyle name="20% - Accent3 18 2 6" xfId="15063" xr:uid="{00000000-0005-0000-0000-0000A00C0000}"/>
    <cellStyle name="20% - Accent3 18 3" xfId="10754" xr:uid="{00000000-0005-0000-0000-0000A10C0000}"/>
    <cellStyle name="20% - Accent3 18 3 2" xfId="22042" xr:uid="{00000000-0005-0000-0000-0000A20C0000}"/>
    <cellStyle name="20% - Accent3 18 4" xfId="8760" xr:uid="{00000000-0005-0000-0000-0000A30C0000}"/>
    <cellStyle name="20% - Accent3 18 4 2" xfId="20048" xr:uid="{00000000-0005-0000-0000-0000A40C0000}"/>
    <cellStyle name="20% - Accent3 18 5" xfId="6766" xr:uid="{00000000-0005-0000-0000-0000A50C0000}"/>
    <cellStyle name="20% - Accent3 18 5 2" xfId="18054" xr:uid="{00000000-0005-0000-0000-0000A60C0000}"/>
    <cellStyle name="20% - Accent3 18 6" xfId="4772" xr:uid="{00000000-0005-0000-0000-0000A70C0000}"/>
    <cellStyle name="20% - Accent3 18 6 2" xfId="16060" xr:uid="{00000000-0005-0000-0000-0000A80C0000}"/>
    <cellStyle name="20% - Accent3 18 7" xfId="14066" xr:uid="{00000000-0005-0000-0000-0000A90C0000}"/>
    <cellStyle name="20% - Accent3 18 8" xfId="12752" xr:uid="{00000000-0005-0000-0000-0000AA0C0000}"/>
    <cellStyle name="20% - Accent3 19" xfId="817" xr:uid="{00000000-0005-0000-0000-0000AB0C0000}"/>
    <cellStyle name="20% - Accent3 19 2" xfId="3773" xr:uid="{00000000-0005-0000-0000-0000AC0C0000}"/>
    <cellStyle name="20% - Accent3 19 2 2" xfId="11752" xr:uid="{00000000-0005-0000-0000-0000AD0C0000}"/>
    <cellStyle name="20% - Accent3 19 2 2 2" xfId="23040" xr:uid="{00000000-0005-0000-0000-0000AE0C0000}"/>
    <cellStyle name="20% - Accent3 19 2 3" xfId="9758" xr:uid="{00000000-0005-0000-0000-0000AF0C0000}"/>
    <cellStyle name="20% - Accent3 19 2 3 2" xfId="21046" xr:uid="{00000000-0005-0000-0000-0000B00C0000}"/>
    <cellStyle name="20% - Accent3 19 2 4" xfId="7764" xr:uid="{00000000-0005-0000-0000-0000B10C0000}"/>
    <cellStyle name="20% - Accent3 19 2 4 2" xfId="19052" xr:uid="{00000000-0005-0000-0000-0000B20C0000}"/>
    <cellStyle name="20% - Accent3 19 2 5" xfId="5770" xr:uid="{00000000-0005-0000-0000-0000B30C0000}"/>
    <cellStyle name="20% - Accent3 19 2 5 2" xfId="17058" xr:uid="{00000000-0005-0000-0000-0000B40C0000}"/>
    <cellStyle name="20% - Accent3 19 2 6" xfId="15064" xr:uid="{00000000-0005-0000-0000-0000B50C0000}"/>
    <cellStyle name="20% - Accent3 19 3" xfId="10755" xr:uid="{00000000-0005-0000-0000-0000B60C0000}"/>
    <cellStyle name="20% - Accent3 19 3 2" xfId="22043" xr:uid="{00000000-0005-0000-0000-0000B70C0000}"/>
    <cellStyle name="20% - Accent3 19 4" xfId="8761" xr:uid="{00000000-0005-0000-0000-0000B80C0000}"/>
    <cellStyle name="20% - Accent3 19 4 2" xfId="20049" xr:uid="{00000000-0005-0000-0000-0000B90C0000}"/>
    <cellStyle name="20% - Accent3 19 5" xfId="6767" xr:uid="{00000000-0005-0000-0000-0000BA0C0000}"/>
    <cellStyle name="20% - Accent3 19 5 2" xfId="18055" xr:uid="{00000000-0005-0000-0000-0000BB0C0000}"/>
    <cellStyle name="20% - Accent3 19 6" xfId="4773" xr:uid="{00000000-0005-0000-0000-0000BC0C0000}"/>
    <cellStyle name="20% - Accent3 19 6 2" xfId="16061" xr:uid="{00000000-0005-0000-0000-0000BD0C0000}"/>
    <cellStyle name="20% - Accent3 19 7" xfId="14067" xr:uid="{00000000-0005-0000-0000-0000BE0C0000}"/>
    <cellStyle name="20% - Accent3 19 8" xfId="12753" xr:uid="{00000000-0005-0000-0000-0000BF0C0000}"/>
    <cellStyle name="20% - Accent3 2" xfId="818" xr:uid="{00000000-0005-0000-0000-0000C00C0000}"/>
    <cellStyle name="20% - Accent3 2 10" xfId="24571" xr:uid="{00000000-0005-0000-0000-0000C10C0000}"/>
    <cellStyle name="20% - Accent3 2 11" xfId="24961" xr:uid="{00000000-0005-0000-0000-0000C20C0000}"/>
    <cellStyle name="20% - Accent3 2 2" xfId="3774" xr:uid="{00000000-0005-0000-0000-0000C30C0000}"/>
    <cellStyle name="20% - Accent3 2 2 2" xfId="11753" xr:uid="{00000000-0005-0000-0000-0000C40C0000}"/>
    <cellStyle name="20% - Accent3 2 2 2 2" xfId="23041" xr:uid="{00000000-0005-0000-0000-0000C50C0000}"/>
    <cellStyle name="20% - Accent3 2 2 3" xfId="9759" xr:uid="{00000000-0005-0000-0000-0000C60C0000}"/>
    <cellStyle name="20% - Accent3 2 2 3 2" xfId="21047" xr:uid="{00000000-0005-0000-0000-0000C70C0000}"/>
    <cellStyle name="20% - Accent3 2 2 4" xfId="7765" xr:uid="{00000000-0005-0000-0000-0000C80C0000}"/>
    <cellStyle name="20% - Accent3 2 2 4 2" xfId="19053" xr:uid="{00000000-0005-0000-0000-0000C90C0000}"/>
    <cellStyle name="20% - Accent3 2 2 5" xfId="5771" xr:uid="{00000000-0005-0000-0000-0000CA0C0000}"/>
    <cellStyle name="20% - Accent3 2 2 5 2" xfId="17059" xr:uid="{00000000-0005-0000-0000-0000CB0C0000}"/>
    <cellStyle name="20% - Accent3 2 2 6" xfId="15065" xr:uid="{00000000-0005-0000-0000-0000CC0C0000}"/>
    <cellStyle name="20% - Accent3 2 2 7" xfId="24332" xr:uid="{00000000-0005-0000-0000-0000CD0C0000}"/>
    <cellStyle name="20% - Accent3 2 2 8" xfId="24796" xr:uid="{00000000-0005-0000-0000-0000CE0C0000}"/>
    <cellStyle name="20% - Accent3 2 2 9" xfId="25163" xr:uid="{00000000-0005-0000-0000-0000CF0C0000}"/>
    <cellStyle name="20% - Accent3 2 3" xfId="10756" xr:uid="{00000000-0005-0000-0000-0000D00C0000}"/>
    <cellStyle name="20% - Accent3 2 3 2" xfId="22044" xr:uid="{00000000-0005-0000-0000-0000D10C0000}"/>
    <cellStyle name="20% - Accent3 2 4" xfId="8762" xr:uid="{00000000-0005-0000-0000-0000D20C0000}"/>
    <cellStyle name="20% - Accent3 2 4 2" xfId="20050" xr:uid="{00000000-0005-0000-0000-0000D30C0000}"/>
    <cellStyle name="20% - Accent3 2 5" xfId="6768" xr:uid="{00000000-0005-0000-0000-0000D40C0000}"/>
    <cellStyle name="20% - Accent3 2 5 2" xfId="18056" xr:uid="{00000000-0005-0000-0000-0000D50C0000}"/>
    <cellStyle name="20% - Accent3 2 6" xfId="4774" xr:uid="{00000000-0005-0000-0000-0000D60C0000}"/>
    <cellStyle name="20% - Accent3 2 6 2" xfId="16062" xr:uid="{00000000-0005-0000-0000-0000D70C0000}"/>
    <cellStyle name="20% - Accent3 2 7" xfId="14068" xr:uid="{00000000-0005-0000-0000-0000D80C0000}"/>
    <cellStyle name="20% - Accent3 2 8" xfId="12754" xr:uid="{00000000-0005-0000-0000-0000D90C0000}"/>
    <cellStyle name="20% - Accent3 2 9" xfId="23944" xr:uid="{00000000-0005-0000-0000-0000DA0C0000}"/>
    <cellStyle name="20% - Accent3 20" xfId="819" xr:uid="{00000000-0005-0000-0000-0000DB0C0000}"/>
    <cellStyle name="20% - Accent3 20 2" xfId="3775" xr:uid="{00000000-0005-0000-0000-0000DC0C0000}"/>
    <cellStyle name="20% - Accent3 20 2 2" xfId="11754" xr:uid="{00000000-0005-0000-0000-0000DD0C0000}"/>
    <cellStyle name="20% - Accent3 20 2 2 2" xfId="23042" xr:uid="{00000000-0005-0000-0000-0000DE0C0000}"/>
    <cellStyle name="20% - Accent3 20 2 3" xfId="9760" xr:uid="{00000000-0005-0000-0000-0000DF0C0000}"/>
    <cellStyle name="20% - Accent3 20 2 3 2" xfId="21048" xr:uid="{00000000-0005-0000-0000-0000E00C0000}"/>
    <cellStyle name="20% - Accent3 20 2 4" xfId="7766" xr:uid="{00000000-0005-0000-0000-0000E10C0000}"/>
    <cellStyle name="20% - Accent3 20 2 4 2" xfId="19054" xr:uid="{00000000-0005-0000-0000-0000E20C0000}"/>
    <cellStyle name="20% - Accent3 20 2 5" xfId="5772" xr:uid="{00000000-0005-0000-0000-0000E30C0000}"/>
    <cellStyle name="20% - Accent3 20 2 5 2" xfId="17060" xr:uid="{00000000-0005-0000-0000-0000E40C0000}"/>
    <cellStyle name="20% - Accent3 20 2 6" xfId="15066" xr:uid="{00000000-0005-0000-0000-0000E50C0000}"/>
    <cellStyle name="20% - Accent3 20 3" xfId="10757" xr:uid="{00000000-0005-0000-0000-0000E60C0000}"/>
    <cellStyle name="20% - Accent3 20 3 2" xfId="22045" xr:uid="{00000000-0005-0000-0000-0000E70C0000}"/>
    <cellStyle name="20% - Accent3 20 4" xfId="8763" xr:uid="{00000000-0005-0000-0000-0000E80C0000}"/>
    <cellStyle name="20% - Accent3 20 4 2" xfId="20051" xr:uid="{00000000-0005-0000-0000-0000E90C0000}"/>
    <cellStyle name="20% - Accent3 20 5" xfId="6769" xr:uid="{00000000-0005-0000-0000-0000EA0C0000}"/>
    <cellStyle name="20% - Accent3 20 5 2" xfId="18057" xr:uid="{00000000-0005-0000-0000-0000EB0C0000}"/>
    <cellStyle name="20% - Accent3 20 6" xfId="4775" xr:uid="{00000000-0005-0000-0000-0000EC0C0000}"/>
    <cellStyle name="20% - Accent3 20 6 2" xfId="16063" xr:uid="{00000000-0005-0000-0000-0000ED0C0000}"/>
    <cellStyle name="20% - Accent3 20 7" xfId="14069" xr:uid="{00000000-0005-0000-0000-0000EE0C0000}"/>
    <cellStyle name="20% - Accent3 20 8" xfId="12755" xr:uid="{00000000-0005-0000-0000-0000EF0C0000}"/>
    <cellStyle name="20% - Accent3 21" xfId="820" xr:uid="{00000000-0005-0000-0000-0000F00C0000}"/>
    <cellStyle name="20% - Accent3 21 2" xfId="3776" xr:uid="{00000000-0005-0000-0000-0000F10C0000}"/>
    <cellStyle name="20% - Accent3 21 2 2" xfId="11755" xr:uid="{00000000-0005-0000-0000-0000F20C0000}"/>
    <cellStyle name="20% - Accent3 21 2 2 2" xfId="23043" xr:uid="{00000000-0005-0000-0000-0000F30C0000}"/>
    <cellStyle name="20% - Accent3 21 2 3" xfId="9761" xr:uid="{00000000-0005-0000-0000-0000F40C0000}"/>
    <cellStyle name="20% - Accent3 21 2 3 2" xfId="21049" xr:uid="{00000000-0005-0000-0000-0000F50C0000}"/>
    <cellStyle name="20% - Accent3 21 2 4" xfId="7767" xr:uid="{00000000-0005-0000-0000-0000F60C0000}"/>
    <cellStyle name="20% - Accent3 21 2 4 2" xfId="19055" xr:uid="{00000000-0005-0000-0000-0000F70C0000}"/>
    <cellStyle name="20% - Accent3 21 2 5" xfId="5773" xr:uid="{00000000-0005-0000-0000-0000F80C0000}"/>
    <cellStyle name="20% - Accent3 21 2 5 2" xfId="17061" xr:uid="{00000000-0005-0000-0000-0000F90C0000}"/>
    <cellStyle name="20% - Accent3 21 2 6" xfId="15067" xr:uid="{00000000-0005-0000-0000-0000FA0C0000}"/>
    <cellStyle name="20% - Accent3 21 3" xfId="10758" xr:uid="{00000000-0005-0000-0000-0000FB0C0000}"/>
    <cellStyle name="20% - Accent3 21 3 2" xfId="22046" xr:uid="{00000000-0005-0000-0000-0000FC0C0000}"/>
    <cellStyle name="20% - Accent3 21 4" xfId="8764" xr:uid="{00000000-0005-0000-0000-0000FD0C0000}"/>
    <cellStyle name="20% - Accent3 21 4 2" xfId="20052" xr:uid="{00000000-0005-0000-0000-0000FE0C0000}"/>
    <cellStyle name="20% - Accent3 21 5" xfId="6770" xr:uid="{00000000-0005-0000-0000-0000FF0C0000}"/>
    <cellStyle name="20% - Accent3 21 5 2" xfId="18058" xr:uid="{00000000-0005-0000-0000-0000000D0000}"/>
    <cellStyle name="20% - Accent3 21 6" xfId="4776" xr:uid="{00000000-0005-0000-0000-0000010D0000}"/>
    <cellStyle name="20% - Accent3 21 6 2" xfId="16064" xr:uid="{00000000-0005-0000-0000-0000020D0000}"/>
    <cellStyle name="20% - Accent3 21 7" xfId="14070" xr:uid="{00000000-0005-0000-0000-0000030D0000}"/>
    <cellStyle name="20% - Accent3 21 8" xfId="12756" xr:uid="{00000000-0005-0000-0000-0000040D0000}"/>
    <cellStyle name="20% - Accent3 22" xfId="821" xr:uid="{00000000-0005-0000-0000-0000050D0000}"/>
    <cellStyle name="20% - Accent3 22 2" xfId="3777" xr:uid="{00000000-0005-0000-0000-0000060D0000}"/>
    <cellStyle name="20% - Accent3 22 2 2" xfId="11756" xr:uid="{00000000-0005-0000-0000-0000070D0000}"/>
    <cellStyle name="20% - Accent3 22 2 2 2" xfId="23044" xr:uid="{00000000-0005-0000-0000-0000080D0000}"/>
    <cellStyle name="20% - Accent3 22 2 3" xfId="9762" xr:uid="{00000000-0005-0000-0000-0000090D0000}"/>
    <cellStyle name="20% - Accent3 22 2 3 2" xfId="21050" xr:uid="{00000000-0005-0000-0000-00000A0D0000}"/>
    <cellStyle name="20% - Accent3 22 2 4" xfId="7768" xr:uid="{00000000-0005-0000-0000-00000B0D0000}"/>
    <cellStyle name="20% - Accent3 22 2 4 2" xfId="19056" xr:uid="{00000000-0005-0000-0000-00000C0D0000}"/>
    <cellStyle name="20% - Accent3 22 2 5" xfId="5774" xr:uid="{00000000-0005-0000-0000-00000D0D0000}"/>
    <cellStyle name="20% - Accent3 22 2 5 2" xfId="17062" xr:uid="{00000000-0005-0000-0000-00000E0D0000}"/>
    <cellStyle name="20% - Accent3 22 2 6" xfId="15068" xr:uid="{00000000-0005-0000-0000-00000F0D0000}"/>
    <cellStyle name="20% - Accent3 22 3" xfId="10759" xr:uid="{00000000-0005-0000-0000-0000100D0000}"/>
    <cellStyle name="20% - Accent3 22 3 2" xfId="22047" xr:uid="{00000000-0005-0000-0000-0000110D0000}"/>
    <cellStyle name="20% - Accent3 22 4" xfId="8765" xr:uid="{00000000-0005-0000-0000-0000120D0000}"/>
    <cellStyle name="20% - Accent3 22 4 2" xfId="20053" xr:uid="{00000000-0005-0000-0000-0000130D0000}"/>
    <cellStyle name="20% - Accent3 22 5" xfId="6771" xr:uid="{00000000-0005-0000-0000-0000140D0000}"/>
    <cellStyle name="20% - Accent3 22 5 2" xfId="18059" xr:uid="{00000000-0005-0000-0000-0000150D0000}"/>
    <cellStyle name="20% - Accent3 22 6" xfId="4777" xr:uid="{00000000-0005-0000-0000-0000160D0000}"/>
    <cellStyle name="20% - Accent3 22 6 2" xfId="16065" xr:uid="{00000000-0005-0000-0000-0000170D0000}"/>
    <cellStyle name="20% - Accent3 22 7" xfId="14071" xr:uid="{00000000-0005-0000-0000-0000180D0000}"/>
    <cellStyle name="20% - Accent3 22 8" xfId="12757" xr:uid="{00000000-0005-0000-0000-0000190D0000}"/>
    <cellStyle name="20% - Accent3 23" xfId="822" xr:uid="{00000000-0005-0000-0000-00001A0D0000}"/>
    <cellStyle name="20% - Accent3 23 2" xfId="3778" xr:uid="{00000000-0005-0000-0000-00001B0D0000}"/>
    <cellStyle name="20% - Accent3 23 2 2" xfId="11757" xr:uid="{00000000-0005-0000-0000-00001C0D0000}"/>
    <cellStyle name="20% - Accent3 23 2 2 2" xfId="23045" xr:uid="{00000000-0005-0000-0000-00001D0D0000}"/>
    <cellStyle name="20% - Accent3 23 2 3" xfId="9763" xr:uid="{00000000-0005-0000-0000-00001E0D0000}"/>
    <cellStyle name="20% - Accent3 23 2 3 2" xfId="21051" xr:uid="{00000000-0005-0000-0000-00001F0D0000}"/>
    <cellStyle name="20% - Accent3 23 2 4" xfId="7769" xr:uid="{00000000-0005-0000-0000-0000200D0000}"/>
    <cellStyle name="20% - Accent3 23 2 4 2" xfId="19057" xr:uid="{00000000-0005-0000-0000-0000210D0000}"/>
    <cellStyle name="20% - Accent3 23 2 5" xfId="5775" xr:uid="{00000000-0005-0000-0000-0000220D0000}"/>
    <cellStyle name="20% - Accent3 23 2 5 2" xfId="17063" xr:uid="{00000000-0005-0000-0000-0000230D0000}"/>
    <cellStyle name="20% - Accent3 23 2 6" xfId="15069" xr:uid="{00000000-0005-0000-0000-0000240D0000}"/>
    <cellStyle name="20% - Accent3 23 3" xfId="10760" xr:uid="{00000000-0005-0000-0000-0000250D0000}"/>
    <cellStyle name="20% - Accent3 23 3 2" xfId="22048" xr:uid="{00000000-0005-0000-0000-0000260D0000}"/>
    <cellStyle name="20% - Accent3 23 4" xfId="8766" xr:uid="{00000000-0005-0000-0000-0000270D0000}"/>
    <cellStyle name="20% - Accent3 23 4 2" xfId="20054" xr:uid="{00000000-0005-0000-0000-0000280D0000}"/>
    <cellStyle name="20% - Accent3 23 5" xfId="6772" xr:uid="{00000000-0005-0000-0000-0000290D0000}"/>
    <cellStyle name="20% - Accent3 23 5 2" xfId="18060" xr:uid="{00000000-0005-0000-0000-00002A0D0000}"/>
    <cellStyle name="20% - Accent3 23 6" xfId="4778" xr:uid="{00000000-0005-0000-0000-00002B0D0000}"/>
    <cellStyle name="20% - Accent3 23 6 2" xfId="16066" xr:uid="{00000000-0005-0000-0000-00002C0D0000}"/>
    <cellStyle name="20% - Accent3 23 7" xfId="14072" xr:uid="{00000000-0005-0000-0000-00002D0D0000}"/>
    <cellStyle name="20% - Accent3 23 8" xfId="12758" xr:uid="{00000000-0005-0000-0000-00002E0D0000}"/>
    <cellStyle name="20% - Accent3 24" xfId="823" xr:uid="{00000000-0005-0000-0000-00002F0D0000}"/>
    <cellStyle name="20% - Accent3 24 2" xfId="3779" xr:uid="{00000000-0005-0000-0000-0000300D0000}"/>
    <cellStyle name="20% - Accent3 24 2 2" xfId="11758" xr:uid="{00000000-0005-0000-0000-0000310D0000}"/>
    <cellStyle name="20% - Accent3 24 2 2 2" xfId="23046" xr:uid="{00000000-0005-0000-0000-0000320D0000}"/>
    <cellStyle name="20% - Accent3 24 2 3" xfId="9764" xr:uid="{00000000-0005-0000-0000-0000330D0000}"/>
    <cellStyle name="20% - Accent3 24 2 3 2" xfId="21052" xr:uid="{00000000-0005-0000-0000-0000340D0000}"/>
    <cellStyle name="20% - Accent3 24 2 4" xfId="7770" xr:uid="{00000000-0005-0000-0000-0000350D0000}"/>
    <cellStyle name="20% - Accent3 24 2 4 2" xfId="19058" xr:uid="{00000000-0005-0000-0000-0000360D0000}"/>
    <cellStyle name="20% - Accent3 24 2 5" xfId="5776" xr:uid="{00000000-0005-0000-0000-0000370D0000}"/>
    <cellStyle name="20% - Accent3 24 2 5 2" xfId="17064" xr:uid="{00000000-0005-0000-0000-0000380D0000}"/>
    <cellStyle name="20% - Accent3 24 2 6" xfId="15070" xr:uid="{00000000-0005-0000-0000-0000390D0000}"/>
    <cellStyle name="20% - Accent3 24 3" xfId="10761" xr:uid="{00000000-0005-0000-0000-00003A0D0000}"/>
    <cellStyle name="20% - Accent3 24 3 2" xfId="22049" xr:uid="{00000000-0005-0000-0000-00003B0D0000}"/>
    <cellStyle name="20% - Accent3 24 4" xfId="8767" xr:uid="{00000000-0005-0000-0000-00003C0D0000}"/>
    <cellStyle name="20% - Accent3 24 4 2" xfId="20055" xr:uid="{00000000-0005-0000-0000-00003D0D0000}"/>
    <cellStyle name="20% - Accent3 24 5" xfId="6773" xr:uid="{00000000-0005-0000-0000-00003E0D0000}"/>
    <cellStyle name="20% - Accent3 24 5 2" xfId="18061" xr:uid="{00000000-0005-0000-0000-00003F0D0000}"/>
    <cellStyle name="20% - Accent3 24 6" xfId="4779" xr:uid="{00000000-0005-0000-0000-0000400D0000}"/>
    <cellStyle name="20% - Accent3 24 6 2" xfId="16067" xr:uid="{00000000-0005-0000-0000-0000410D0000}"/>
    <cellStyle name="20% - Accent3 24 7" xfId="14073" xr:uid="{00000000-0005-0000-0000-0000420D0000}"/>
    <cellStyle name="20% - Accent3 24 8" xfId="12759" xr:uid="{00000000-0005-0000-0000-0000430D0000}"/>
    <cellStyle name="20% - Accent3 25" xfId="824" xr:uid="{00000000-0005-0000-0000-0000440D0000}"/>
    <cellStyle name="20% - Accent3 25 2" xfId="3780" xr:uid="{00000000-0005-0000-0000-0000450D0000}"/>
    <cellStyle name="20% - Accent3 25 2 2" xfId="11759" xr:uid="{00000000-0005-0000-0000-0000460D0000}"/>
    <cellStyle name="20% - Accent3 25 2 2 2" xfId="23047" xr:uid="{00000000-0005-0000-0000-0000470D0000}"/>
    <cellStyle name="20% - Accent3 25 2 3" xfId="9765" xr:uid="{00000000-0005-0000-0000-0000480D0000}"/>
    <cellStyle name="20% - Accent3 25 2 3 2" xfId="21053" xr:uid="{00000000-0005-0000-0000-0000490D0000}"/>
    <cellStyle name="20% - Accent3 25 2 4" xfId="7771" xr:uid="{00000000-0005-0000-0000-00004A0D0000}"/>
    <cellStyle name="20% - Accent3 25 2 4 2" xfId="19059" xr:uid="{00000000-0005-0000-0000-00004B0D0000}"/>
    <cellStyle name="20% - Accent3 25 2 5" xfId="5777" xr:uid="{00000000-0005-0000-0000-00004C0D0000}"/>
    <cellStyle name="20% - Accent3 25 2 5 2" xfId="17065" xr:uid="{00000000-0005-0000-0000-00004D0D0000}"/>
    <cellStyle name="20% - Accent3 25 2 6" xfId="15071" xr:uid="{00000000-0005-0000-0000-00004E0D0000}"/>
    <cellStyle name="20% - Accent3 25 3" xfId="10762" xr:uid="{00000000-0005-0000-0000-00004F0D0000}"/>
    <cellStyle name="20% - Accent3 25 3 2" xfId="22050" xr:uid="{00000000-0005-0000-0000-0000500D0000}"/>
    <cellStyle name="20% - Accent3 25 4" xfId="8768" xr:uid="{00000000-0005-0000-0000-0000510D0000}"/>
    <cellStyle name="20% - Accent3 25 4 2" xfId="20056" xr:uid="{00000000-0005-0000-0000-0000520D0000}"/>
    <cellStyle name="20% - Accent3 25 5" xfId="6774" xr:uid="{00000000-0005-0000-0000-0000530D0000}"/>
    <cellStyle name="20% - Accent3 25 5 2" xfId="18062" xr:uid="{00000000-0005-0000-0000-0000540D0000}"/>
    <cellStyle name="20% - Accent3 25 6" xfId="4780" xr:uid="{00000000-0005-0000-0000-0000550D0000}"/>
    <cellStyle name="20% - Accent3 25 6 2" xfId="16068" xr:uid="{00000000-0005-0000-0000-0000560D0000}"/>
    <cellStyle name="20% - Accent3 25 7" xfId="14074" xr:uid="{00000000-0005-0000-0000-0000570D0000}"/>
    <cellStyle name="20% - Accent3 25 8" xfId="12760" xr:uid="{00000000-0005-0000-0000-0000580D0000}"/>
    <cellStyle name="20% - Accent3 26" xfId="825" xr:uid="{00000000-0005-0000-0000-0000590D0000}"/>
    <cellStyle name="20% - Accent3 26 2" xfId="3781" xr:uid="{00000000-0005-0000-0000-00005A0D0000}"/>
    <cellStyle name="20% - Accent3 26 2 2" xfId="11760" xr:uid="{00000000-0005-0000-0000-00005B0D0000}"/>
    <cellStyle name="20% - Accent3 26 2 2 2" xfId="23048" xr:uid="{00000000-0005-0000-0000-00005C0D0000}"/>
    <cellStyle name="20% - Accent3 26 2 3" xfId="9766" xr:uid="{00000000-0005-0000-0000-00005D0D0000}"/>
    <cellStyle name="20% - Accent3 26 2 3 2" xfId="21054" xr:uid="{00000000-0005-0000-0000-00005E0D0000}"/>
    <cellStyle name="20% - Accent3 26 2 4" xfId="7772" xr:uid="{00000000-0005-0000-0000-00005F0D0000}"/>
    <cellStyle name="20% - Accent3 26 2 4 2" xfId="19060" xr:uid="{00000000-0005-0000-0000-0000600D0000}"/>
    <cellStyle name="20% - Accent3 26 2 5" xfId="5778" xr:uid="{00000000-0005-0000-0000-0000610D0000}"/>
    <cellStyle name="20% - Accent3 26 2 5 2" xfId="17066" xr:uid="{00000000-0005-0000-0000-0000620D0000}"/>
    <cellStyle name="20% - Accent3 26 2 6" xfId="15072" xr:uid="{00000000-0005-0000-0000-0000630D0000}"/>
    <cellStyle name="20% - Accent3 26 3" xfId="10763" xr:uid="{00000000-0005-0000-0000-0000640D0000}"/>
    <cellStyle name="20% - Accent3 26 3 2" xfId="22051" xr:uid="{00000000-0005-0000-0000-0000650D0000}"/>
    <cellStyle name="20% - Accent3 26 4" xfId="8769" xr:uid="{00000000-0005-0000-0000-0000660D0000}"/>
    <cellStyle name="20% - Accent3 26 4 2" xfId="20057" xr:uid="{00000000-0005-0000-0000-0000670D0000}"/>
    <cellStyle name="20% - Accent3 26 5" xfId="6775" xr:uid="{00000000-0005-0000-0000-0000680D0000}"/>
    <cellStyle name="20% - Accent3 26 5 2" xfId="18063" xr:uid="{00000000-0005-0000-0000-0000690D0000}"/>
    <cellStyle name="20% - Accent3 26 6" xfId="4781" xr:uid="{00000000-0005-0000-0000-00006A0D0000}"/>
    <cellStyle name="20% - Accent3 26 6 2" xfId="16069" xr:uid="{00000000-0005-0000-0000-00006B0D0000}"/>
    <cellStyle name="20% - Accent3 26 7" xfId="14075" xr:uid="{00000000-0005-0000-0000-00006C0D0000}"/>
    <cellStyle name="20% - Accent3 26 8" xfId="12761" xr:uid="{00000000-0005-0000-0000-00006D0D0000}"/>
    <cellStyle name="20% - Accent3 27" xfId="826" xr:uid="{00000000-0005-0000-0000-00006E0D0000}"/>
    <cellStyle name="20% - Accent3 27 2" xfId="3782" xr:uid="{00000000-0005-0000-0000-00006F0D0000}"/>
    <cellStyle name="20% - Accent3 27 2 2" xfId="11761" xr:uid="{00000000-0005-0000-0000-0000700D0000}"/>
    <cellStyle name="20% - Accent3 27 2 2 2" xfId="23049" xr:uid="{00000000-0005-0000-0000-0000710D0000}"/>
    <cellStyle name="20% - Accent3 27 2 3" xfId="9767" xr:uid="{00000000-0005-0000-0000-0000720D0000}"/>
    <cellStyle name="20% - Accent3 27 2 3 2" xfId="21055" xr:uid="{00000000-0005-0000-0000-0000730D0000}"/>
    <cellStyle name="20% - Accent3 27 2 4" xfId="7773" xr:uid="{00000000-0005-0000-0000-0000740D0000}"/>
    <cellStyle name="20% - Accent3 27 2 4 2" xfId="19061" xr:uid="{00000000-0005-0000-0000-0000750D0000}"/>
    <cellStyle name="20% - Accent3 27 2 5" xfId="5779" xr:uid="{00000000-0005-0000-0000-0000760D0000}"/>
    <cellStyle name="20% - Accent3 27 2 5 2" xfId="17067" xr:uid="{00000000-0005-0000-0000-0000770D0000}"/>
    <cellStyle name="20% - Accent3 27 2 6" xfId="15073" xr:uid="{00000000-0005-0000-0000-0000780D0000}"/>
    <cellStyle name="20% - Accent3 27 3" xfId="10764" xr:uid="{00000000-0005-0000-0000-0000790D0000}"/>
    <cellStyle name="20% - Accent3 27 3 2" xfId="22052" xr:uid="{00000000-0005-0000-0000-00007A0D0000}"/>
    <cellStyle name="20% - Accent3 27 4" xfId="8770" xr:uid="{00000000-0005-0000-0000-00007B0D0000}"/>
    <cellStyle name="20% - Accent3 27 4 2" xfId="20058" xr:uid="{00000000-0005-0000-0000-00007C0D0000}"/>
    <cellStyle name="20% - Accent3 27 5" xfId="6776" xr:uid="{00000000-0005-0000-0000-00007D0D0000}"/>
    <cellStyle name="20% - Accent3 27 5 2" xfId="18064" xr:uid="{00000000-0005-0000-0000-00007E0D0000}"/>
    <cellStyle name="20% - Accent3 27 6" xfId="4782" xr:uid="{00000000-0005-0000-0000-00007F0D0000}"/>
    <cellStyle name="20% - Accent3 27 6 2" xfId="16070" xr:uid="{00000000-0005-0000-0000-0000800D0000}"/>
    <cellStyle name="20% - Accent3 27 7" xfId="14076" xr:uid="{00000000-0005-0000-0000-0000810D0000}"/>
    <cellStyle name="20% - Accent3 27 8" xfId="12762" xr:uid="{00000000-0005-0000-0000-0000820D0000}"/>
    <cellStyle name="20% - Accent3 28" xfId="827" xr:uid="{00000000-0005-0000-0000-0000830D0000}"/>
    <cellStyle name="20% - Accent3 28 2" xfId="3783" xr:uid="{00000000-0005-0000-0000-0000840D0000}"/>
    <cellStyle name="20% - Accent3 28 2 2" xfId="11762" xr:uid="{00000000-0005-0000-0000-0000850D0000}"/>
    <cellStyle name="20% - Accent3 28 2 2 2" xfId="23050" xr:uid="{00000000-0005-0000-0000-0000860D0000}"/>
    <cellStyle name="20% - Accent3 28 2 3" xfId="9768" xr:uid="{00000000-0005-0000-0000-0000870D0000}"/>
    <cellStyle name="20% - Accent3 28 2 3 2" xfId="21056" xr:uid="{00000000-0005-0000-0000-0000880D0000}"/>
    <cellStyle name="20% - Accent3 28 2 4" xfId="7774" xr:uid="{00000000-0005-0000-0000-0000890D0000}"/>
    <cellStyle name="20% - Accent3 28 2 4 2" xfId="19062" xr:uid="{00000000-0005-0000-0000-00008A0D0000}"/>
    <cellStyle name="20% - Accent3 28 2 5" xfId="5780" xr:uid="{00000000-0005-0000-0000-00008B0D0000}"/>
    <cellStyle name="20% - Accent3 28 2 5 2" xfId="17068" xr:uid="{00000000-0005-0000-0000-00008C0D0000}"/>
    <cellStyle name="20% - Accent3 28 2 6" xfId="15074" xr:uid="{00000000-0005-0000-0000-00008D0D0000}"/>
    <cellStyle name="20% - Accent3 28 3" xfId="10765" xr:uid="{00000000-0005-0000-0000-00008E0D0000}"/>
    <cellStyle name="20% - Accent3 28 3 2" xfId="22053" xr:uid="{00000000-0005-0000-0000-00008F0D0000}"/>
    <cellStyle name="20% - Accent3 28 4" xfId="8771" xr:uid="{00000000-0005-0000-0000-0000900D0000}"/>
    <cellStyle name="20% - Accent3 28 4 2" xfId="20059" xr:uid="{00000000-0005-0000-0000-0000910D0000}"/>
    <cellStyle name="20% - Accent3 28 5" xfId="6777" xr:uid="{00000000-0005-0000-0000-0000920D0000}"/>
    <cellStyle name="20% - Accent3 28 5 2" xfId="18065" xr:uid="{00000000-0005-0000-0000-0000930D0000}"/>
    <cellStyle name="20% - Accent3 28 6" xfId="4783" xr:uid="{00000000-0005-0000-0000-0000940D0000}"/>
    <cellStyle name="20% - Accent3 28 6 2" xfId="16071" xr:uid="{00000000-0005-0000-0000-0000950D0000}"/>
    <cellStyle name="20% - Accent3 28 7" xfId="14077" xr:uid="{00000000-0005-0000-0000-0000960D0000}"/>
    <cellStyle name="20% - Accent3 28 8" xfId="12763" xr:uid="{00000000-0005-0000-0000-0000970D0000}"/>
    <cellStyle name="20% - Accent3 29" xfId="828" xr:uid="{00000000-0005-0000-0000-0000980D0000}"/>
    <cellStyle name="20% - Accent3 29 2" xfId="3784" xr:uid="{00000000-0005-0000-0000-0000990D0000}"/>
    <cellStyle name="20% - Accent3 29 2 2" xfId="11763" xr:uid="{00000000-0005-0000-0000-00009A0D0000}"/>
    <cellStyle name="20% - Accent3 29 2 2 2" xfId="23051" xr:uid="{00000000-0005-0000-0000-00009B0D0000}"/>
    <cellStyle name="20% - Accent3 29 2 3" xfId="9769" xr:uid="{00000000-0005-0000-0000-00009C0D0000}"/>
    <cellStyle name="20% - Accent3 29 2 3 2" xfId="21057" xr:uid="{00000000-0005-0000-0000-00009D0D0000}"/>
    <cellStyle name="20% - Accent3 29 2 4" xfId="7775" xr:uid="{00000000-0005-0000-0000-00009E0D0000}"/>
    <cellStyle name="20% - Accent3 29 2 4 2" xfId="19063" xr:uid="{00000000-0005-0000-0000-00009F0D0000}"/>
    <cellStyle name="20% - Accent3 29 2 5" xfId="5781" xr:uid="{00000000-0005-0000-0000-0000A00D0000}"/>
    <cellStyle name="20% - Accent3 29 2 5 2" xfId="17069" xr:uid="{00000000-0005-0000-0000-0000A10D0000}"/>
    <cellStyle name="20% - Accent3 29 2 6" xfId="15075" xr:uid="{00000000-0005-0000-0000-0000A20D0000}"/>
    <cellStyle name="20% - Accent3 29 3" xfId="10766" xr:uid="{00000000-0005-0000-0000-0000A30D0000}"/>
    <cellStyle name="20% - Accent3 29 3 2" xfId="22054" xr:uid="{00000000-0005-0000-0000-0000A40D0000}"/>
    <cellStyle name="20% - Accent3 29 4" xfId="8772" xr:uid="{00000000-0005-0000-0000-0000A50D0000}"/>
    <cellStyle name="20% - Accent3 29 4 2" xfId="20060" xr:uid="{00000000-0005-0000-0000-0000A60D0000}"/>
    <cellStyle name="20% - Accent3 29 5" xfId="6778" xr:uid="{00000000-0005-0000-0000-0000A70D0000}"/>
    <cellStyle name="20% - Accent3 29 5 2" xfId="18066" xr:uid="{00000000-0005-0000-0000-0000A80D0000}"/>
    <cellStyle name="20% - Accent3 29 6" xfId="4784" xr:uid="{00000000-0005-0000-0000-0000A90D0000}"/>
    <cellStyle name="20% - Accent3 29 6 2" xfId="16072" xr:uid="{00000000-0005-0000-0000-0000AA0D0000}"/>
    <cellStyle name="20% - Accent3 29 7" xfId="14078" xr:uid="{00000000-0005-0000-0000-0000AB0D0000}"/>
    <cellStyle name="20% - Accent3 29 8" xfId="12764" xr:uid="{00000000-0005-0000-0000-0000AC0D0000}"/>
    <cellStyle name="20% - Accent3 3" xfId="829" xr:uid="{00000000-0005-0000-0000-0000AD0D0000}"/>
    <cellStyle name="20% - Accent3 3 10" xfId="24572" xr:uid="{00000000-0005-0000-0000-0000AE0D0000}"/>
    <cellStyle name="20% - Accent3 3 11" xfId="24962" xr:uid="{00000000-0005-0000-0000-0000AF0D0000}"/>
    <cellStyle name="20% - Accent3 3 2" xfId="3785" xr:uid="{00000000-0005-0000-0000-0000B00D0000}"/>
    <cellStyle name="20% - Accent3 3 2 2" xfId="11764" xr:uid="{00000000-0005-0000-0000-0000B10D0000}"/>
    <cellStyle name="20% - Accent3 3 2 2 2" xfId="23052" xr:uid="{00000000-0005-0000-0000-0000B20D0000}"/>
    <cellStyle name="20% - Accent3 3 2 3" xfId="9770" xr:uid="{00000000-0005-0000-0000-0000B30D0000}"/>
    <cellStyle name="20% - Accent3 3 2 3 2" xfId="21058" xr:uid="{00000000-0005-0000-0000-0000B40D0000}"/>
    <cellStyle name="20% - Accent3 3 2 4" xfId="7776" xr:uid="{00000000-0005-0000-0000-0000B50D0000}"/>
    <cellStyle name="20% - Accent3 3 2 4 2" xfId="19064" xr:uid="{00000000-0005-0000-0000-0000B60D0000}"/>
    <cellStyle name="20% - Accent3 3 2 5" xfId="5782" xr:uid="{00000000-0005-0000-0000-0000B70D0000}"/>
    <cellStyle name="20% - Accent3 3 2 5 2" xfId="17070" xr:uid="{00000000-0005-0000-0000-0000B80D0000}"/>
    <cellStyle name="20% - Accent3 3 2 6" xfId="15076" xr:uid="{00000000-0005-0000-0000-0000B90D0000}"/>
    <cellStyle name="20% - Accent3 3 2 7" xfId="24333" xr:uid="{00000000-0005-0000-0000-0000BA0D0000}"/>
    <cellStyle name="20% - Accent3 3 2 8" xfId="24797" xr:uid="{00000000-0005-0000-0000-0000BB0D0000}"/>
    <cellStyle name="20% - Accent3 3 2 9" xfId="25164" xr:uid="{00000000-0005-0000-0000-0000BC0D0000}"/>
    <cellStyle name="20% - Accent3 3 3" xfId="10767" xr:uid="{00000000-0005-0000-0000-0000BD0D0000}"/>
    <cellStyle name="20% - Accent3 3 3 2" xfId="22055" xr:uid="{00000000-0005-0000-0000-0000BE0D0000}"/>
    <cellStyle name="20% - Accent3 3 4" xfId="8773" xr:uid="{00000000-0005-0000-0000-0000BF0D0000}"/>
    <cellStyle name="20% - Accent3 3 4 2" xfId="20061" xr:uid="{00000000-0005-0000-0000-0000C00D0000}"/>
    <cellStyle name="20% - Accent3 3 5" xfId="6779" xr:uid="{00000000-0005-0000-0000-0000C10D0000}"/>
    <cellStyle name="20% - Accent3 3 5 2" xfId="18067" xr:uid="{00000000-0005-0000-0000-0000C20D0000}"/>
    <cellStyle name="20% - Accent3 3 6" xfId="4785" xr:uid="{00000000-0005-0000-0000-0000C30D0000}"/>
    <cellStyle name="20% - Accent3 3 6 2" xfId="16073" xr:uid="{00000000-0005-0000-0000-0000C40D0000}"/>
    <cellStyle name="20% - Accent3 3 7" xfId="14079" xr:uid="{00000000-0005-0000-0000-0000C50D0000}"/>
    <cellStyle name="20% - Accent3 3 8" xfId="12765" xr:uid="{00000000-0005-0000-0000-0000C60D0000}"/>
    <cellStyle name="20% - Accent3 3 9" xfId="23945" xr:uid="{00000000-0005-0000-0000-0000C70D0000}"/>
    <cellStyle name="20% - Accent3 30" xfId="830" xr:uid="{00000000-0005-0000-0000-0000C80D0000}"/>
    <cellStyle name="20% - Accent3 30 2" xfId="3786" xr:uid="{00000000-0005-0000-0000-0000C90D0000}"/>
    <cellStyle name="20% - Accent3 30 2 2" xfId="11765" xr:uid="{00000000-0005-0000-0000-0000CA0D0000}"/>
    <cellStyle name="20% - Accent3 30 2 2 2" xfId="23053" xr:uid="{00000000-0005-0000-0000-0000CB0D0000}"/>
    <cellStyle name="20% - Accent3 30 2 3" xfId="9771" xr:uid="{00000000-0005-0000-0000-0000CC0D0000}"/>
    <cellStyle name="20% - Accent3 30 2 3 2" xfId="21059" xr:uid="{00000000-0005-0000-0000-0000CD0D0000}"/>
    <cellStyle name="20% - Accent3 30 2 4" xfId="7777" xr:uid="{00000000-0005-0000-0000-0000CE0D0000}"/>
    <cellStyle name="20% - Accent3 30 2 4 2" xfId="19065" xr:uid="{00000000-0005-0000-0000-0000CF0D0000}"/>
    <cellStyle name="20% - Accent3 30 2 5" xfId="5783" xr:uid="{00000000-0005-0000-0000-0000D00D0000}"/>
    <cellStyle name="20% - Accent3 30 2 5 2" xfId="17071" xr:uid="{00000000-0005-0000-0000-0000D10D0000}"/>
    <cellStyle name="20% - Accent3 30 2 6" xfId="15077" xr:uid="{00000000-0005-0000-0000-0000D20D0000}"/>
    <cellStyle name="20% - Accent3 30 3" xfId="10768" xr:uid="{00000000-0005-0000-0000-0000D30D0000}"/>
    <cellStyle name="20% - Accent3 30 3 2" xfId="22056" xr:uid="{00000000-0005-0000-0000-0000D40D0000}"/>
    <cellStyle name="20% - Accent3 30 4" xfId="8774" xr:uid="{00000000-0005-0000-0000-0000D50D0000}"/>
    <cellStyle name="20% - Accent3 30 4 2" xfId="20062" xr:uid="{00000000-0005-0000-0000-0000D60D0000}"/>
    <cellStyle name="20% - Accent3 30 5" xfId="6780" xr:uid="{00000000-0005-0000-0000-0000D70D0000}"/>
    <cellStyle name="20% - Accent3 30 5 2" xfId="18068" xr:uid="{00000000-0005-0000-0000-0000D80D0000}"/>
    <cellStyle name="20% - Accent3 30 6" xfId="4786" xr:uid="{00000000-0005-0000-0000-0000D90D0000}"/>
    <cellStyle name="20% - Accent3 30 6 2" xfId="16074" xr:uid="{00000000-0005-0000-0000-0000DA0D0000}"/>
    <cellStyle name="20% - Accent3 30 7" xfId="14080" xr:uid="{00000000-0005-0000-0000-0000DB0D0000}"/>
    <cellStyle name="20% - Accent3 30 8" xfId="12766" xr:uid="{00000000-0005-0000-0000-0000DC0D0000}"/>
    <cellStyle name="20% - Accent3 31" xfId="831" xr:uid="{00000000-0005-0000-0000-0000DD0D0000}"/>
    <cellStyle name="20% - Accent3 31 2" xfId="3787" xr:uid="{00000000-0005-0000-0000-0000DE0D0000}"/>
    <cellStyle name="20% - Accent3 31 2 2" xfId="11766" xr:uid="{00000000-0005-0000-0000-0000DF0D0000}"/>
    <cellStyle name="20% - Accent3 31 2 2 2" xfId="23054" xr:uid="{00000000-0005-0000-0000-0000E00D0000}"/>
    <cellStyle name="20% - Accent3 31 2 3" xfId="9772" xr:uid="{00000000-0005-0000-0000-0000E10D0000}"/>
    <cellStyle name="20% - Accent3 31 2 3 2" xfId="21060" xr:uid="{00000000-0005-0000-0000-0000E20D0000}"/>
    <cellStyle name="20% - Accent3 31 2 4" xfId="7778" xr:uid="{00000000-0005-0000-0000-0000E30D0000}"/>
    <cellStyle name="20% - Accent3 31 2 4 2" xfId="19066" xr:uid="{00000000-0005-0000-0000-0000E40D0000}"/>
    <cellStyle name="20% - Accent3 31 2 5" xfId="5784" xr:uid="{00000000-0005-0000-0000-0000E50D0000}"/>
    <cellStyle name="20% - Accent3 31 2 5 2" xfId="17072" xr:uid="{00000000-0005-0000-0000-0000E60D0000}"/>
    <cellStyle name="20% - Accent3 31 2 6" xfId="15078" xr:uid="{00000000-0005-0000-0000-0000E70D0000}"/>
    <cellStyle name="20% - Accent3 31 3" xfId="10769" xr:uid="{00000000-0005-0000-0000-0000E80D0000}"/>
    <cellStyle name="20% - Accent3 31 3 2" xfId="22057" xr:uid="{00000000-0005-0000-0000-0000E90D0000}"/>
    <cellStyle name="20% - Accent3 31 4" xfId="8775" xr:uid="{00000000-0005-0000-0000-0000EA0D0000}"/>
    <cellStyle name="20% - Accent3 31 4 2" xfId="20063" xr:uid="{00000000-0005-0000-0000-0000EB0D0000}"/>
    <cellStyle name="20% - Accent3 31 5" xfId="6781" xr:uid="{00000000-0005-0000-0000-0000EC0D0000}"/>
    <cellStyle name="20% - Accent3 31 5 2" xfId="18069" xr:uid="{00000000-0005-0000-0000-0000ED0D0000}"/>
    <cellStyle name="20% - Accent3 31 6" xfId="4787" xr:uid="{00000000-0005-0000-0000-0000EE0D0000}"/>
    <cellStyle name="20% - Accent3 31 6 2" xfId="16075" xr:uid="{00000000-0005-0000-0000-0000EF0D0000}"/>
    <cellStyle name="20% - Accent3 31 7" xfId="14081" xr:uid="{00000000-0005-0000-0000-0000F00D0000}"/>
    <cellStyle name="20% - Accent3 31 8" xfId="12767" xr:uid="{00000000-0005-0000-0000-0000F10D0000}"/>
    <cellStyle name="20% - Accent3 32" xfId="832" xr:uid="{00000000-0005-0000-0000-0000F20D0000}"/>
    <cellStyle name="20% - Accent3 32 2" xfId="3788" xr:uid="{00000000-0005-0000-0000-0000F30D0000}"/>
    <cellStyle name="20% - Accent3 32 2 2" xfId="11767" xr:uid="{00000000-0005-0000-0000-0000F40D0000}"/>
    <cellStyle name="20% - Accent3 32 2 2 2" xfId="23055" xr:uid="{00000000-0005-0000-0000-0000F50D0000}"/>
    <cellStyle name="20% - Accent3 32 2 3" xfId="9773" xr:uid="{00000000-0005-0000-0000-0000F60D0000}"/>
    <cellStyle name="20% - Accent3 32 2 3 2" xfId="21061" xr:uid="{00000000-0005-0000-0000-0000F70D0000}"/>
    <cellStyle name="20% - Accent3 32 2 4" xfId="7779" xr:uid="{00000000-0005-0000-0000-0000F80D0000}"/>
    <cellStyle name="20% - Accent3 32 2 4 2" xfId="19067" xr:uid="{00000000-0005-0000-0000-0000F90D0000}"/>
    <cellStyle name="20% - Accent3 32 2 5" xfId="5785" xr:uid="{00000000-0005-0000-0000-0000FA0D0000}"/>
    <cellStyle name="20% - Accent3 32 2 5 2" xfId="17073" xr:uid="{00000000-0005-0000-0000-0000FB0D0000}"/>
    <cellStyle name="20% - Accent3 32 2 6" xfId="15079" xr:uid="{00000000-0005-0000-0000-0000FC0D0000}"/>
    <cellStyle name="20% - Accent3 32 3" xfId="10770" xr:uid="{00000000-0005-0000-0000-0000FD0D0000}"/>
    <cellStyle name="20% - Accent3 32 3 2" xfId="22058" xr:uid="{00000000-0005-0000-0000-0000FE0D0000}"/>
    <cellStyle name="20% - Accent3 32 4" xfId="8776" xr:uid="{00000000-0005-0000-0000-0000FF0D0000}"/>
    <cellStyle name="20% - Accent3 32 4 2" xfId="20064" xr:uid="{00000000-0005-0000-0000-0000000E0000}"/>
    <cellStyle name="20% - Accent3 32 5" xfId="6782" xr:uid="{00000000-0005-0000-0000-0000010E0000}"/>
    <cellStyle name="20% - Accent3 32 5 2" xfId="18070" xr:uid="{00000000-0005-0000-0000-0000020E0000}"/>
    <cellStyle name="20% - Accent3 32 6" xfId="4788" xr:uid="{00000000-0005-0000-0000-0000030E0000}"/>
    <cellStyle name="20% - Accent3 32 6 2" xfId="16076" xr:uid="{00000000-0005-0000-0000-0000040E0000}"/>
    <cellStyle name="20% - Accent3 32 7" xfId="14082" xr:uid="{00000000-0005-0000-0000-0000050E0000}"/>
    <cellStyle name="20% - Accent3 32 8" xfId="12768" xr:uid="{00000000-0005-0000-0000-0000060E0000}"/>
    <cellStyle name="20% - Accent3 33" xfId="833" xr:uid="{00000000-0005-0000-0000-0000070E0000}"/>
    <cellStyle name="20% - Accent3 33 2" xfId="3789" xr:uid="{00000000-0005-0000-0000-0000080E0000}"/>
    <cellStyle name="20% - Accent3 33 2 2" xfId="11768" xr:uid="{00000000-0005-0000-0000-0000090E0000}"/>
    <cellStyle name="20% - Accent3 33 2 2 2" xfId="23056" xr:uid="{00000000-0005-0000-0000-00000A0E0000}"/>
    <cellStyle name="20% - Accent3 33 2 3" xfId="9774" xr:uid="{00000000-0005-0000-0000-00000B0E0000}"/>
    <cellStyle name="20% - Accent3 33 2 3 2" xfId="21062" xr:uid="{00000000-0005-0000-0000-00000C0E0000}"/>
    <cellStyle name="20% - Accent3 33 2 4" xfId="7780" xr:uid="{00000000-0005-0000-0000-00000D0E0000}"/>
    <cellStyle name="20% - Accent3 33 2 4 2" xfId="19068" xr:uid="{00000000-0005-0000-0000-00000E0E0000}"/>
    <cellStyle name="20% - Accent3 33 2 5" xfId="5786" xr:uid="{00000000-0005-0000-0000-00000F0E0000}"/>
    <cellStyle name="20% - Accent3 33 2 5 2" xfId="17074" xr:uid="{00000000-0005-0000-0000-0000100E0000}"/>
    <cellStyle name="20% - Accent3 33 2 6" xfId="15080" xr:uid="{00000000-0005-0000-0000-0000110E0000}"/>
    <cellStyle name="20% - Accent3 33 3" xfId="10771" xr:uid="{00000000-0005-0000-0000-0000120E0000}"/>
    <cellStyle name="20% - Accent3 33 3 2" xfId="22059" xr:uid="{00000000-0005-0000-0000-0000130E0000}"/>
    <cellStyle name="20% - Accent3 33 4" xfId="8777" xr:uid="{00000000-0005-0000-0000-0000140E0000}"/>
    <cellStyle name="20% - Accent3 33 4 2" xfId="20065" xr:uid="{00000000-0005-0000-0000-0000150E0000}"/>
    <cellStyle name="20% - Accent3 33 5" xfId="6783" xr:uid="{00000000-0005-0000-0000-0000160E0000}"/>
    <cellStyle name="20% - Accent3 33 5 2" xfId="18071" xr:uid="{00000000-0005-0000-0000-0000170E0000}"/>
    <cellStyle name="20% - Accent3 33 6" xfId="4789" xr:uid="{00000000-0005-0000-0000-0000180E0000}"/>
    <cellStyle name="20% - Accent3 33 6 2" xfId="16077" xr:uid="{00000000-0005-0000-0000-0000190E0000}"/>
    <cellStyle name="20% - Accent3 33 7" xfId="14083" xr:uid="{00000000-0005-0000-0000-00001A0E0000}"/>
    <cellStyle name="20% - Accent3 33 8" xfId="12769" xr:uid="{00000000-0005-0000-0000-00001B0E0000}"/>
    <cellStyle name="20% - Accent3 34" xfId="834" xr:uid="{00000000-0005-0000-0000-00001C0E0000}"/>
    <cellStyle name="20% - Accent3 34 2" xfId="3790" xr:uid="{00000000-0005-0000-0000-00001D0E0000}"/>
    <cellStyle name="20% - Accent3 34 2 2" xfId="11769" xr:uid="{00000000-0005-0000-0000-00001E0E0000}"/>
    <cellStyle name="20% - Accent3 34 2 2 2" xfId="23057" xr:uid="{00000000-0005-0000-0000-00001F0E0000}"/>
    <cellStyle name="20% - Accent3 34 2 3" xfId="9775" xr:uid="{00000000-0005-0000-0000-0000200E0000}"/>
    <cellStyle name="20% - Accent3 34 2 3 2" xfId="21063" xr:uid="{00000000-0005-0000-0000-0000210E0000}"/>
    <cellStyle name="20% - Accent3 34 2 4" xfId="7781" xr:uid="{00000000-0005-0000-0000-0000220E0000}"/>
    <cellStyle name="20% - Accent3 34 2 4 2" xfId="19069" xr:uid="{00000000-0005-0000-0000-0000230E0000}"/>
    <cellStyle name="20% - Accent3 34 2 5" xfId="5787" xr:uid="{00000000-0005-0000-0000-0000240E0000}"/>
    <cellStyle name="20% - Accent3 34 2 5 2" xfId="17075" xr:uid="{00000000-0005-0000-0000-0000250E0000}"/>
    <cellStyle name="20% - Accent3 34 2 6" xfId="15081" xr:uid="{00000000-0005-0000-0000-0000260E0000}"/>
    <cellStyle name="20% - Accent3 34 3" xfId="10772" xr:uid="{00000000-0005-0000-0000-0000270E0000}"/>
    <cellStyle name="20% - Accent3 34 3 2" xfId="22060" xr:uid="{00000000-0005-0000-0000-0000280E0000}"/>
    <cellStyle name="20% - Accent3 34 4" xfId="8778" xr:uid="{00000000-0005-0000-0000-0000290E0000}"/>
    <cellStyle name="20% - Accent3 34 4 2" xfId="20066" xr:uid="{00000000-0005-0000-0000-00002A0E0000}"/>
    <cellStyle name="20% - Accent3 34 5" xfId="6784" xr:uid="{00000000-0005-0000-0000-00002B0E0000}"/>
    <cellStyle name="20% - Accent3 34 5 2" xfId="18072" xr:uid="{00000000-0005-0000-0000-00002C0E0000}"/>
    <cellStyle name="20% - Accent3 34 6" xfId="4790" xr:uid="{00000000-0005-0000-0000-00002D0E0000}"/>
    <cellStyle name="20% - Accent3 34 6 2" xfId="16078" xr:uid="{00000000-0005-0000-0000-00002E0E0000}"/>
    <cellStyle name="20% - Accent3 34 7" xfId="14084" xr:uid="{00000000-0005-0000-0000-00002F0E0000}"/>
    <cellStyle name="20% - Accent3 34 8" xfId="12770" xr:uid="{00000000-0005-0000-0000-0000300E0000}"/>
    <cellStyle name="20% - Accent3 35" xfId="835" xr:uid="{00000000-0005-0000-0000-0000310E0000}"/>
    <cellStyle name="20% - Accent3 35 2" xfId="3791" xr:uid="{00000000-0005-0000-0000-0000320E0000}"/>
    <cellStyle name="20% - Accent3 35 2 2" xfId="11770" xr:uid="{00000000-0005-0000-0000-0000330E0000}"/>
    <cellStyle name="20% - Accent3 35 2 2 2" xfId="23058" xr:uid="{00000000-0005-0000-0000-0000340E0000}"/>
    <cellStyle name="20% - Accent3 35 2 3" xfId="9776" xr:uid="{00000000-0005-0000-0000-0000350E0000}"/>
    <cellStyle name="20% - Accent3 35 2 3 2" xfId="21064" xr:uid="{00000000-0005-0000-0000-0000360E0000}"/>
    <cellStyle name="20% - Accent3 35 2 4" xfId="7782" xr:uid="{00000000-0005-0000-0000-0000370E0000}"/>
    <cellStyle name="20% - Accent3 35 2 4 2" xfId="19070" xr:uid="{00000000-0005-0000-0000-0000380E0000}"/>
    <cellStyle name="20% - Accent3 35 2 5" xfId="5788" xr:uid="{00000000-0005-0000-0000-0000390E0000}"/>
    <cellStyle name="20% - Accent3 35 2 5 2" xfId="17076" xr:uid="{00000000-0005-0000-0000-00003A0E0000}"/>
    <cellStyle name="20% - Accent3 35 2 6" xfId="15082" xr:uid="{00000000-0005-0000-0000-00003B0E0000}"/>
    <cellStyle name="20% - Accent3 35 3" xfId="10773" xr:uid="{00000000-0005-0000-0000-00003C0E0000}"/>
    <cellStyle name="20% - Accent3 35 3 2" xfId="22061" xr:uid="{00000000-0005-0000-0000-00003D0E0000}"/>
    <cellStyle name="20% - Accent3 35 4" xfId="8779" xr:uid="{00000000-0005-0000-0000-00003E0E0000}"/>
    <cellStyle name="20% - Accent3 35 4 2" xfId="20067" xr:uid="{00000000-0005-0000-0000-00003F0E0000}"/>
    <cellStyle name="20% - Accent3 35 5" xfId="6785" xr:uid="{00000000-0005-0000-0000-0000400E0000}"/>
    <cellStyle name="20% - Accent3 35 5 2" xfId="18073" xr:uid="{00000000-0005-0000-0000-0000410E0000}"/>
    <cellStyle name="20% - Accent3 35 6" xfId="4791" xr:uid="{00000000-0005-0000-0000-0000420E0000}"/>
    <cellStyle name="20% - Accent3 35 6 2" xfId="16079" xr:uid="{00000000-0005-0000-0000-0000430E0000}"/>
    <cellStyle name="20% - Accent3 35 7" xfId="14085" xr:uid="{00000000-0005-0000-0000-0000440E0000}"/>
    <cellStyle name="20% - Accent3 35 8" xfId="12771" xr:uid="{00000000-0005-0000-0000-0000450E0000}"/>
    <cellStyle name="20% - Accent3 36" xfId="836" xr:uid="{00000000-0005-0000-0000-0000460E0000}"/>
    <cellStyle name="20% - Accent3 36 2" xfId="3792" xr:uid="{00000000-0005-0000-0000-0000470E0000}"/>
    <cellStyle name="20% - Accent3 36 2 2" xfId="11771" xr:uid="{00000000-0005-0000-0000-0000480E0000}"/>
    <cellStyle name="20% - Accent3 36 2 2 2" xfId="23059" xr:uid="{00000000-0005-0000-0000-0000490E0000}"/>
    <cellStyle name="20% - Accent3 36 2 3" xfId="9777" xr:uid="{00000000-0005-0000-0000-00004A0E0000}"/>
    <cellStyle name="20% - Accent3 36 2 3 2" xfId="21065" xr:uid="{00000000-0005-0000-0000-00004B0E0000}"/>
    <cellStyle name="20% - Accent3 36 2 4" xfId="7783" xr:uid="{00000000-0005-0000-0000-00004C0E0000}"/>
    <cellStyle name="20% - Accent3 36 2 4 2" xfId="19071" xr:uid="{00000000-0005-0000-0000-00004D0E0000}"/>
    <cellStyle name="20% - Accent3 36 2 5" xfId="5789" xr:uid="{00000000-0005-0000-0000-00004E0E0000}"/>
    <cellStyle name="20% - Accent3 36 2 5 2" xfId="17077" xr:uid="{00000000-0005-0000-0000-00004F0E0000}"/>
    <cellStyle name="20% - Accent3 36 2 6" xfId="15083" xr:uid="{00000000-0005-0000-0000-0000500E0000}"/>
    <cellStyle name="20% - Accent3 36 3" xfId="10774" xr:uid="{00000000-0005-0000-0000-0000510E0000}"/>
    <cellStyle name="20% - Accent3 36 3 2" xfId="22062" xr:uid="{00000000-0005-0000-0000-0000520E0000}"/>
    <cellStyle name="20% - Accent3 36 4" xfId="8780" xr:uid="{00000000-0005-0000-0000-0000530E0000}"/>
    <cellStyle name="20% - Accent3 36 4 2" xfId="20068" xr:uid="{00000000-0005-0000-0000-0000540E0000}"/>
    <cellStyle name="20% - Accent3 36 5" xfId="6786" xr:uid="{00000000-0005-0000-0000-0000550E0000}"/>
    <cellStyle name="20% - Accent3 36 5 2" xfId="18074" xr:uid="{00000000-0005-0000-0000-0000560E0000}"/>
    <cellStyle name="20% - Accent3 36 6" xfId="4792" xr:uid="{00000000-0005-0000-0000-0000570E0000}"/>
    <cellStyle name="20% - Accent3 36 6 2" xfId="16080" xr:uid="{00000000-0005-0000-0000-0000580E0000}"/>
    <cellStyle name="20% - Accent3 36 7" xfId="14086" xr:uid="{00000000-0005-0000-0000-0000590E0000}"/>
    <cellStyle name="20% - Accent3 36 8" xfId="12772" xr:uid="{00000000-0005-0000-0000-00005A0E0000}"/>
    <cellStyle name="20% - Accent3 37" xfId="837" xr:uid="{00000000-0005-0000-0000-00005B0E0000}"/>
    <cellStyle name="20% - Accent3 37 2" xfId="3793" xr:uid="{00000000-0005-0000-0000-00005C0E0000}"/>
    <cellStyle name="20% - Accent3 37 2 2" xfId="11772" xr:uid="{00000000-0005-0000-0000-00005D0E0000}"/>
    <cellStyle name="20% - Accent3 37 2 2 2" xfId="23060" xr:uid="{00000000-0005-0000-0000-00005E0E0000}"/>
    <cellStyle name="20% - Accent3 37 2 3" xfId="9778" xr:uid="{00000000-0005-0000-0000-00005F0E0000}"/>
    <cellStyle name="20% - Accent3 37 2 3 2" xfId="21066" xr:uid="{00000000-0005-0000-0000-0000600E0000}"/>
    <cellStyle name="20% - Accent3 37 2 4" xfId="7784" xr:uid="{00000000-0005-0000-0000-0000610E0000}"/>
    <cellStyle name="20% - Accent3 37 2 4 2" xfId="19072" xr:uid="{00000000-0005-0000-0000-0000620E0000}"/>
    <cellStyle name="20% - Accent3 37 2 5" xfId="5790" xr:uid="{00000000-0005-0000-0000-0000630E0000}"/>
    <cellStyle name="20% - Accent3 37 2 5 2" xfId="17078" xr:uid="{00000000-0005-0000-0000-0000640E0000}"/>
    <cellStyle name="20% - Accent3 37 2 6" xfId="15084" xr:uid="{00000000-0005-0000-0000-0000650E0000}"/>
    <cellStyle name="20% - Accent3 37 3" xfId="10775" xr:uid="{00000000-0005-0000-0000-0000660E0000}"/>
    <cellStyle name="20% - Accent3 37 3 2" xfId="22063" xr:uid="{00000000-0005-0000-0000-0000670E0000}"/>
    <cellStyle name="20% - Accent3 37 4" xfId="8781" xr:uid="{00000000-0005-0000-0000-0000680E0000}"/>
    <cellStyle name="20% - Accent3 37 4 2" xfId="20069" xr:uid="{00000000-0005-0000-0000-0000690E0000}"/>
    <cellStyle name="20% - Accent3 37 5" xfId="6787" xr:uid="{00000000-0005-0000-0000-00006A0E0000}"/>
    <cellStyle name="20% - Accent3 37 5 2" xfId="18075" xr:uid="{00000000-0005-0000-0000-00006B0E0000}"/>
    <cellStyle name="20% - Accent3 37 6" xfId="4793" xr:uid="{00000000-0005-0000-0000-00006C0E0000}"/>
    <cellStyle name="20% - Accent3 37 6 2" xfId="16081" xr:uid="{00000000-0005-0000-0000-00006D0E0000}"/>
    <cellStyle name="20% - Accent3 37 7" xfId="14087" xr:uid="{00000000-0005-0000-0000-00006E0E0000}"/>
    <cellStyle name="20% - Accent3 37 8" xfId="12773" xr:uid="{00000000-0005-0000-0000-00006F0E0000}"/>
    <cellStyle name="20% - Accent3 38" xfId="838" xr:uid="{00000000-0005-0000-0000-0000700E0000}"/>
    <cellStyle name="20% - Accent3 38 2" xfId="3794" xr:uid="{00000000-0005-0000-0000-0000710E0000}"/>
    <cellStyle name="20% - Accent3 38 2 2" xfId="11773" xr:uid="{00000000-0005-0000-0000-0000720E0000}"/>
    <cellStyle name="20% - Accent3 38 2 2 2" xfId="23061" xr:uid="{00000000-0005-0000-0000-0000730E0000}"/>
    <cellStyle name="20% - Accent3 38 2 3" xfId="9779" xr:uid="{00000000-0005-0000-0000-0000740E0000}"/>
    <cellStyle name="20% - Accent3 38 2 3 2" xfId="21067" xr:uid="{00000000-0005-0000-0000-0000750E0000}"/>
    <cellStyle name="20% - Accent3 38 2 4" xfId="7785" xr:uid="{00000000-0005-0000-0000-0000760E0000}"/>
    <cellStyle name="20% - Accent3 38 2 4 2" xfId="19073" xr:uid="{00000000-0005-0000-0000-0000770E0000}"/>
    <cellStyle name="20% - Accent3 38 2 5" xfId="5791" xr:uid="{00000000-0005-0000-0000-0000780E0000}"/>
    <cellStyle name="20% - Accent3 38 2 5 2" xfId="17079" xr:uid="{00000000-0005-0000-0000-0000790E0000}"/>
    <cellStyle name="20% - Accent3 38 2 6" xfId="15085" xr:uid="{00000000-0005-0000-0000-00007A0E0000}"/>
    <cellStyle name="20% - Accent3 38 3" xfId="10776" xr:uid="{00000000-0005-0000-0000-00007B0E0000}"/>
    <cellStyle name="20% - Accent3 38 3 2" xfId="22064" xr:uid="{00000000-0005-0000-0000-00007C0E0000}"/>
    <cellStyle name="20% - Accent3 38 4" xfId="8782" xr:uid="{00000000-0005-0000-0000-00007D0E0000}"/>
    <cellStyle name="20% - Accent3 38 4 2" xfId="20070" xr:uid="{00000000-0005-0000-0000-00007E0E0000}"/>
    <cellStyle name="20% - Accent3 38 5" xfId="6788" xr:uid="{00000000-0005-0000-0000-00007F0E0000}"/>
    <cellStyle name="20% - Accent3 38 5 2" xfId="18076" xr:uid="{00000000-0005-0000-0000-0000800E0000}"/>
    <cellStyle name="20% - Accent3 38 6" xfId="4794" xr:uid="{00000000-0005-0000-0000-0000810E0000}"/>
    <cellStyle name="20% - Accent3 38 6 2" xfId="16082" xr:uid="{00000000-0005-0000-0000-0000820E0000}"/>
    <cellStyle name="20% - Accent3 38 7" xfId="14088" xr:uid="{00000000-0005-0000-0000-0000830E0000}"/>
    <cellStyle name="20% - Accent3 38 8" xfId="12774" xr:uid="{00000000-0005-0000-0000-0000840E0000}"/>
    <cellStyle name="20% - Accent3 39" xfId="839" xr:uid="{00000000-0005-0000-0000-0000850E0000}"/>
    <cellStyle name="20% - Accent3 39 2" xfId="3795" xr:uid="{00000000-0005-0000-0000-0000860E0000}"/>
    <cellStyle name="20% - Accent3 39 2 2" xfId="11774" xr:uid="{00000000-0005-0000-0000-0000870E0000}"/>
    <cellStyle name="20% - Accent3 39 2 2 2" xfId="23062" xr:uid="{00000000-0005-0000-0000-0000880E0000}"/>
    <cellStyle name="20% - Accent3 39 2 3" xfId="9780" xr:uid="{00000000-0005-0000-0000-0000890E0000}"/>
    <cellStyle name="20% - Accent3 39 2 3 2" xfId="21068" xr:uid="{00000000-0005-0000-0000-00008A0E0000}"/>
    <cellStyle name="20% - Accent3 39 2 4" xfId="7786" xr:uid="{00000000-0005-0000-0000-00008B0E0000}"/>
    <cellStyle name="20% - Accent3 39 2 4 2" xfId="19074" xr:uid="{00000000-0005-0000-0000-00008C0E0000}"/>
    <cellStyle name="20% - Accent3 39 2 5" xfId="5792" xr:uid="{00000000-0005-0000-0000-00008D0E0000}"/>
    <cellStyle name="20% - Accent3 39 2 5 2" xfId="17080" xr:uid="{00000000-0005-0000-0000-00008E0E0000}"/>
    <cellStyle name="20% - Accent3 39 2 6" xfId="15086" xr:uid="{00000000-0005-0000-0000-00008F0E0000}"/>
    <cellStyle name="20% - Accent3 39 3" xfId="10777" xr:uid="{00000000-0005-0000-0000-0000900E0000}"/>
    <cellStyle name="20% - Accent3 39 3 2" xfId="22065" xr:uid="{00000000-0005-0000-0000-0000910E0000}"/>
    <cellStyle name="20% - Accent3 39 4" xfId="8783" xr:uid="{00000000-0005-0000-0000-0000920E0000}"/>
    <cellStyle name="20% - Accent3 39 4 2" xfId="20071" xr:uid="{00000000-0005-0000-0000-0000930E0000}"/>
    <cellStyle name="20% - Accent3 39 5" xfId="6789" xr:uid="{00000000-0005-0000-0000-0000940E0000}"/>
    <cellStyle name="20% - Accent3 39 5 2" xfId="18077" xr:uid="{00000000-0005-0000-0000-0000950E0000}"/>
    <cellStyle name="20% - Accent3 39 6" xfId="4795" xr:uid="{00000000-0005-0000-0000-0000960E0000}"/>
    <cellStyle name="20% - Accent3 39 6 2" xfId="16083" xr:uid="{00000000-0005-0000-0000-0000970E0000}"/>
    <cellStyle name="20% - Accent3 39 7" xfId="14089" xr:uid="{00000000-0005-0000-0000-0000980E0000}"/>
    <cellStyle name="20% - Accent3 39 8" xfId="12775" xr:uid="{00000000-0005-0000-0000-0000990E0000}"/>
    <cellStyle name="20% - Accent3 4" xfId="840" xr:uid="{00000000-0005-0000-0000-00009A0E0000}"/>
    <cellStyle name="20% - Accent3 4 10" xfId="24573" xr:uid="{00000000-0005-0000-0000-00009B0E0000}"/>
    <cellStyle name="20% - Accent3 4 11" xfId="24963" xr:uid="{00000000-0005-0000-0000-00009C0E0000}"/>
    <cellStyle name="20% - Accent3 4 2" xfId="3796" xr:uid="{00000000-0005-0000-0000-00009D0E0000}"/>
    <cellStyle name="20% - Accent3 4 2 2" xfId="11775" xr:uid="{00000000-0005-0000-0000-00009E0E0000}"/>
    <cellStyle name="20% - Accent3 4 2 2 2" xfId="23063" xr:uid="{00000000-0005-0000-0000-00009F0E0000}"/>
    <cellStyle name="20% - Accent3 4 2 3" xfId="9781" xr:uid="{00000000-0005-0000-0000-0000A00E0000}"/>
    <cellStyle name="20% - Accent3 4 2 3 2" xfId="21069" xr:uid="{00000000-0005-0000-0000-0000A10E0000}"/>
    <cellStyle name="20% - Accent3 4 2 4" xfId="7787" xr:uid="{00000000-0005-0000-0000-0000A20E0000}"/>
    <cellStyle name="20% - Accent3 4 2 4 2" xfId="19075" xr:uid="{00000000-0005-0000-0000-0000A30E0000}"/>
    <cellStyle name="20% - Accent3 4 2 5" xfId="5793" xr:uid="{00000000-0005-0000-0000-0000A40E0000}"/>
    <cellStyle name="20% - Accent3 4 2 5 2" xfId="17081" xr:uid="{00000000-0005-0000-0000-0000A50E0000}"/>
    <cellStyle name="20% - Accent3 4 2 6" xfId="15087" xr:uid="{00000000-0005-0000-0000-0000A60E0000}"/>
    <cellStyle name="20% - Accent3 4 2 7" xfId="24334" xr:uid="{00000000-0005-0000-0000-0000A70E0000}"/>
    <cellStyle name="20% - Accent3 4 2 8" xfId="24798" xr:uid="{00000000-0005-0000-0000-0000A80E0000}"/>
    <cellStyle name="20% - Accent3 4 2 9" xfId="25165" xr:uid="{00000000-0005-0000-0000-0000A90E0000}"/>
    <cellStyle name="20% - Accent3 4 3" xfId="10778" xr:uid="{00000000-0005-0000-0000-0000AA0E0000}"/>
    <cellStyle name="20% - Accent3 4 3 2" xfId="22066" xr:uid="{00000000-0005-0000-0000-0000AB0E0000}"/>
    <cellStyle name="20% - Accent3 4 4" xfId="8784" xr:uid="{00000000-0005-0000-0000-0000AC0E0000}"/>
    <cellStyle name="20% - Accent3 4 4 2" xfId="20072" xr:uid="{00000000-0005-0000-0000-0000AD0E0000}"/>
    <cellStyle name="20% - Accent3 4 5" xfId="6790" xr:uid="{00000000-0005-0000-0000-0000AE0E0000}"/>
    <cellStyle name="20% - Accent3 4 5 2" xfId="18078" xr:uid="{00000000-0005-0000-0000-0000AF0E0000}"/>
    <cellStyle name="20% - Accent3 4 6" xfId="4796" xr:uid="{00000000-0005-0000-0000-0000B00E0000}"/>
    <cellStyle name="20% - Accent3 4 6 2" xfId="16084" xr:uid="{00000000-0005-0000-0000-0000B10E0000}"/>
    <cellStyle name="20% - Accent3 4 7" xfId="14090" xr:uid="{00000000-0005-0000-0000-0000B20E0000}"/>
    <cellStyle name="20% - Accent3 4 8" xfId="12776" xr:uid="{00000000-0005-0000-0000-0000B30E0000}"/>
    <cellStyle name="20% - Accent3 4 9" xfId="23946" xr:uid="{00000000-0005-0000-0000-0000B40E0000}"/>
    <cellStyle name="20% - Accent3 40" xfId="841" xr:uid="{00000000-0005-0000-0000-0000B50E0000}"/>
    <cellStyle name="20% - Accent3 40 2" xfId="3797" xr:uid="{00000000-0005-0000-0000-0000B60E0000}"/>
    <cellStyle name="20% - Accent3 40 2 2" xfId="11776" xr:uid="{00000000-0005-0000-0000-0000B70E0000}"/>
    <cellStyle name="20% - Accent3 40 2 2 2" xfId="23064" xr:uid="{00000000-0005-0000-0000-0000B80E0000}"/>
    <cellStyle name="20% - Accent3 40 2 3" xfId="9782" xr:uid="{00000000-0005-0000-0000-0000B90E0000}"/>
    <cellStyle name="20% - Accent3 40 2 3 2" xfId="21070" xr:uid="{00000000-0005-0000-0000-0000BA0E0000}"/>
    <cellStyle name="20% - Accent3 40 2 4" xfId="7788" xr:uid="{00000000-0005-0000-0000-0000BB0E0000}"/>
    <cellStyle name="20% - Accent3 40 2 4 2" xfId="19076" xr:uid="{00000000-0005-0000-0000-0000BC0E0000}"/>
    <cellStyle name="20% - Accent3 40 2 5" xfId="5794" xr:uid="{00000000-0005-0000-0000-0000BD0E0000}"/>
    <cellStyle name="20% - Accent3 40 2 5 2" xfId="17082" xr:uid="{00000000-0005-0000-0000-0000BE0E0000}"/>
    <cellStyle name="20% - Accent3 40 2 6" xfId="15088" xr:uid="{00000000-0005-0000-0000-0000BF0E0000}"/>
    <cellStyle name="20% - Accent3 40 3" xfId="10779" xr:uid="{00000000-0005-0000-0000-0000C00E0000}"/>
    <cellStyle name="20% - Accent3 40 3 2" xfId="22067" xr:uid="{00000000-0005-0000-0000-0000C10E0000}"/>
    <cellStyle name="20% - Accent3 40 4" xfId="8785" xr:uid="{00000000-0005-0000-0000-0000C20E0000}"/>
    <cellStyle name="20% - Accent3 40 4 2" xfId="20073" xr:uid="{00000000-0005-0000-0000-0000C30E0000}"/>
    <cellStyle name="20% - Accent3 40 5" xfId="6791" xr:uid="{00000000-0005-0000-0000-0000C40E0000}"/>
    <cellStyle name="20% - Accent3 40 5 2" xfId="18079" xr:uid="{00000000-0005-0000-0000-0000C50E0000}"/>
    <cellStyle name="20% - Accent3 40 6" xfId="4797" xr:uid="{00000000-0005-0000-0000-0000C60E0000}"/>
    <cellStyle name="20% - Accent3 40 6 2" xfId="16085" xr:uid="{00000000-0005-0000-0000-0000C70E0000}"/>
    <cellStyle name="20% - Accent3 40 7" xfId="14091" xr:uid="{00000000-0005-0000-0000-0000C80E0000}"/>
    <cellStyle name="20% - Accent3 40 8" xfId="12777" xr:uid="{00000000-0005-0000-0000-0000C90E0000}"/>
    <cellStyle name="20% - Accent3 41" xfId="842" xr:uid="{00000000-0005-0000-0000-0000CA0E0000}"/>
    <cellStyle name="20% - Accent3 41 2" xfId="3798" xr:uid="{00000000-0005-0000-0000-0000CB0E0000}"/>
    <cellStyle name="20% - Accent3 41 2 2" xfId="11777" xr:uid="{00000000-0005-0000-0000-0000CC0E0000}"/>
    <cellStyle name="20% - Accent3 41 2 2 2" xfId="23065" xr:uid="{00000000-0005-0000-0000-0000CD0E0000}"/>
    <cellStyle name="20% - Accent3 41 2 3" xfId="9783" xr:uid="{00000000-0005-0000-0000-0000CE0E0000}"/>
    <cellStyle name="20% - Accent3 41 2 3 2" xfId="21071" xr:uid="{00000000-0005-0000-0000-0000CF0E0000}"/>
    <cellStyle name="20% - Accent3 41 2 4" xfId="7789" xr:uid="{00000000-0005-0000-0000-0000D00E0000}"/>
    <cellStyle name="20% - Accent3 41 2 4 2" xfId="19077" xr:uid="{00000000-0005-0000-0000-0000D10E0000}"/>
    <cellStyle name="20% - Accent3 41 2 5" xfId="5795" xr:uid="{00000000-0005-0000-0000-0000D20E0000}"/>
    <cellStyle name="20% - Accent3 41 2 5 2" xfId="17083" xr:uid="{00000000-0005-0000-0000-0000D30E0000}"/>
    <cellStyle name="20% - Accent3 41 2 6" xfId="15089" xr:uid="{00000000-0005-0000-0000-0000D40E0000}"/>
    <cellStyle name="20% - Accent3 41 3" xfId="10780" xr:uid="{00000000-0005-0000-0000-0000D50E0000}"/>
    <cellStyle name="20% - Accent3 41 3 2" xfId="22068" xr:uid="{00000000-0005-0000-0000-0000D60E0000}"/>
    <cellStyle name="20% - Accent3 41 4" xfId="8786" xr:uid="{00000000-0005-0000-0000-0000D70E0000}"/>
    <cellStyle name="20% - Accent3 41 4 2" xfId="20074" xr:uid="{00000000-0005-0000-0000-0000D80E0000}"/>
    <cellStyle name="20% - Accent3 41 5" xfId="6792" xr:uid="{00000000-0005-0000-0000-0000D90E0000}"/>
    <cellStyle name="20% - Accent3 41 5 2" xfId="18080" xr:uid="{00000000-0005-0000-0000-0000DA0E0000}"/>
    <cellStyle name="20% - Accent3 41 6" xfId="4798" xr:uid="{00000000-0005-0000-0000-0000DB0E0000}"/>
    <cellStyle name="20% - Accent3 41 6 2" xfId="16086" xr:uid="{00000000-0005-0000-0000-0000DC0E0000}"/>
    <cellStyle name="20% - Accent3 41 7" xfId="14092" xr:uid="{00000000-0005-0000-0000-0000DD0E0000}"/>
    <cellStyle name="20% - Accent3 41 8" xfId="12778" xr:uid="{00000000-0005-0000-0000-0000DE0E0000}"/>
    <cellStyle name="20% - Accent3 42" xfId="843" xr:uid="{00000000-0005-0000-0000-0000DF0E0000}"/>
    <cellStyle name="20% - Accent3 42 2" xfId="3799" xr:uid="{00000000-0005-0000-0000-0000E00E0000}"/>
    <cellStyle name="20% - Accent3 42 2 2" xfId="11778" xr:uid="{00000000-0005-0000-0000-0000E10E0000}"/>
    <cellStyle name="20% - Accent3 42 2 2 2" xfId="23066" xr:uid="{00000000-0005-0000-0000-0000E20E0000}"/>
    <cellStyle name="20% - Accent3 42 2 3" xfId="9784" xr:uid="{00000000-0005-0000-0000-0000E30E0000}"/>
    <cellStyle name="20% - Accent3 42 2 3 2" xfId="21072" xr:uid="{00000000-0005-0000-0000-0000E40E0000}"/>
    <cellStyle name="20% - Accent3 42 2 4" xfId="7790" xr:uid="{00000000-0005-0000-0000-0000E50E0000}"/>
    <cellStyle name="20% - Accent3 42 2 4 2" xfId="19078" xr:uid="{00000000-0005-0000-0000-0000E60E0000}"/>
    <cellStyle name="20% - Accent3 42 2 5" xfId="5796" xr:uid="{00000000-0005-0000-0000-0000E70E0000}"/>
    <cellStyle name="20% - Accent3 42 2 5 2" xfId="17084" xr:uid="{00000000-0005-0000-0000-0000E80E0000}"/>
    <cellStyle name="20% - Accent3 42 2 6" xfId="15090" xr:uid="{00000000-0005-0000-0000-0000E90E0000}"/>
    <cellStyle name="20% - Accent3 42 3" xfId="10781" xr:uid="{00000000-0005-0000-0000-0000EA0E0000}"/>
    <cellStyle name="20% - Accent3 42 3 2" xfId="22069" xr:uid="{00000000-0005-0000-0000-0000EB0E0000}"/>
    <cellStyle name="20% - Accent3 42 4" xfId="8787" xr:uid="{00000000-0005-0000-0000-0000EC0E0000}"/>
    <cellStyle name="20% - Accent3 42 4 2" xfId="20075" xr:uid="{00000000-0005-0000-0000-0000ED0E0000}"/>
    <cellStyle name="20% - Accent3 42 5" xfId="6793" xr:uid="{00000000-0005-0000-0000-0000EE0E0000}"/>
    <cellStyle name="20% - Accent3 42 5 2" xfId="18081" xr:uid="{00000000-0005-0000-0000-0000EF0E0000}"/>
    <cellStyle name="20% - Accent3 42 6" xfId="4799" xr:uid="{00000000-0005-0000-0000-0000F00E0000}"/>
    <cellStyle name="20% - Accent3 42 6 2" xfId="16087" xr:uid="{00000000-0005-0000-0000-0000F10E0000}"/>
    <cellStyle name="20% - Accent3 42 7" xfId="14093" xr:uid="{00000000-0005-0000-0000-0000F20E0000}"/>
    <cellStyle name="20% - Accent3 42 8" xfId="12779" xr:uid="{00000000-0005-0000-0000-0000F30E0000}"/>
    <cellStyle name="20% - Accent3 43" xfId="844" xr:uid="{00000000-0005-0000-0000-0000F40E0000}"/>
    <cellStyle name="20% - Accent3 43 2" xfId="3800" xr:uid="{00000000-0005-0000-0000-0000F50E0000}"/>
    <cellStyle name="20% - Accent3 43 2 2" xfId="11779" xr:uid="{00000000-0005-0000-0000-0000F60E0000}"/>
    <cellStyle name="20% - Accent3 43 2 2 2" xfId="23067" xr:uid="{00000000-0005-0000-0000-0000F70E0000}"/>
    <cellStyle name="20% - Accent3 43 2 3" xfId="9785" xr:uid="{00000000-0005-0000-0000-0000F80E0000}"/>
    <cellStyle name="20% - Accent3 43 2 3 2" xfId="21073" xr:uid="{00000000-0005-0000-0000-0000F90E0000}"/>
    <cellStyle name="20% - Accent3 43 2 4" xfId="7791" xr:uid="{00000000-0005-0000-0000-0000FA0E0000}"/>
    <cellStyle name="20% - Accent3 43 2 4 2" xfId="19079" xr:uid="{00000000-0005-0000-0000-0000FB0E0000}"/>
    <cellStyle name="20% - Accent3 43 2 5" xfId="5797" xr:uid="{00000000-0005-0000-0000-0000FC0E0000}"/>
    <cellStyle name="20% - Accent3 43 2 5 2" xfId="17085" xr:uid="{00000000-0005-0000-0000-0000FD0E0000}"/>
    <cellStyle name="20% - Accent3 43 2 6" xfId="15091" xr:uid="{00000000-0005-0000-0000-0000FE0E0000}"/>
    <cellStyle name="20% - Accent3 43 3" xfId="10782" xr:uid="{00000000-0005-0000-0000-0000FF0E0000}"/>
    <cellStyle name="20% - Accent3 43 3 2" xfId="22070" xr:uid="{00000000-0005-0000-0000-0000000F0000}"/>
    <cellStyle name="20% - Accent3 43 4" xfId="8788" xr:uid="{00000000-0005-0000-0000-0000010F0000}"/>
    <cellStyle name="20% - Accent3 43 4 2" xfId="20076" xr:uid="{00000000-0005-0000-0000-0000020F0000}"/>
    <cellStyle name="20% - Accent3 43 5" xfId="6794" xr:uid="{00000000-0005-0000-0000-0000030F0000}"/>
    <cellStyle name="20% - Accent3 43 5 2" xfId="18082" xr:uid="{00000000-0005-0000-0000-0000040F0000}"/>
    <cellStyle name="20% - Accent3 43 6" xfId="4800" xr:uid="{00000000-0005-0000-0000-0000050F0000}"/>
    <cellStyle name="20% - Accent3 43 6 2" xfId="16088" xr:uid="{00000000-0005-0000-0000-0000060F0000}"/>
    <cellStyle name="20% - Accent3 43 7" xfId="14094" xr:uid="{00000000-0005-0000-0000-0000070F0000}"/>
    <cellStyle name="20% - Accent3 43 8" xfId="12780" xr:uid="{00000000-0005-0000-0000-0000080F0000}"/>
    <cellStyle name="20% - Accent3 44" xfId="845" xr:uid="{00000000-0005-0000-0000-0000090F0000}"/>
    <cellStyle name="20% - Accent3 44 2" xfId="3801" xr:uid="{00000000-0005-0000-0000-00000A0F0000}"/>
    <cellStyle name="20% - Accent3 44 2 2" xfId="11780" xr:uid="{00000000-0005-0000-0000-00000B0F0000}"/>
    <cellStyle name="20% - Accent3 44 2 2 2" xfId="23068" xr:uid="{00000000-0005-0000-0000-00000C0F0000}"/>
    <cellStyle name="20% - Accent3 44 2 3" xfId="9786" xr:uid="{00000000-0005-0000-0000-00000D0F0000}"/>
    <cellStyle name="20% - Accent3 44 2 3 2" xfId="21074" xr:uid="{00000000-0005-0000-0000-00000E0F0000}"/>
    <cellStyle name="20% - Accent3 44 2 4" xfId="7792" xr:uid="{00000000-0005-0000-0000-00000F0F0000}"/>
    <cellStyle name="20% - Accent3 44 2 4 2" xfId="19080" xr:uid="{00000000-0005-0000-0000-0000100F0000}"/>
    <cellStyle name="20% - Accent3 44 2 5" xfId="5798" xr:uid="{00000000-0005-0000-0000-0000110F0000}"/>
    <cellStyle name="20% - Accent3 44 2 5 2" xfId="17086" xr:uid="{00000000-0005-0000-0000-0000120F0000}"/>
    <cellStyle name="20% - Accent3 44 2 6" xfId="15092" xr:uid="{00000000-0005-0000-0000-0000130F0000}"/>
    <cellStyle name="20% - Accent3 44 3" xfId="10783" xr:uid="{00000000-0005-0000-0000-0000140F0000}"/>
    <cellStyle name="20% - Accent3 44 3 2" xfId="22071" xr:uid="{00000000-0005-0000-0000-0000150F0000}"/>
    <cellStyle name="20% - Accent3 44 4" xfId="8789" xr:uid="{00000000-0005-0000-0000-0000160F0000}"/>
    <cellStyle name="20% - Accent3 44 4 2" xfId="20077" xr:uid="{00000000-0005-0000-0000-0000170F0000}"/>
    <cellStyle name="20% - Accent3 44 5" xfId="6795" xr:uid="{00000000-0005-0000-0000-0000180F0000}"/>
    <cellStyle name="20% - Accent3 44 5 2" xfId="18083" xr:uid="{00000000-0005-0000-0000-0000190F0000}"/>
    <cellStyle name="20% - Accent3 44 6" xfId="4801" xr:uid="{00000000-0005-0000-0000-00001A0F0000}"/>
    <cellStyle name="20% - Accent3 44 6 2" xfId="16089" xr:uid="{00000000-0005-0000-0000-00001B0F0000}"/>
    <cellStyle name="20% - Accent3 44 7" xfId="14095" xr:uid="{00000000-0005-0000-0000-00001C0F0000}"/>
    <cellStyle name="20% - Accent3 44 8" xfId="12781" xr:uid="{00000000-0005-0000-0000-00001D0F0000}"/>
    <cellStyle name="20% - Accent3 45" xfId="846" xr:uid="{00000000-0005-0000-0000-00001E0F0000}"/>
    <cellStyle name="20% - Accent3 45 2" xfId="3802" xr:uid="{00000000-0005-0000-0000-00001F0F0000}"/>
    <cellStyle name="20% - Accent3 45 2 2" xfId="11781" xr:uid="{00000000-0005-0000-0000-0000200F0000}"/>
    <cellStyle name="20% - Accent3 45 2 2 2" xfId="23069" xr:uid="{00000000-0005-0000-0000-0000210F0000}"/>
    <cellStyle name="20% - Accent3 45 2 3" xfId="9787" xr:uid="{00000000-0005-0000-0000-0000220F0000}"/>
    <cellStyle name="20% - Accent3 45 2 3 2" xfId="21075" xr:uid="{00000000-0005-0000-0000-0000230F0000}"/>
    <cellStyle name="20% - Accent3 45 2 4" xfId="7793" xr:uid="{00000000-0005-0000-0000-0000240F0000}"/>
    <cellStyle name="20% - Accent3 45 2 4 2" xfId="19081" xr:uid="{00000000-0005-0000-0000-0000250F0000}"/>
    <cellStyle name="20% - Accent3 45 2 5" xfId="5799" xr:uid="{00000000-0005-0000-0000-0000260F0000}"/>
    <cellStyle name="20% - Accent3 45 2 5 2" xfId="17087" xr:uid="{00000000-0005-0000-0000-0000270F0000}"/>
    <cellStyle name="20% - Accent3 45 2 6" xfId="15093" xr:uid="{00000000-0005-0000-0000-0000280F0000}"/>
    <cellStyle name="20% - Accent3 45 3" xfId="10784" xr:uid="{00000000-0005-0000-0000-0000290F0000}"/>
    <cellStyle name="20% - Accent3 45 3 2" xfId="22072" xr:uid="{00000000-0005-0000-0000-00002A0F0000}"/>
    <cellStyle name="20% - Accent3 45 4" xfId="8790" xr:uid="{00000000-0005-0000-0000-00002B0F0000}"/>
    <cellStyle name="20% - Accent3 45 4 2" xfId="20078" xr:uid="{00000000-0005-0000-0000-00002C0F0000}"/>
    <cellStyle name="20% - Accent3 45 5" xfId="6796" xr:uid="{00000000-0005-0000-0000-00002D0F0000}"/>
    <cellStyle name="20% - Accent3 45 5 2" xfId="18084" xr:uid="{00000000-0005-0000-0000-00002E0F0000}"/>
    <cellStyle name="20% - Accent3 45 6" xfId="4802" xr:uid="{00000000-0005-0000-0000-00002F0F0000}"/>
    <cellStyle name="20% - Accent3 45 6 2" xfId="16090" xr:uid="{00000000-0005-0000-0000-0000300F0000}"/>
    <cellStyle name="20% - Accent3 45 7" xfId="14096" xr:uid="{00000000-0005-0000-0000-0000310F0000}"/>
    <cellStyle name="20% - Accent3 45 8" xfId="12782" xr:uid="{00000000-0005-0000-0000-0000320F0000}"/>
    <cellStyle name="20% - Accent3 46" xfId="847" xr:uid="{00000000-0005-0000-0000-0000330F0000}"/>
    <cellStyle name="20% - Accent3 46 2" xfId="3803" xr:uid="{00000000-0005-0000-0000-0000340F0000}"/>
    <cellStyle name="20% - Accent3 46 2 2" xfId="11782" xr:uid="{00000000-0005-0000-0000-0000350F0000}"/>
    <cellStyle name="20% - Accent3 46 2 2 2" xfId="23070" xr:uid="{00000000-0005-0000-0000-0000360F0000}"/>
    <cellStyle name="20% - Accent3 46 2 3" xfId="9788" xr:uid="{00000000-0005-0000-0000-0000370F0000}"/>
    <cellStyle name="20% - Accent3 46 2 3 2" xfId="21076" xr:uid="{00000000-0005-0000-0000-0000380F0000}"/>
    <cellStyle name="20% - Accent3 46 2 4" xfId="7794" xr:uid="{00000000-0005-0000-0000-0000390F0000}"/>
    <cellStyle name="20% - Accent3 46 2 4 2" xfId="19082" xr:uid="{00000000-0005-0000-0000-00003A0F0000}"/>
    <cellStyle name="20% - Accent3 46 2 5" xfId="5800" xr:uid="{00000000-0005-0000-0000-00003B0F0000}"/>
    <cellStyle name="20% - Accent3 46 2 5 2" xfId="17088" xr:uid="{00000000-0005-0000-0000-00003C0F0000}"/>
    <cellStyle name="20% - Accent3 46 2 6" xfId="15094" xr:uid="{00000000-0005-0000-0000-00003D0F0000}"/>
    <cellStyle name="20% - Accent3 46 3" xfId="10785" xr:uid="{00000000-0005-0000-0000-00003E0F0000}"/>
    <cellStyle name="20% - Accent3 46 3 2" xfId="22073" xr:uid="{00000000-0005-0000-0000-00003F0F0000}"/>
    <cellStyle name="20% - Accent3 46 4" xfId="8791" xr:uid="{00000000-0005-0000-0000-0000400F0000}"/>
    <cellStyle name="20% - Accent3 46 4 2" xfId="20079" xr:uid="{00000000-0005-0000-0000-0000410F0000}"/>
    <cellStyle name="20% - Accent3 46 5" xfId="6797" xr:uid="{00000000-0005-0000-0000-0000420F0000}"/>
    <cellStyle name="20% - Accent3 46 5 2" xfId="18085" xr:uid="{00000000-0005-0000-0000-0000430F0000}"/>
    <cellStyle name="20% - Accent3 46 6" xfId="4803" xr:uid="{00000000-0005-0000-0000-0000440F0000}"/>
    <cellStyle name="20% - Accent3 46 6 2" xfId="16091" xr:uid="{00000000-0005-0000-0000-0000450F0000}"/>
    <cellStyle name="20% - Accent3 46 7" xfId="14097" xr:uid="{00000000-0005-0000-0000-0000460F0000}"/>
    <cellStyle name="20% - Accent3 46 8" xfId="12783" xr:uid="{00000000-0005-0000-0000-0000470F0000}"/>
    <cellStyle name="20% - Accent3 47" xfId="848" xr:uid="{00000000-0005-0000-0000-0000480F0000}"/>
    <cellStyle name="20% - Accent3 47 2" xfId="3804" xr:uid="{00000000-0005-0000-0000-0000490F0000}"/>
    <cellStyle name="20% - Accent3 47 2 2" xfId="11783" xr:uid="{00000000-0005-0000-0000-00004A0F0000}"/>
    <cellStyle name="20% - Accent3 47 2 2 2" xfId="23071" xr:uid="{00000000-0005-0000-0000-00004B0F0000}"/>
    <cellStyle name="20% - Accent3 47 2 3" xfId="9789" xr:uid="{00000000-0005-0000-0000-00004C0F0000}"/>
    <cellStyle name="20% - Accent3 47 2 3 2" xfId="21077" xr:uid="{00000000-0005-0000-0000-00004D0F0000}"/>
    <cellStyle name="20% - Accent3 47 2 4" xfId="7795" xr:uid="{00000000-0005-0000-0000-00004E0F0000}"/>
    <cellStyle name="20% - Accent3 47 2 4 2" xfId="19083" xr:uid="{00000000-0005-0000-0000-00004F0F0000}"/>
    <cellStyle name="20% - Accent3 47 2 5" xfId="5801" xr:uid="{00000000-0005-0000-0000-0000500F0000}"/>
    <cellStyle name="20% - Accent3 47 2 5 2" xfId="17089" xr:uid="{00000000-0005-0000-0000-0000510F0000}"/>
    <cellStyle name="20% - Accent3 47 2 6" xfId="15095" xr:uid="{00000000-0005-0000-0000-0000520F0000}"/>
    <cellStyle name="20% - Accent3 47 3" xfId="10786" xr:uid="{00000000-0005-0000-0000-0000530F0000}"/>
    <cellStyle name="20% - Accent3 47 3 2" xfId="22074" xr:uid="{00000000-0005-0000-0000-0000540F0000}"/>
    <cellStyle name="20% - Accent3 47 4" xfId="8792" xr:uid="{00000000-0005-0000-0000-0000550F0000}"/>
    <cellStyle name="20% - Accent3 47 4 2" xfId="20080" xr:uid="{00000000-0005-0000-0000-0000560F0000}"/>
    <cellStyle name="20% - Accent3 47 5" xfId="6798" xr:uid="{00000000-0005-0000-0000-0000570F0000}"/>
    <cellStyle name="20% - Accent3 47 5 2" xfId="18086" xr:uid="{00000000-0005-0000-0000-0000580F0000}"/>
    <cellStyle name="20% - Accent3 47 6" xfId="4804" xr:uid="{00000000-0005-0000-0000-0000590F0000}"/>
    <cellStyle name="20% - Accent3 47 6 2" xfId="16092" xr:uid="{00000000-0005-0000-0000-00005A0F0000}"/>
    <cellStyle name="20% - Accent3 47 7" xfId="14098" xr:uid="{00000000-0005-0000-0000-00005B0F0000}"/>
    <cellStyle name="20% - Accent3 47 8" xfId="12784" xr:uid="{00000000-0005-0000-0000-00005C0F0000}"/>
    <cellStyle name="20% - Accent3 48" xfId="849" xr:uid="{00000000-0005-0000-0000-00005D0F0000}"/>
    <cellStyle name="20% - Accent3 48 2" xfId="3805" xr:uid="{00000000-0005-0000-0000-00005E0F0000}"/>
    <cellStyle name="20% - Accent3 48 2 2" xfId="11784" xr:uid="{00000000-0005-0000-0000-00005F0F0000}"/>
    <cellStyle name="20% - Accent3 48 2 2 2" xfId="23072" xr:uid="{00000000-0005-0000-0000-0000600F0000}"/>
    <cellStyle name="20% - Accent3 48 2 3" xfId="9790" xr:uid="{00000000-0005-0000-0000-0000610F0000}"/>
    <cellStyle name="20% - Accent3 48 2 3 2" xfId="21078" xr:uid="{00000000-0005-0000-0000-0000620F0000}"/>
    <cellStyle name="20% - Accent3 48 2 4" xfId="7796" xr:uid="{00000000-0005-0000-0000-0000630F0000}"/>
    <cellStyle name="20% - Accent3 48 2 4 2" xfId="19084" xr:uid="{00000000-0005-0000-0000-0000640F0000}"/>
    <cellStyle name="20% - Accent3 48 2 5" xfId="5802" xr:uid="{00000000-0005-0000-0000-0000650F0000}"/>
    <cellStyle name="20% - Accent3 48 2 5 2" xfId="17090" xr:uid="{00000000-0005-0000-0000-0000660F0000}"/>
    <cellStyle name="20% - Accent3 48 2 6" xfId="15096" xr:uid="{00000000-0005-0000-0000-0000670F0000}"/>
    <cellStyle name="20% - Accent3 48 3" xfId="10787" xr:uid="{00000000-0005-0000-0000-0000680F0000}"/>
    <cellStyle name="20% - Accent3 48 3 2" xfId="22075" xr:uid="{00000000-0005-0000-0000-0000690F0000}"/>
    <cellStyle name="20% - Accent3 48 4" xfId="8793" xr:uid="{00000000-0005-0000-0000-00006A0F0000}"/>
    <cellStyle name="20% - Accent3 48 4 2" xfId="20081" xr:uid="{00000000-0005-0000-0000-00006B0F0000}"/>
    <cellStyle name="20% - Accent3 48 5" xfId="6799" xr:uid="{00000000-0005-0000-0000-00006C0F0000}"/>
    <cellStyle name="20% - Accent3 48 5 2" xfId="18087" xr:uid="{00000000-0005-0000-0000-00006D0F0000}"/>
    <cellStyle name="20% - Accent3 48 6" xfId="4805" xr:uid="{00000000-0005-0000-0000-00006E0F0000}"/>
    <cellStyle name="20% - Accent3 48 6 2" xfId="16093" xr:uid="{00000000-0005-0000-0000-00006F0F0000}"/>
    <cellStyle name="20% - Accent3 48 7" xfId="14099" xr:uid="{00000000-0005-0000-0000-0000700F0000}"/>
    <cellStyle name="20% - Accent3 48 8" xfId="12785" xr:uid="{00000000-0005-0000-0000-0000710F0000}"/>
    <cellStyle name="20% - Accent3 49" xfId="850" xr:uid="{00000000-0005-0000-0000-0000720F0000}"/>
    <cellStyle name="20% - Accent3 49 2" xfId="3806" xr:uid="{00000000-0005-0000-0000-0000730F0000}"/>
    <cellStyle name="20% - Accent3 49 2 2" xfId="11785" xr:uid="{00000000-0005-0000-0000-0000740F0000}"/>
    <cellStyle name="20% - Accent3 49 2 2 2" xfId="23073" xr:uid="{00000000-0005-0000-0000-0000750F0000}"/>
    <cellStyle name="20% - Accent3 49 2 3" xfId="9791" xr:uid="{00000000-0005-0000-0000-0000760F0000}"/>
    <cellStyle name="20% - Accent3 49 2 3 2" xfId="21079" xr:uid="{00000000-0005-0000-0000-0000770F0000}"/>
    <cellStyle name="20% - Accent3 49 2 4" xfId="7797" xr:uid="{00000000-0005-0000-0000-0000780F0000}"/>
    <cellStyle name="20% - Accent3 49 2 4 2" xfId="19085" xr:uid="{00000000-0005-0000-0000-0000790F0000}"/>
    <cellStyle name="20% - Accent3 49 2 5" xfId="5803" xr:uid="{00000000-0005-0000-0000-00007A0F0000}"/>
    <cellStyle name="20% - Accent3 49 2 5 2" xfId="17091" xr:uid="{00000000-0005-0000-0000-00007B0F0000}"/>
    <cellStyle name="20% - Accent3 49 2 6" xfId="15097" xr:uid="{00000000-0005-0000-0000-00007C0F0000}"/>
    <cellStyle name="20% - Accent3 49 3" xfId="10788" xr:uid="{00000000-0005-0000-0000-00007D0F0000}"/>
    <cellStyle name="20% - Accent3 49 3 2" xfId="22076" xr:uid="{00000000-0005-0000-0000-00007E0F0000}"/>
    <cellStyle name="20% - Accent3 49 4" xfId="8794" xr:uid="{00000000-0005-0000-0000-00007F0F0000}"/>
    <cellStyle name="20% - Accent3 49 4 2" xfId="20082" xr:uid="{00000000-0005-0000-0000-0000800F0000}"/>
    <cellStyle name="20% - Accent3 49 5" xfId="6800" xr:uid="{00000000-0005-0000-0000-0000810F0000}"/>
    <cellStyle name="20% - Accent3 49 5 2" xfId="18088" xr:uid="{00000000-0005-0000-0000-0000820F0000}"/>
    <cellStyle name="20% - Accent3 49 6" xfId="4806" xr:uid="{00000000-0005-0000-0000-0000830F0000}"/>
    <cellStyle name="20% - Accent3 49 6 2" xfId="16094" xr:uid="{00000000-0005-0000-0000-0000840F0000}"/>
    <cellStyle name="20% - Accent3 49 7" xfId="14100" xr:uid="{00000000-0005-0000-0000-0000850F0000}"/>
    <cellStyle name="20% - Accent3 49 8" xfId="12786" xr:uid="{00000000-0005-0000-0000-0000860F0000}"/>
    <cellStyle name="20% - Accent3 5" xfId="851" xr:uid="{00000000-0005-0000-0000-0000870F0000}"/>
    <cellStyle name="20% - Accent3 5 10" xfId="24574" xr:uid="{00000000-0005-0000-0000-0000880F0000}"/>
    <cellStyle name="20% - Accent3 5 11" xfId="24964" xr:uid="{00000000-0005-0000-0000-0000890F0000}"/>
    <cellStyle name="20% - Accent3 5 2" xfId="3807" xr:uid="{00000000-0005-0000-0000-00008A0F0000}"/>
    <cellStyle name="20% - Accent3 5 2 2" xfId="11786" xr:uid="{00000000-0005-0000-0000-00008B0F0000}"/>
    <cellStyle name="20% - Accent3 5 2 2 2" xfId="23074" xr:uid="{00000000-0005-0000-0000-00008C0F0000}"/>
    <cellStyle name="20% - Accent3 5 2 3" xfId="9792" xr:uid="{00000000-0005-0000-0000-00008D0F0000}"/>
    <cellStyle name="20% - Accent3 5 2 3 2" xfId="21080" xr:uid="{00000000-0005-0000-0000-00008E0F0000}"/>
    <cellStyle name="20% - Accent3 5 2 4" xfId="7798" xr:uid="{00000000-0005-0000-0000-00008F0F0000}"/>
    <cellStyle name="20% - Accent3 5 2 4 2" xfId="19086" xr:uid="{00000000-0005-0000-0000-0000900F0000}"/>
    <cellStyle name="20% - Accent3 5 2 5" xfId="5804" xr:uid="{00000000-0005-0000-0000-0000910F0000}"/>
    <cellStyle name="20% - Accent3 5 2 5 2" xfId="17092" xr:uid="{00000000-0005-0000-0000-0000920F0000}"/>
    <cellStyle name="20% - Accent3 5 2 6" xfId="15098" xr:uid="{00000000-0005-0000-0000-0000930F0000}"/>
    <cellStyle name="20% - Accent3 5 2 7" xfId="24335" xr:uid="{00000000-0005-0000-0000-0000940F0000}"/>
    <cellStyle name="20% - Accent3 5 2 8" xfId="24799" xr:uid="{00000000-0005-0000-0000-0000950F0000}"/>
    <cellStyle name="20% - Accent3 5 2 9" xfId="25166" xr:uid="{00000000-0005-0000-0000-0000960F0000}"/>
    <cellStyle name="20% - Accent3 5 3" xfId="10789" xr:uid="{00000000-0005-0000-0000-0000970F0000}"/>
    <cellStyle name="20% - Accent3 5 3 2" xfId="22077" xr:uid="{00000000-0005-0000-0000-0000980F0000}"/>
    <cellStyle name="20% - Accent3 5 4" xfId="8795" xr:uid="{00000000-0005-0000-0000-0000990F0000}"/>
    <cellStyle name="20% - Accent3 5 4 2" xfId="20083" xr:uid="{00000000-0005-0000-0000-00009A0F0000}"/>
    <cellStyle name="20% - Accent3 5 5" xfId="6801" xr:uid="{00000000-0005-0000-0000-00009B0F0000}"/>
    <cellStyle name="20% - Accent3 5 5 2" xfId="18089" xr:uid="{00000000-0005-0000-0000-00009C0F0000}"/>
    <cellStyle name="20% - Accent3 5 6" xfId="4807" xr:uid="{00000000-0005-0000-0000-00009D0F0000}"/>
    <cellStyle name="20% - Accent3 5 6 2" xfId="16095" xr:uid="{00000000-0005-0000-0000-00009E0F0000}"/>
    <cellStyle name="20% - Accent3 5 7" xfId="14101" xr:uid="{00000000-0005-0000-0000-00009F0F0000}"/>
    <cellStyle name="20% - Accent3 5 8" xfId="12787" xr:uid="{00000000-0005-0000-0000-0000A00F0000}"/>
    <cellStyle name="20% - Accent3 5 9" xfId="23947" xr:uid="{00000000-0005-0000-0000-0000A10F0000}"/>
    <cellStyle name="20% - Accent3 50" xfId="852" xr:uid="{00000000-0005-0000-0000-0000A20F0000}"/>
    <cellStyle name="20% - Accent3 50 2" xfId="3808" xr:uid="{00000000-0005-0000-0000-0000A30F0000}"/>
    <cellStyle name="20% - Accent3 50 2 2" xfId="11787" xr:uid="{00000000-0005-0000-0000-0000A40F0000}"/>
    <cellStyle name="20% - Accent3 50 2 2 2" xfId="23075" xr:uid="{00000000-0005-0000-0000-0000A50F0000}"/>
    <cellStyle name="20% - Accent3 50 2 3" xfId="9793" xr:uid="{00000000-0005-0000-0000-0000A60F0000}"/>
    <cellStyle name="20% - Accent3 50 2 3 2" xfId="21081" xr:uid="{00000000-0005-0000-0000-0000A70F0000}"/>
    <cellStyle name="20% - Accent3 50 2 4" xfId="7799" xr:uid="{00000000-0005-0000-0000-0000A80F0000}"/>
    <cellStyle name="20% - Accent3 50 2 4 2" xfId="19087" xr:uid="{00000000-0005-0000-0000-0000A90F0000}"/>
    <cellStyle name="20% - Accent3 50 2 5" xfId="5805" xr:uid="{00000000-0005-0000-0000-0000AA0F0000}"/>
    <cellStyle name="20% - Accent3 50 2 5 2" xfId="17093" xr:uid="{00000000-0005-0000-0000-0000AB0F0000}"/>
    <cellStyle name="20% - Accent3 50 2 6" xfId="15099" xr:uid="{00000000-0005-0000-0000-0000AC0F0000}"/>
    <cellStyle name="20% - Accent3 50 3" xfId="10790" xr:uid="{00000000-0005-0000-0000-0000AD0F0000}"/>
    <cellStyle name="20% - Accent3 50 3 2" xfId="22078" xr:uid="{00000000-0005-0000-0000-0000AE0F0000}"/>
    <cellStyle name="20% - Accent3 50 4" xfId="8796" xr:uid="{00000000-0005-0000-0000-0000AF0F0000}"/>
    <cellStyle name="20% - Accent3 50 4 2" xfId="20084" xr:uid="{00000000-0005-0000-0000-0000B00F0000}"/>
    <cellStyle name="20% - Accent3 50 5" xfId="6802" xr:uid="{00000000-0005-0000-0000-0000B10F0000}"/>
    <cellStyle name="20% - Accent3 50 5 2" xfId="18090" xr:uid="{00000000-0005-0000-0000-0000B20F0000}"/>
    <cellStyle name="20% - Accent3 50 6" xfId="4808" xr:uid="{00000000-0005-0000-0000-0000B30F0000}"/>
    <cellStyle name="20% - Accent3 50 6 2" xfId="16096" xr:uid="{00000000-0005-0000-0000-0000B40F0000}"/>
    <cellStyle name="20% - Accent3 50 7" xfId="14102" xr:uid="{00000000-0005-0000-0000-0000B50F0000}"/>
    <cellStyle name="20% - Accent3 50 8" xfId="12788" xr:uid="{00000000-0005-0000-0000-0000B60F0000}"/>
    <cellStyle name="20% - Accent3 51" xfId="853" xr:uid="{00000000-0005-0000-0000-0000B70F0000}"/>
    <cellStyle name="20% - Accent3 51 2" xfId="3809" xr:uid="{00000000-0005-0000-0000-0000B80F0000}"/>
    <cellStyle name="20% - Accent3 51 2 2" xfId="11788" xr:uid="{00000000-0005-0000-0000-0000B90F0000}"/>
    <cellStyle name="20% - Accent3 51 2 2 2" xfId="23076" xr:uid="{00000000-0005-0000-0000-0000BA0F0000}"/>
    <cellStyle name="20% - Accent3 51 2 3" xfId="9794" xr:uid="{00000000-0005-0000-0000-0000BB0F0000}"/>
    <cellStyle name="20% - Accent3 51 2 3 2" xfId="21082" xr:uid="{00000000-0005-0000-0000-0000BC0F0000}"/>
    <cellStyle name="20% - Accent3 51 2 4" xfId="7800" xr:uid="{00000000-0005-0000-0000-0000BD0F0000}"/>
    <cellStyle name="20% - Accent3 51 2 4 2" xfId="19088" xr:uid="{00000000-0005-0000-0000-0000BE0F0000}"/>
    <cellStyle name="20% - Accent3 51 2 5" xfId="5806" xr:uid="{00000000-0005-0000-0000-0000BF0F0000}"/>
    <cellStyle name="20% - Accent3 51 2 5 2" xfId="17094" xr:uid="{00000000-0005-0000-0000-0000C00F0000}"/>
    <cellStyle name="20% - Accent3 51 2 6" xfId="15100" xr:uid="{00000000-0005-0000-0000-0000C10F0000}"/>
    <cellStyle name="20% - Accent3 51 3" xfId="10791" xr:uid="{00000000-0005-0000-0000-0000C20F0000}"/>
    <cellStyle name="20% - Accent3 51 3 2" xfId="22079" xr:uid="{00000000-0005-0000-0000-0000C30F0000}"/>
    <cellStyle name="20% - Accent3 51 4" xfId="8797" xr:uid="{00000000-0005-0000-0000-0000C40F0000}"/>
    <cellStyle name="20% - Accent3 51 4 2" xfId="20085" xr:uid="{00000000-0005-0000-0000-0000C50F0000}"/>
    <cellStyle name="20% - Accent3 51 5" xfId="6803" xr:uid="{00000000-0005-0000-0000-0000C60F0000}"/>
    <cellStyle name="20% - Accent3 51 5 2" xfId="18091" xr:uid="{00000000-0005-0000-0000-0000C70F0000}"/>
    <cellStyle name="20% - Accent3 51 6" xfId="4809" xr:uid="{00000000-0005-0000-0000-0000C80F0000}"/>
    <cellStyle name="20% - Accent3 51 6 2" xfId="16097" xr:uid="{00000000-0005-0000-0000-0000C90F0000}"/>
    <cellStyle name="20% - Accent3 51 7" xfId="14103" xr:uid="{00000000-0005-0000-0000-0000CA0F0000}"/>
    <cellStyle name="20% - Accent3 51 8" xfId="12789" xr:uid="{00000000-0005-0000-0000-0000CB0F0000}"/>
    <cellStyle name="20% - Accent3 52" xfId="854" xr:uid="{00000000-0005-0000-0000-0000CC0F0000}"/>
    <cellStyle name="20% - Accent3 52 2" xfId="3810" xr:uid="{00000000-0005-0000-0000-0000CD0F0000}"/>
    <cellStyle name="20% - Accent3 52 2 2" xfId="11789" xr:uid="{00000000-0005-0000-0000-0000CE0F0000}"/>
    <cellStyle name="20% - Accent3 52 2 2 2" xfId="23077" xr:uid="{00000000-0005-0000-0000-0000CF0F0000}"/>
    <cellStyle name="20% - Accent3 52 2 3" xfId="9795" xr:uid="{00000000-0005-0000-0000-0000D00F0000}"/>
    <cellStyle name="20% - Accent3 52 2 3 2" xfId="21083" xr:uid="{00000000-0005-0000-0000-0000D10F0000}"/>
    <cellStyle name="20% - Accent3 52 2 4" xfId="7801" xr:uid="{00000000-0005-0000-0000-0000D20F0000}"/>
    <cellStyle name="20% - Accent3 52 2 4 2" xfId="19089" xr:uid="{00000000-0005-0000-0000-0000D30F0000}"/>
    <cellStyle name="20% - Accent3 52 2 5" xfId="5807" xr:uid="{00000000-0005-0000-0000-0000D40F0000}"/>
    <cellStyle name="20% - Accent3 52 2 5 2" xfId="17095" xr:uid="{00000000-0005-0000-0000-0000D50F0000}"/>
    <cellStyle name="20% - Accent3 52 2 6" xfId="15101" xr:uid="{00000000-0005-0000-0000-0000D60F0000}"/>
    <cellStyle name="20% - Accent3 52 3" xfId="10792" xr:uid="{00000000-0005-0000-0000-0000D70F0000}"/>
    <cellStyle name="20% - Accent3 52 3 2" xfId="22080" xr:uid="{00000000-0005-0000-0000-0000D80F0000}"/>
    <cellStyle name="20% - Accent3 52 4" xfId="8798" xr:uid="{00000000-0005-0000-0000-0000D90F0000}"/>
    <cellStyle name="20% - Accent3 52 4 2" xfId="20086" xr:uid="{00000000-0005-0000-0000-0000DA0F0000}"/>
    <cellStyle name="20% - Accent3 52 5" xfId="6804" xr:uid="{00000000-0005-0000-0000-0000DB0F0000}"/>
    <cellStyle name="20% - Accent3 52 5 2" xfId="18092" xr:uid="{00000000-0005-0000-0000-0000DC0F0000}"/>
    <cellStyle name="20% - Accent3 52 6" xfId="4810" xr:uid="{00000000-0005-0000-0000-0000DD0F0000}"/>
    <cellStyle name="20% - Accent3 52 6 2" xfId="16098" xr:uid="{00000000-0005-0000-0000-0000DE0F0000}"/>
    <cellStyle name="20% - Accent3 52 7" xfId="14104" xr:uid="{00000000-0005-0000-0000-0000DF0F0000}"/>
    <cellStyle name="20% - Accent3 52 8" xfId="12790" xr:uid="{00000000-0005-0000-0000-0000E00F0000}"/>
    <cellStyle name="20% - Accent3 53" xfId="855" xr:uid="{00000000-0005-0000-0000-0000E10F0000}"/>
    <cellStyle name="20% - Accent3 53 2" xfId="3811" xr:uid="{00000000-0005-0000-0000-0000E20F0000}"/>
    <cellStyle name="20% - Accent3 53 2 2" xfId="11790" xr:uid="{00000000-0005-0000-0000-0000E30F0000}"/>
    <cellStyle name="20% - Accent3 53 2 2 2" xfId="23078" xr:uid="{00000000-0005-0000-0000-0000E40F0000}"/>
    <cellStyle name="20% - Accent3 53 2 3" xfId="9796" xr:uid="{00000000-0005-0000-0000-0000E50F0000}"/>
    <cellStyle name="20% - Accent3 53 2 3 2" xfId="21084" xr:uid="{00000000-0005-0000-0000-0000E60F0000}"/>
    <cellStyle name="20% - Accent3 53 2 4" xfId="7802" xr:uid="{00000000-0005-0000-0000-0000E70F0000}"/>
    <cellStyle name="20% - Accent3 53 2 4 2" xfId="19090" xr:uid="{00000000-0005-0000-0000-0000E80F0000}"/>
    <cellStyle name="20% - Accent3 53 2 5" xfId="5808" xr:uid="{00000000-0005-0000-0000-0000E90F0000}"/>
    <cellStyle name="20% - Accent3 53 2 5 2" xfId="17096" xr:uid="{00000000-0005-0000-0000-0000EA0F0000}"/>
    <cellStyle name="20% - Accent3 53 2 6" xfId="15102" xr:uid="{00000000-0005-0000-0000-0000EB0F0000}"/>
    <cellStyle name="20% - Accent3 53 3" xfId="10793" xr:uid="{00000000-0005-0000-0000-0000EC0F0000}"/>
    <cellStyle name="20% - Accent3 53 3 2" xfId="22081" xr:uid="{00000000-0005-0000-0000-0000ED0F0000}"/>
    <cellStyle name="20% - Accent3 53 4" xfId="8799" xr:uid="{00000000-0005-0000-0000-0000EE0F0000}"/>
    <cellStyle name="20% - Accent3 53 4 2" xfId="20087" xr:uid="{00000000-0005-0000-0000-0000EF0F0000}"/>
    <cellStyle name="20% - Accent3 53 5" xfId="6805" xr:uid="{00000000-0005-0000-0000-0000F00F0000}"/>
    <cellStyle name="20% - Accent3 53 5 2" xfId="18093" xr:uid="{00000000-0005-0000-0000-0000F10F0000}"/>
    <cellStyle name="20% - Accent3 53 6" xfId="4811" xr:uid="{00000000-0005-0000-0000-0000F20F0000}"/>
    <cellStyle name="20% - Accent3 53 6 2" xfId="16099" xr:uid="{00000000-0005-0000-0000-0000F30F0000}"/>
    <cellStyle name="20% - Accent3 53 7" xfId="14105" xr:uid="{00000000-0005-0000-0000-0000F40F0000}"/>
    <cellStyle name="20% - Accent3 53 8" xfId="12791" xr:uid="{00000000-0005-0000-0000-0000F50F0000}"/>
    <cellStyle name="20% - Accent3 54" xfId="856" xr:uid="{00000000-0005-0000-0000-0000F60F0000}"/>
    <cellStyle name="20% - Accent3 54 2" xfId="3812" xr:uid="{00000000-0005-0000-0000-0000F70F0000}"/>
    <cellStyle name="20% - Accent3 54 2 2" xfId="11791" xr:uid="{00000000-0005-0000-0000-0000F80F0000}"/>
    <cellStyle name="20% - Accent3 54 2 2 2" xfId="23079" xr:uid="{00000000-0005-0000-0000-0000F90F0000}"/>
    <cellStyle name="20% - Accent3 54 2 3" xfId="9797" xr:uid="{00000000-0005-0000-0000-0000FA0F0000}"/>
    <cellStyle name="20% - Accent3 54 2 3 2" xfId="21085" xr:uid="{00000000-0005-0000-0000-0000FB0F0000}"/>
    <cellStyle name="20% - Accent3 54 2 4" xfId="7803" xr:uid="{00000000-0005-0000-0000-0000FC0F0000}"/>
    <cellStyle name="20% - Accent3 54 2 4 2" xfId="19091" xr:uid="{00000000-0005-0000-0000-0000FD0F0000}"/>
    <cellStyle name="20% - Accent3 54 2 5" xfId="5809" xr:uid="{00000000-0005-0000-0000-0000FE0F0000}"/>
    <cellStyle name="20% - Accent3 54 2 5 2" xfId="17097" xr:uid="{00000000-0005-0000-0000-0000FF0F0000}"/>
    <cellStyle name="20% - Accent3 54 2 6" xfId="15103" xr:uid="{00000000-0005-0000-0000-000000100000}"/>
    <cellStyle name="20% - Accent3 54 3" xfId="10794" xr:uid="{00000000-0005-0000-0000-000001100000}"/>
    <cellStyle name="20% - Accent3 54 3 2" xfId="22082" xr:uid="{00000000-0005-0000-0000-000002100000}"/>
    <cellStyle name="20% - Accent3 54 4" xfId="8800" xr:uid="{00000000-0005-0000-0000-000003100000}"/>
    <cellStyle name="20% - Accent3 54 4 2" xfId="20088" xr:uid="{00000000-0005-0000-0000-000004100000}"/>
    <cellStyle name="20% - Accent3 54 5" xfId="6806" xr:uid="{00000000-0005-0000-0000-000005100000}"/>
    <cellStyle name="20% - Accent3 54 5 2" xfId="18094" xr:uid="{00000000-0005-0000-0000-000006100000}"/>
    <cellStyle name="20% - Accent3 54 6" xfId="4812" xr:uid="{00000000-0005-0000-0000-000007100000}"/>
    <cellStyle name="20% - Accent3 54 6 2" xfId="16100" xr:uid="{00000000-0005-0000-0000-000008100000}"/>
    <cellStyle name="20% - Accent3 54 7" xfId="14106" xr:uid="{00000000-0005-0000-0000-000009100000}"/>
    <cellStyle name="20% - Accent3 54 8" xfId="12792" xr:uid="{00000000-0005-0000-0000-00000A100000}"/>
    <cellStyle name="20% - Accent3 55" xfId="857" xr:uid="{00000000-0005-0000-0000-00000B100000}"/>
    <cellStyle name="20% - Accent3 55 2" xfId="3813" xr:uid="{00000000-0005-0000-0000-00000C100000}"/>
    <cellStyle name="20% - Accent3 55 2 2" xfId="11792" xr:uid="{00000000-0005-0000-0000-00000D100000}"/>
    <cellStyle name="20% - Accent3 55 2 2 2" xfId="23080" xr:uid="{00000000-0005-0000-0000-00000E100000}"/>
    <cellStyle name="20% - Accent3 55 2 3" xfId="9798" xr:uid="{00000000-0005-0000-0000-00000F100000}"/>
    <cellStyle name="20% - Accent3 55 2 3 2" xfId="21086" xr:uid="{00000000-0005-0000-0000-000010100000}"/>
    <cellStyle name="20% - Accent3 55 2 4" xfId="7804" xr:uid="{00000000-0005-0000-0000-000011100000}"/>
    <cellStyle name="20% - Accent3 55 2 4 2" xfId="19092" xr:uid="{00000000-0005-0000-0000-000012100000}"/>
    <cellStyle name="20% - Accent3 55 2 5" xfId="5810" xr:uid="{00000000-0005-0000-0000-000013100000}"/>
    <cellStyle name="20% - Accent3 55 2 5 2" xfId="17098" xr:uid="{00000000-0005-0000-0000-000014100000}"/>
    <cellStyle name="20% - Accent3 55 2 6" xfId="15104" xr:uid="{00000000-0005-0000-0000-000015100000}"/>
    <cellStyle name="20% - Accent3 55 3" xfId="10795" xr:uid="{00000000-0005-0000-0000-000016100000}"/>
    <cellStyle name="20% - Accent3 55 3 2" xfId="22083" xr:uid="{00000000-0005-0000-0000-000017100000}"/>
    <cellStyle name="20% - Accent3 55 4" xfId="8801" xr:uid="{00000000-0005-0000-0000-000018100000}"/>
    <cellStyle name="20% - Accent3 55 4 2" xfId="20089" xr:uid="{00000000-0005-0000-0000-000019100000}"/>
    <cellStyle name="20% - Accent3 55 5" xfId="6807" xr:uid="{00000000-0005-0000-0000-00001A100000}"/>
    <cellStyle name="20% - Accent3 55 5 2" xfId="18095" xr:uid="{00000000-0005-0000-0000-00001B100000}"/>
    <cellStyle name="20% - Accent3 55 6" xfId="4813" xr:uid="{00000000-0005-0000-0000-00001C100000}"/>
    <cellStyle name="20% - Accent3 55 6 2" xfId="16101" xr:uid="{00000000-0005-0000-0000-00001D100000}"/>
    <cellStyle name="20% - Accent3 55 7" xfId="14107" xr:uid="{00000000-0005-0000-0000-00001E100000}"/>
    <cellStyle name="20% - Accent3 55 8" xfId="12793" xr:uid="{00000000-0005-0000-0000-00001F100000}"/>
    <cellStyle name="20% - Accent3 56" xfId="858" xr:uid="{00000000-0005-0000-0000-000020100000}"/>
    <cellStyle name="20% - Accent3 56 2" xfId="3814" xr:uid="{00000000-0005-0000-0000-000021100000}"/>
    <cellStyle name="20% - Accent3 56 2 2" xfId="11793" xr:uid="{00000000-0005-0000-0000-000022100000}"/>
    <cellStyle name="20% - Accent3 56 2 2 2" xfId="23081" xr:uid="{00000000-0005-0000-0000-000023100000}"/>
    <cellStyle name="20% - Accent3 56 2 3" xfId="9799" xr:uid="{00000000-0005-0000-0000-000024100000}"/>
    <cellStyle name="20% - Accent3 56 2 3 2" xfId="21087" xr:uid="{00000000-0005-0000-0000-000025100000}"/>
    <cellStyle name="20% - Accent3 56 2 4" xfId="7805" xr:uid="{00000000-0005-0000-0000-000026100000}"/>
    <cellStyle name="20% - Accent3 56 2 4 2" xfId="19093" xr:uid="{00000000-0005-0000-0000-000027100000}"/>
    <cellStyle name="20% - Accent3 56 2 5" xfId="5811" xr:uid="{00000000-0005-0000-0000-000028100000}"/>
    <cellStyle name="20% - Accent3 56 2 5 2" xfId="17099" xr:uid="{00000000-0005-0000-0000-000029100000}"/>
    <cellStyle name="20% - Accent3 56 2 6" xfId="15105" xr:uid="{00000000-0005-0000-0000-00002A100000}"/>
    <cellStyle name="20% - Accent3 56 3" xfId="10796" xr:uid="{00000000-0005-0000-0000-00002B100000}"/>
    <cellStyle name="20% - Accent3 56 3 2" xfId="22084" xr:uid="{00000000-0005-0000-0000-00002C100000}"/>
    <cellStyle name="20% - Accent3 56 4" xfId="8802" xr:uid="{00000000-0005-0000-0000-00002D100000}"/>
    <cellStyle name="20% - Accent3 56 4 2" xfId="20090" xr:uid="{00000000-0005-0000-0000-00002E100000}"/>
    <cellStyle name="20% - Accent3 56 5" xfId="6808" xr:uid="{00000000-0005-0000-0000-00002F100000}"/>
    <cellStyle name="20% - Accent3 56 5 2" xfId="18096" xr:uid="{00000000-0005-0000-0000-000030100000}"/>
    <cellStyle name="20% - Accent3 56 6" xfId="4814" xr:uid="{00000000-0005-0000-0000-000031100000}"/>
    <cellStyle name="20% - Accent3 56 6 2" xfId="16102" xr:uid="{00000000-0005-0000-0000-000032100000}"/>
    <cellStyle name="20% - Accent3 56 7" xfId="14108" xr:uid="{00000000-0005-0000-0000-000033100000}"/>
    <cellStyle name="20% - Accent3 56 8" xfId="12794" xr:uid="{00000000-0005-0000-0000-000034100000}"/>
    <cellStyle name="20% - Accent3 57" xfId="859" xr:uid="{00000000-0005-0000-0000-000035100000}"/>
    <cellStyle name="20% - Accent3 57 2" xfId="3815" xr:uid="{00000000-0005-0000-0000-000036100000}"/>
    <cellStyle name="20% - Accent3 57 2 2" xfId="11794" xr:uid="{00000000-0005-0000-0000-000037100000}"/>
    <cellStyle name="20% - Accent3 57 2 2 2" xfId="23082" xr:uid="{00000000-0005-0000-0000-000038100000}"/>
    <cellStyle name="20% - Accent3 57 2 3" xfId="9800" xr:uid="{00000000-0005-0000-0000-000039100000}"/>
    <cellStyle name="20% - Accent3 57 2 3 2" xfId="21088" xr:uid="{00000000-0005-0000-0000-00003A100000}"/>
    <cellStyle name="20% - Accent3 57 2 4" xfId="7806" xr:uid="{00000000-0005-0000-0000-00003B100000}"/>
    <cellStyle name="20% - Accent3 57 2 4 2" xfId="19094" xr:uid="{00000000-0005-0000-0000-00003C100000}"/>
    <cellStyle name="20% - Accent3 57 2 5" xfId="5812" xr:uid="{00000000-0005-0000-0000-00003D100000}"/>
    <cellStyle name="20% - Accent3 57 2 5 2" xfId="17100" xr:uid="{00000000-0005-0000-0000-00003E100000}"/>
    <cellStyle name="20% - Accent3 57 2 6" xfId="15106" xr:uid="{00000000-0005-0000-0000-00003F100000}"/>
    <cellStyle name="20% - Accent3 57 3" xfId="10797" xr:uid="{00000000-0005-0000-0000-000040100000}"/>
    <cellStyle name="20% - Accent3 57 3 2" xfId="22085" xr:uid="{00000000-0005-0000-0000-000041100000}"/>
    <cellStyle name="20% - Accent3 57 4" xfId="8803" xr:uid="{00000000-0005-0000-0000-000042100000}"/>
    <cellStyle name="20% - Accent3 57 4 2" xfId="20091" xr:uid="{00000000-0005-0000-0000-000043100000}"/>
    <cellStyle name="20% - Accent3 57 5" xfId="6809" xr:uid="{00000000-0005-0000-0000-000044100000}"/>
    <cellStyle name="20% - Accent3 57 5 2" xfId="18097" xr:uid="{00000000-0005-0000-0000-000045100000}"/>
    <cellStyle name="20% - Accent3 57 6" xfId="4815" xr:uid="{00000000-0005-0000-0000-000046100000}"/>
    <cellStyle name="20% - Accent3 57 6 2" xfId="16103" xr:uid="{00000000-0005-0000-0000-000047100000}"/>
    <cellStyle name="20% - Accent3 57 7" xfId="14109" xr:uid="{00000000-0005-0000-0000-000048100000}"/>
    <cellStyle name="20% - Accent3 57 8" xfId="12795" xr:uid="{00000000-0005-0000-0000-000049100000}"/>
    <cellStyle name="20% - Accent3 58" xfId="860" xr:uid="{00000000-0005-0000-0000-00004A100000}"/>
    <cellStyle name="20% - Accent3 58 2" xfId="3816" xr:uid="{00000000-0005-0000-0000-00004B100000}"/>
    <cellStyle name="20% - Accent3 58 2 2" xfId="11795" xr:uid="{00000000-0005-0000-0000-00004C100000}"/>
    <cellStyle name="20% - Accent3 58 2 2 2" xfId="23083" xr:uid="{00000000-0005-0000-0000-00004D100000}"/>
    <cellStyle name="20% - Accent3 58 2 3" xfId="9801" xr:uid="{00000000-0005-0000-0000-00004E100000}"/>
    <cellStyle name="20% - Accent3 58 2 3 2" xfId="21089" xr:uid="{00000000-0005-0000-0000-00004F100000}"/>
    <cellStyle name="20% - Accent3 58 2 4" xfId="7807" xr:uid="{00000000-0005-0000-0000-000050100000}"/>
    <cellStyle name="20% - Accent3 58 2 4 2" xfId="19095" xr:uid="{00000000-0005-0000-0000-000051100000}"/>
    <cellStyle name="20% - Accent3 58 2 5" xfId="5813" xr:uid="{00000000-0005-0000-0000-000052100000}"/>
    <cellStyle name="20% - Accent3 58 2 5 2" xfId="17101" xr:uid="{00000000-0005-0000-0000-000053100000}"/>
    <cellStyle name="20% - Accent3 58 2 6" xfId="15107" xr:uid="{00000000-0005-0000-0000-000054100000}"/>
    <cellStyle name="20% - Accent3 58 3" xfId="10798" xr:uid="{00000000-0005-0000-0000-000055100000}"/>
    <cellStyle name="20% - Accent3 58 3 2" xfId="22086" xr:uid="{00000000-0005-0000-0000-000056100000}"/>
    <cellStyle name="20% - Accent3 58 4" xfId="8804" xr:uid="{00000000-0005-0000-0000-000057100000}"/>
    <cellStyle name="20% - Accent3 58 4 2" xfId="20092" xr:uid="{00000000-0005-0000-0000-000058100000}"/>
    <cellStyle name="20% - Accent3 58 5" xfId="6810" xr:uid="{00000000-0005-0000-0000-000059100000}"/>
    <cellStyle name="20% - Accent3 58 5 2" xfId="18098" xr:uid="{00000000-0005-0000-0000-00005A100000}"/>
    <cellStyle name="20% - Accent3 58 6" xfId="4816" xr:uid="{00000000-0005-0000-0000-00005B100000}"/>
    <cellStyle name="20% - Accent3 58 6 2" xfId="16104" xr:uid="{00000000-0005-0000-0000-00005C100000}"/>
    <cellStyle name="20% - Accent3 58 7" xfId="14110" xr:uid="{00000000-0005-0000-0000-00005D100000}"/>
    <cellStyle name="20% - Accent3 58 8" xfId="12796" xr:uid="{00000000-0005-0000-0000-00005E100000}"/>
    <cellStyle name="20% - Accent3 59" xfId="861" xr:uid="{00000000-0005-0000-0000-00005F100000}"/>
    <cellStyle name="20% - Accent3 59 2" xfId="3817" xr:uid="{00000000-0005-0000-0000-000060100000}"/>
    <cellStyle name="20% - Accent3 59 2 2" xfId="11796" xr:uid="{00000000-0005-0000-0000-000061100000}"/>
    <cellStyle name="20% - Accent3 59 2 2 2" xfId="23084" xr:uid="{00000000-0005-0000-0000-000062100000}"/>
    <cellStyle name="20% - Accent3 59 2 3" xfId="9802" xr:uid="{00000000-0005-0000-0000-000063100000}"/>
    <cellStyle name="20% - Accent3 59 2 3 2" xfId="21090" xr:uid="{00000000-0005-0000-0000-000064100000}"/>
    <cellStyle name="20% - Accent3 59 2 4" xfId="7808" xr:uid="{00000000-0005-0000-0000-000065100000}"/>
    <cellStyle name="20% - Accent3 59 2 4 2" xfId="19096" xr:uid="{00000000-0005-0000-0000-000066100000}"/>
    <cellStyle name="20% - Accent3 59 2 5" xfId="5814" xr:uid="{00000000-0005-0000-0000-000067100000}"/>
    <cellStyle name="20% - Accent3 59 2 5 2" xfId="17102" xr:uid="{00000000-0005-0000-0000-000068100000}"/>
    <cellStyle name="20% - Accent3 59 2 6" xfId="15108" xr:uid="{00000000-0005-0000-0000-000069100000}"/>
    <cellStyle name="20% - Accent3 59 3" xfId="10799" xr:uid="{00000000-0005-0000-0000-00006A100000}"/>
    <cellStyle name="20% - Accent3 59 3 2" xfId="22087" xr:uid="{00000000-0005-0000-0000-00006B100000}"/>
    <cellStyle name="20% - Accent3 59 4" xfId="8805" xr:uid="{00000000-0005-0000-0000-00006C100000}"/>
    <cellStyle name="20% - Accent3 59 4 2" xfId="20093" xr:uid="{00000000-0005-0000-0000-00006D100000}"/>
    <cellStyle name="20% - Accent3 59 5" xfId="6811" xr:uid="{00000000-0005-0000-0000-00006E100000}"/>
    <cellStyle name="20% - Accent3 59 5 2" xfId="18099" xr:uid="{00000000-0005-0000-0000-00006F100000}"/>
    <cellStyle name="20% - Accent3 59 6" xfId="4817" xr:uid="{00000000-0005-0000-0000-000070100000}"/>
    <cellStyle name="20% - Accent3 59 6 2" xfId="16105" xr:uid="{00000000-0005-0000-0000-000071100000}"/>
    <cellStyle name="20% - Accent3 59 7" xfId="14111" xr:uid="{00000000-0005-0000-0000-000072100000}"/>
    <cellStyle name="20% - Accent3 59 8" xfId="12797" xr:uid="{00000000-0005-0000-0000-000073100000}"/>
    <cellStyle name="20% - Accent3 6" xfId="862" xr:uid="{00000000-0005-0000-0000-000074100000}"/>
    <cellStyle name="20% - Accent3 6 10" xfId="24575" xr:uid="{00000000-0005-0000-0000-000075100000}"/>
    <cellStyle name="20% - Accent3 6 11" xfId="24965" xr:uid="{00000000-0005-0000-0000-000076100000}"/>
    <cellStyle name="20% - Accent3 6 2" xfId="3818" xr:uid="{00000000-0005-0000-0000-000077100000}"/>
    <cellStyle name="20% - Accent3 6 2 2" xfId="11797" xr:uid="{00000000-0005-0000-0000-000078100000}"/>
    <cellStyle name="20% - Accent3 6 2 2 2" xfId="23085" xr:uid="{00000000-0005-0000-0000-000079100000}"/>
    <cellStyle name="20% - Accent3 6 2 3" xfId="9803" xr:uid="{00000000-0005-0000-0000-00007A100000}"/>
    <cellStyle name="20% - Accent3 6 2 3 2" xfId="21091" xr:uid="{00000000-0005-0000-0000-00007B100000}"/>
    <cellStyle name="20% - Accent3 6 2 4" xfId="7809" xr:uid="{00000000-0005-0000-0000-00007C100000}"/>
    <cellStyle name="20% - Accent3 6 2 4 2" xfId="19097" xr:uid="{00000000-0005-0000-0000-00007D100000}"/>
    <cellStyle name="20% - Accent3 6 2 5" xfId="5815" xr:uid="{00000000-0005-0000-0000-00007E100000}"/>
    <cellStyle name="20% - Accent3 6 2 5 2" xfId="17103" xr:uid="{00000000-0005-0000-0000-00007F100000}"/>
    <cellStyle name="20% - Accent3 6 2 6" xfId="15109" xr:uid="{00000000-0005-0000-0000-000080100000}"/>
    <cellStyle name="20% - Accent3 6 2 7" xfId="24336" xr:uid="{00000000-0005-0000-0000-000081100000}"/>
    <cellStyle name="20% - Accent3 6 2 8" xfId="24800" xr:uid="{00000000-0005-0000-0000-000082100000}"/>
    <cellStyle name="20% - Accent3 6 2 9" xfId="25167" xr:uid="{00000000-0005-0000-0000-000083100000}"/>
    <cellStyle name="20% - Accent3 6 3" xfId="10800" xr:uid="{00000000-0005-0000-0000-000084100000}"/>
    <cellStyle name="20% - Accent3 6 3 2" xfId="22088" xr:uid="{00000000-0005-0000-0000-000085100000}"/>
    <cellStyle name="20% - Accent3 6 4" xfId="8806" xr:uid="{00000000-0005-0000-0000-000086100000}"/>
    <cellStyle name="20% - Accent3 6 4 2" xfId="20094" xr:uid="{00000000-0005-0000-0000-000087100000}"/>
    <cellStyle name="20% - Accent3 6 5" xfId="6812" xr:uid="{00000000-0005-0000-0000-000088100000}"/>
    <cellStyle name="20% - Accent3 6 5 2" xfId="18100" xr:uid="{00000000-0005-0000-0000-000089100000}"/>
    <cellStyle name="20% - Accent3 6 6" xfId="4818" xr:uid="{00000000-0005-0000-0000-00008A100000}"/>
    <cellStyle name="20% - Accent3 6 6 2" xfId="16106" xr:uid="{00000000-0005-0000-0000-00008B100000}"/>
    <cellStyle name="20% - Accent3 6 7" xfId="14112" xr:uid="{00000000-0005-0000-0000-00008C100000}"/>
    <cellStyle name="20% - Accent3 6 8" xfId="12798" xr:uid="{00000000-0005-0000-0000-00008D100000}"/>
    <cellStyle name="20% - Accent3 6 9" xfId="23948" xr:uid="{00000000-0005-0000-0000-00008E100000}"/>
    <cellStyle name="20% - Accent3 60" xfId="863" xr:uid="{00000000-0005-0000-0000-00008F100000}"/>
    <cellStyle name="20% - Accent3 60 2" xfId="3819" xr:uid="{00000000-0005-0000-0000-000090100000}"/>
    <cellStyle name="20% - Accent3 60 2 2" xfId="11798" xr:uid="{00000000-0005-0000-0000-000091100000}"/>
    <cellStyle name="20% - Accent3 60 2 2 2" xfId="23086" xr:uid="{00000000-0005-0000-0000-000092100000}"/>
    <cellStyle name="20% - Accent3 60 2 3" xfId="9804" xr:uid="{00000000-0005-0000-0000-000093100000}"/>
    <cellStyle name="20% - Accent3 60 2 3 2" xfId="21092" xr:uid="{00000000-0005-0000-0000-000094100000}"/>
    <cellStyle name="20% - Accent3 60 2 4" xfId="7810" xr:uid="{00000000-0005-0000-0000-000095100000}"/>
    <cellStyle name="20% - Accent3 60 2 4 2" xfId="19098" xr:uid="{00000000-0005-0000-0000-000096100000}"/>
    <cellStyle name="20% - Accent3 60 2 5" xfId="5816" xr:uid="{00000000-0005-0000-0000-000097100000}"/>
    <cellStyle name="20% - Accent3 60 2 5 2" xfId="17104" xr:uid="{00000000-0005-0000-0000-000098100000}"/>
    <cellStyle name="20% - Accent3 60 2 6" xfId="15110" xr:uid="{00000000-0005-0000-0000-000099100000}"/>
    <cellStyle name="20% - Accent3 60 3" xfId="10801" xr:uid="{00000000-0005-0000-0000-00009A100000}"/>
    <cellStyle name="20% - Accent3 60 3 2" xfId="22089" xr:uid="{00000000-0005-0000-0000-00009B100000}"/>
    <cellStyle name="20% - Accent3 60 4" xfId="8807" xr:uid="{00000000-0005-0000-0000-00009C100000}"/>
    <cellStyle name="20% - Accent3 60 4 2" xfId="20095" xr:uid="{00000000-0005-0000-0000-00009D100000}"/>
    <cellStyle name="20% - Accent3 60 5" xfId="6813" xr:uid="{00000000-0005-0000-0000-00009E100000}"/>
    <cellStyle name="20% - Accent3 60 5 2" xfId="18101" xr:uid="{00000000-0005-0000-0000-00009F100000}"/>
    <cellStyle name="20% - Accent3 60 6" xfId="4819" xr:uid="{00000000-0005-0000-0000-0000A0100000}"/>
    <cellStyle name="20% - Accent3 60 6 2" xfId="16107" xr:uid="{00000000-0005-0000-0000-0000A1100000}"/>
    <cellStyle name="20% - Accent3 60 7" xfId="14113" xr:uid="{00000000-0005-0000-0000-0000A2100000}"/>
    <cellStyle name="20% - Accent3 60 8" xfId="12799" xr:uid="{00000000-0005-0000-0000-0000A3100000}"/>
    <cellStyle name="20% - Accent3 61" xfId="864" xr:uid="{00000000-0005-0000-0000-0000A4100000}"/>
    <cellStyle name="20% - Accent3 61 2" xfId="3820" xr:uid="{00000000-0005-0000-0000-0000A5100000}"/>
    <cellStyle name="20% - Accent3 61 2 2" xfId="11799" xr:uid="{00000000-0005-0000-0000-0000A6100000}"/>
    <cellStyle name="20% - Accent3 61 2 2 2" xfId="23087" xr:uid="{00000000-0005-0000-0000-0000A7100000}"/>
    <cellStyle name="20% - Accent3 61 2 3" xfId="9805" xr:uid="{00000000-0005-0000-0000-0000A8100000}"/>
    <cellStyle name="20% - Accent3 61 2 3 2" xfId="21093" xr:uid="{00000000-0005-0000-0000-0000A9100000}"/>
    <cellStyle name="20% - Accent3 61 2 4" xfId="7811" xr:uid="{00000000-0005-0000-0000-0000AA100000}"/>
    <cellStyle name="20% - Accent3 61 2 4 2" xfId="19099" xr:uid="{00000000-0005-0000-0000-0000AB100000}"/>
    <cellStyle name="20% - Accent3 61 2 5" xfId="5817" xr:uid="{00000000-0005-0000-0000-0000AC100000}"/>
    <cellStyle name="20% - Accent3 61 2 5 2" xfId="17105" xr:uid="{00000000-0005-0000-0000-0000AD100000}"/>
    <cellStyle name="20% - Accent3 61 2 6" xfId="15111" xr:uid="{00000000-0005-0000-0000-0000AE100000}"/>
    <cellStyle name="20% - Accent3 61 3" xfId="10802" xr:uid="{00000000-0005-0000-0000-0000AF100000}"/>
    <cellStyle name="20% - Accent3 61 3 2" xfId="22090" xr:uid="{00000000-0005-0000-0000-0000B0100000}"/>
    <cellStyle name="20% - Accent3 61 4" xfId="8808" xr:uid="{00000000-0005-0000-0000-0000B1100000}"/>
    <cellStyle name="20% - Accent3 61 4 2" xfId="20096" xr:uid="{00000000-0005-0000-0000-0000B2100000}"/>
    <cellStyle name="20% - Accent3 61 5" xfId="6814" xr:uid="{00000000-0005-0000-0000-0000B3100000}"/>
    <cellStyle name="20% - Accent3 61 5 2" xfId="18102" xr:uid="{00000000-0005-0000-0000-0000B4100000}"/>
    <cellStyle name="20% - Accent3 61 6" xfId="4820" xr:uid="{00000000-0005-0000-0000-0000B5100000}"/>
    <cellStyle name="20% - Accent3 61 6 2" xfId="16108" xr:uid="{00000000-0005-0000-0000-0000B6100000}"/>
    <cellStyle name="20% - Accent3 61 7" xfId="14114" xr:uid="{00000000-0005-0000-0000-0000B7100000}"/>
    <cellStyle name="20% - Accent3 61 8" xfId="12800" xr:uid="{00000000-0005-0000-0000-0000B8100000}"/>
    <cellStyle name="20% - Accent3 62" xfId="865" xr:uid="{00000000-0005-0000-0000-0000B9100000}"/>
    <cellStyle name="20% - Accent3 62 2" xfId="3821" xr:uid="{00000000-0005-0000-0000-0000BA100000}"/>
    <cellStyle name="20% - Accent3 62 2 2" xfId="11800" xr:uid="{00000000-0005-0000-0000-0000BB100000}"/>
    <cellStyle name="20% - Accent3 62 2 2 2" xfId="23088" xr:uid="{00000000-0005-0000-0000-0000BC100000}"/>
    <cellStyle name="20% - Accent3 62 2 3" xfId="9806" xr:uid="{00000000-0005-0000-0000-0000BD100000}"/>
    <cellStyle name="20% - Accent3 62 2 3 2" xfId="21094" xr:uid="{00000000-0005-0000-0000-0000BE100000}"/>
    <cellStyle name="20% - Accent3 62 2 4" xfId="7812" xr:uid="{00000000-0005-0000-0000-0000BF100000}"/>
    <cellStyle name="20% - Accent3 62 2 4 2" xfId="19100" xr:uid="{00000000-0005-0000-0000-0000C0100000}"/>
    <cellStyle name="20% - Accent3 62 2 5" xfId="5818" xr:uid="{00000000-0005-0000-0000-0000C1100000}"/>
    <cellStyle name="20% - Accent3 62 2 5 2" xfId="17106" xr:uid="{00000000-0005-0000-0000-0000C2100000}"/>
    <cellStyle name="20% - Accent3 62 2 6" xfId="15112" xr:uid="{00000000-0005-0000-0000-0000C3100000}"/>
    <cellStyle name="20% - Accent3 62 3" xfId="10803" xr:uid="{00000000-0005-0000-0000-0000C4100000}"/>
    <cellStyle name="20% - Accent3 62 3 2" xfId="22091" xr:uid="{00000000-0005-0000-0000-0000C5100000}"/>
    <cellStyle name="20% - Accent3 62 4" xfId="8809" xr:uid="{00000000-0005-0000-0000-0000C6100000}"/>
    <cellStyle name="20% - Accent3 62 4 2" xfId="20097" xr:uid="{00000000-0005-0000-0000-0000C7100000}"/>
    <cellStyle name="20% - Accent3 62 5" xfId="6815" xr:uid="{00000000-0005-0000-0000-0000C8100000}"/>
    <cellStyle name="20% - Accent3 62 5 2" xfId="18103" xr:uid="{00000000-0005-0000-0000-0000C9100000}"/>
    <cellStyle name="20% - Accent3 62 6" xfId="4821" xr:uid="{00000000-0005-0000-0000-0000CA100000}"/>
    <cellStyle name="20% - Accent3 62 6 2" xfId="16109" xr:uid="{00000000-0005-0000-0000-0000CB100000}"/>
    <cellStyle name="20% - Accent3 62 7" xfId="14115" xr:uid="{00000000-0005-0000-0000-0000CC100000}"/>
    <cellStyle name="20% - Accent3 62 8" xfId="12801" xr:uid="{00000000-0005-0000-0000-0000CD100000}"/>
    <cellStyle name="20% - Accent3 63" xfId="866" xr:uid="{00000000-0005-0000-0000-0000CE100000}"/>
    <cellStyle name="20% - Accent3 63 2" xfId="3822" xr:uid="{00000000-0005-0000-0000-0000CF100000}"/>
    <cellStyle name="20% - Accent3 63 2 2" xfId="11801" xr:uid="{00000000-0005-0000-0000-0000D0100000}"/>
    <cellStyle name="20% - Accent3 63 2 2 2" xfId="23089" xr:uid="{00000000-0005-0000-0000-0000D1100000}"/>
    <cellStyle name="20% - Accent3 63 2 3" xfId="9807" xr:uid="{00000000-0005-0000-0000-0000D2100000}"/>
    <cellStyle name="20% - Accent3 63 2 3 2" xfId="21095" xr:uid="{00000000-0005-0000-0000-0000D3100000}"/>
    <cellStyle name="20% - Accent3 63 2 4" xfId="7813" xr:uid="{00000000-0005-0000-0000-0000D4100000}"/>
    <cellStyle name="20% - Accent3 63 2 4 2" xfId="19101" xr:uid="{00000000-0005-0000-0000-0000D5100000}"/>
    <cellStyle name="20% - Accent3 63 2 5" xfId="5819" xr:uid="{00000000-0005-0000-0000-0000D6100000}"/>
    <cellStyle name="20% - Accent3 63 2 5 2" xfId="17107" xr:uid="{00000000-0005-0000-0000-0000D7100000}"/>
    <cellStyle name="20% - Accent3 63 2 6" xfId="15113" xr:uid="{00000000-0005-0000-0000-0000D8100000}"/>
    <cellStyle name="20% - Accent3 63 3" xfId="10804" xr:uid="{00000000-0005-0000-0000-0000D9100000}"/>
    <cellStyle name="20% - Accent3 63 3 2" xfId="22092" xr:uid="{00000000-0005-0000-0000-0000DA100000}"/>
    <cellStyle name="20% - Accent3 63 4" xfId="8810" xr:uid="{00000000-0005-0000-0000-0000DB100000}"/>
    <cellStyle name="20% - Accent3 63 4 2" xfId="20098" xr:uid="{00000000-0005-0000-0000-0000DC100000}"/>
    <cellStyle name="20% - Accent3 63 5" xfId="6816" xr:uid="{00000000-0005-0000-0000-0000DD100000}"/>
    <cellStyle name="20% - Accent3 63 5 2" xfId="18104" xr:uid="{00000000-0005-0000-0000-0000DE100000}"/>
    <cellStyle name="20% - Accent3 63 6" xfId="4822" xr:uid="{00000000-0005-0000-0000-0000DF100000}"/>
    <cellStyle name="20% - Accent3 63 6 2" xfId="16110" xr:uid="{00000000-0005-0000-0000-0000E0100000}"/>
    <cellStyle name="20% - Accent3 63 7" xfId="14116" xr:uid="{00000000-0005-0000-0000-0000E1100000}"/>
    <cellStyle name="20% - Accent3 63 8" xfId="12802" xr:uid="{00000000-0005-0000-0000-0000E2100000}"/>
    <cellStyle name="20% - Accent3 64" xfId="867" xr:uid="{00000000-0005-0000-0000-0000E3100000}"/>
    <cellStyle name="20% - Accent3 64 2" xfId="3823" xr:uid="{00000000-0005-0000-0000-0000E4100000}"/>
    <cellStyle name="20% - Accent3 64 2 2" xfId="11802" xr:uid="{00000000-0005-0000-0000-0000E5100000}"/>
    <cellStyle name="20% - Accent3 64 2 2 2" xfId="23090" xr:uid="{00000000-0005-0000-0000-0000E6100000}"/>
    <cellStyle name="20% - Accent3 64 2 3" xfId="9808" xr:uid="{00000000-0005-0000-0000-0000E7100000}"/>
    <cellStyle name="20% - Accent3 64 2 3 2" xfId="21096" xr:uid="{00000000-0005-0000-0000-0000E8100000}"/>
    <cellStyle name="20% - Accent3 64 2 4" xfId="7814" xr:uid="{00000000-0005-0000-0000-0000E9100000}"/>
    <cellStyle name="20% - Accent3 64 2 4 2" xfId="19102" xr:uid="{00000000-0005-0000-0000-0000EA100000}"/>
    <cellStyle name="20% - Accent3 64 2 5" xfId="5820" xr:uid="{00000000-0005-0000-0000-0000EB100000}"/>
    <cellStyle name="20% - Accent3 64 2 5 2" xfId="17108" xr:uid="{00000000-0005-0000-0000-0000EC100000}"/>
    <cellStyle name="20% - Accent3 64 2 6" xfId="15114" xr:uid="{00000000-0005-0000-0000-0000ED100000}"/>
    <cellStyle name="20% - Accent3 64 3" xfId="10805" xr:uid="{00000000-0005-0000-0000-0000EE100000}"/>
    <cellStyle name="20% - Accent3 64 3 2" xfId="22093" xr:uid="{00000000-0005-0000-0000-0000EF100000}"/>
    <cellStyle name="20% - Accent3 64 4" xfId="8811" xr:uid="{00000000-0005-0000-0000-0000F0100000}"/>
    <cellStyle name="20% - Accent3 64 4 2" xfId="20099" xr:uid="{00000000-0005-0000-0000-0000F1100000}"/>
    <cellStyle name="20% - Accent3 64 5" xfId="6817" xr:uid="{00000000-0005-0000-0000-0000F2100000}"/>
    <cellStyle name="20% - Accent3 64 5 2" xfId="18105" xr:uid="{00000000-0005-0000-0000-0000F3100000}"/>
    <cellStyle name="20% - Accent3 64 6" xfId="4823" xr:uid="{00000000-0005-0000-0000-0000F4100000}"/>
    <cellStyle name="20% - Accent3 64 6 2" xfId="16111" xr:uid="{00000000-0005-0000-0000-0000F5100000}"/>
    <cellStyle name="20% - Accent3 64 7" xfId="14117" xr:uid="{00000000-0005-0000-0000-0000F6100000}"/>
    <cellStyle name="20% - Accent3 64 8" xfId="12803" xr:uid="{00000000-0005-0000-0000-0000F7100000}"/>
    <cellStyle name="20% - Accent3 65" xfId="868" xr:uid="{00000000-0005-0000-0000-0000F8100000}"/>
    <cellStyle name="20% - Accent3 65 2" xfId="3824" xr:uid="{00000000-0005-0000-0000-0000F9100000}"/>
    <cellStyle name="20% - Accent3 65 2 2" xfId="11803" xr:uid="{00000000-0005-0000-0000-0000FA100000}"/>
    <cellStyle name="20% - Accent3 65 2 2 2" xfId="23091" xr:uid="{00000000-0005-0000-0000-0000FB100000}"/>
    <cellStyle name="20% - Accent3 65 2 3" xfId="9809" xr:uid="{00000000-0005-0000-0000-0000FC100000}"/>
    <cellStyle name="20% - Accent3 65 2 3 2" xfId="21097" xr:uid="{00000000-0005-0000-0000-0000FD100000}"/>
    <cellStyle name="20% - Accent3 65 2 4" xfId="7815" xr:uid="{00000000-0005-0000-0000-0000FE100000}"/>
    <cellStyle name="20% - Accent3 65 2 4 2" xfId="19103" xr:uid="{00000000-0005-0000-0000-0000FF100000}"/>
    <cellStyle name="20% - Accent3 65 2 5" xfId="5821" xr:uid="{00000000-0005-0000-0000-000000110000}"/>
    <cellStyle name="20% - Accent3 65 2 5 2" xfId="17109" xr:uid="{00000000-0005-0000-0000-000001110000}"/>
    <cellStyle name="20% - Accent3 65 2 6" xfId="15115" xr:uid="{00000000-0005-0000-0000-000002110000}"/>
    <cellStyle name="20% - Accent3 65 3" xfId="10806" xr:uid="{00000000-0005-0000-0000-000003110000}"/>
    <cellStyle name="20% - Accent3 65 3 2" xfId="22094" xr:uid="{00000000-0005-0000-0000-000004110000}"/>
    <cellStyle name="20% - Accent3 65 4" xfId="8812" xr:uid="{00000000-0005-0000-0000-000005110000}"/>
    <cellStyle name="20% - Accent3 65 4 2" xfId="20100" xr:uid="{00000000-0005-0000-0000-000006110000}"/>
    <cellStyle name="20% - Accent3 65 5" xfId="6818" xr:uid="{00000000-0005-0000-0000-000007110000}"/>
    <cellStyle name="20% - Accent3 65 5 2" xfId="18106" xr:uid="{00000000-0005-0000-0000-000008110000}"/>
    <cellStyle name="20% - Accent3 65 6" xfId="4824" xr:uid="{00000000-0005-0000-0000-000009110000}"/>
    <cellStyle name="20% - Accent3 65 6 2" xfId="16112" xr:uid="{00000000-0005-0000-0000-00000A110000}"/>
    <cellStyle name="20% - Accent3 65 7" xfId="14118" xr:uid="{00000000-0005-0000-0000-00000B110000}"/>
    <cellStyle name="20% - Accent3 65 8" xfId="12804" xr:uid="{00000000-0005-0000-0000-00000C110000}"/>
    <cellStyle name="20% - Accent3 66" xfId="869" xr:uid="{00000000-0005-0000-0000-00000D110000}"/>
    <cellStyle name="20% - Accent3 66 2" xfId="3825" xr:uid="{00000000-0005-0000-0000-00000E110000}"/>
    <cellStyle name="20% - Accent3 66 2 2" xfId="11804" xr:uid="{00000000-0005-0000-0000-00000F110000}"/>
    <cellStyle name="20% - Accent3 66 2 2 2" xfId="23092" xr:uid="{00000000-0005-0000-0000-000010110000}"/>
    <cellStyle name="20% - Accent3 66 2 3" xfId="9810" xr:uid="{00000000-0005-0000-0000-000011110000}"/>
    <cellStyle name="20% - Accent3 66 2 3 2" xfId="21098" xr:uid="{00000000-0005-0000-0000-000012110000}"/>
    <cellStyle name="20% - Accent3 66 2 4" xfId="7816" xr:uid="{00000000-0005-0000-0000-000013110000}"/>
    <cellStyle name="20% - Accent3 66 2 4 2" xfId="19104" xr:uid="{00000000-0005-0000-0000-000014110000}"/>
    <cellStyle name="20% - Accent3 66 2 5" xfId="5822" xr:uid="{00000000-0005-0000-0000-000015110000}"/>
    <cellStyle name="20% - Accent3 66 2 5 2" xfId="17110" xr:uid="{00000000-0005-0000-0000-000016110000}"/>
    <cellStyle name="20% - Accent3 66 2 6" xfId="15116" xr:uid="{00000000-0005-0000-0000-000017110000}"/>
    <cellStyle name="20% - Accent3 66 3" xfId="10807" xr:uid="{00000000-0005-0000-0000-000018110000}"/>
    <cellStyle name="20% - Accent3 66 3 2" xfId="22095" xr:uid="{00000000-0005-0000-0000-000019110000}"/>
    <cellStyle name="20% - Accent3 66 4" xfId="8813" xr:uid="{00000000-0005-0000-0000-00001A110000}"/>
    <cellStyle name="20% - Accent3 66 4 2" xfId="20101" xr:uid="{00000000-0005-0000-0000-00001B110000}"/>
    <cellStyle name="20% - Accent3 66 5" xfId="6819" xr:uid="{00000000-0005-0000-0000-00001C110000}"/>
    <cellStyle name="20% - Accent3 66 5 2" xfId="18107" xr:uid="{00000000-0005-0000-0000-00001D110000}"/>
    <cellStyle name="20% - Accent3 66 6" xfId="4825" xr:uid="{00000000-0005-0000-0000-00001E110000}"/>
    <cellStyle name="20% - Accent3 66 6 2" xfId="16113" xr:uid="{00000000-0005-0000-0000-00001F110000}"/>
    <cellStyle name="20% - Accent3 66 7" xfId="14119" xr:uid="{00000000-0005-0000-0000-000020110000}"/>
    <cellStyle name="20% - Accent3 66 8" xfId="12805" xr:uid="{00000000-0005-0000-0000-000021110000}"/>
    <cellStyle name="20% - Accent3 67" xfId="870" xr:uid="{00000000-0005-0000-0000-000022110000}"/>
    <cellStyle name="20% - Accent3 67 2" xfId="3826" xr:uid="{00000000-0005-0000-0000-000023110000}"/>
    <cellStyle name="20% - Accent3 67 2 2" xfId="11805" xr:uid="{00000000-0005-0000-0000-000024110000}"/>
    <cellStyle name="20% - Accent3 67 2 2 2" xfId="23093" xr:uid="{00000000-0005-0000-0000-000025110000}"/>
    <cellStyle name="20% - Accent3 67 2 3" xfId="9811" xr:uid="{00000000-0005-0000-0000-000026110000}"/>
    <cellStyle name="20% - Accent3 67 2 3 2" xfId="21099" xr:uid="{00000000-0005-0000-0000-000027110000}"/>
    <cellStyle name="20% - Accent3 67 2 4" xfId="7817" xr:uid="{00000000-0005-0000-0000-000028110000}"/>
    <cellStyle name="20% - Accent3 67 2 4 2" xfId="19105" xr:uid="{00000000-0005-0000-0000-000029110000}"/>
    <cellStyle name="20% - Accent3 67 2 5" xfId="5823" xr:uid="{00000000-0005-0000-0000-00002A110000}"/>
    <cellStyle name="20% - Accent3 67 2 5 2" xfId="17111" xr:uid="{00000000-0005-0000-0000-00002B110000}"/>
    <cellStyle name="20% - Accent3 67 2 6" xfId="15117" xr:uid="{00000000-0005-0000-0000-00002C110000}"/>
    <cellStyle name="20% - Accent3 67 3" xfId="10808" xr:uid="{00000000-0005-0000-0000-00002D110000}"/>
    <cellStyle name="20% - Accent3 67 3 2" xfId="22096" xr:uid="{00000000-0005-0000-0000-00002E110000}"/>
    <cellStyle name="20% - Accent3 67 4" xfId="8814" xr:uid="{00000000-0005-0000-0000-00002F110000}"/>
    <cellStyle name="20% - Accent3 67 4 2" xfId="20102" xr:uid="{00000000-0005-0000-0000-000030110000}"/>
    <cellStyle name="20% - Accent3 67 5" xfId="6820" xr:uid="{00000000-0005-0000-0000-000031110000}"/>
    <cellStyle name="20% - Accent3 67 5 2" xfId="18108" xr:uid="{00000000-0005-0000-0000-000032110000}"/>
    <cellStyle name="20% - Accent3 67 6" xfId="4826" xr:uid="{00000000-0005-0000-0000-000033110000}"/>
    <cellStyle name="20% - Accent3 67 6 2" xfId="16114" xr:uid="{00000000-0005-0000-0000-000034110000}"/>
    <cellStyle name="20% - Accent3 67 7" xfId="14120" xr:uid="{00000000-0005-0000-0000-000035110000}"/>
    <cellStyle name="20% - Accent3 67 8" xfId="12806" xr:uid="{00000000-0005-0000-0000-000036110000}"/>
    <cellStyle name="20% - Accent3 68" xfId="871" xr:uid="{00000000-0005-0000-0000-000037110000}"/>
    <cellStyle name="20% - Accent3 68 2" xfId="3827" xr:uid="{00000000-0005-0000-0000-000038110000}"/>
    <cellStyle name="20% - Accent3 68 2 2" xfId="11806" xr:uid="{00000000-0005-0000-0000-000039110000}"/>
    <cellStyle name="20% - Accent3 68 2 2 2" xfId="23094" xr:uid="{00000000-0005-0000-0000-00003A110000}"/>
    <cellStyle name="20% - Accent3 68 2 3" xfId="9812" xr:uid="{00000000-0005-0000-0000-00003B110000}"/>
    <cellStyle name="20% - Accent3 68 2 3 2" xfId="21100" xr:uid="{00000000-0005-0000-0000-00003C110000}"/>
    <cellStyle name="20% - Accent3 68 2 4" xfId="7818" xr:uid="{00000000-0005-0000-0000-00003D110000}"/>
    <cellStyle name="20% - Accent3 68 2 4 2" xfId="19106" xr:uid="{00000000-0005-0000-0000-00003E110000}"/>
    <cellStyle name="20% - Accent3 68 2 5" xfId="5824" xr:uid="{00000000-0005-0000-0000-00003F110000}"/>
    <cellStyle name="20% - Accent3 68 2 5 2" xfId="17112" xr:uid="{00000000-0005-0000-0000-000040110000}"/>
    <cellStyle name="20% - Accent3 68 2 6" xfId="15118" xr:uid="{00000000-0005-0000-0000-000041110000}"/>
    <cellStyle name="20% - Accent3 68 3" xfId="10809" xr:uid="{00000000-0005-0000-0000-000042110000}"/>
    <cellStyle name="20% - Accent3 68 3 2" xfId="22097" xr:uid="{00000000-0005-0000-0000-000043110000}"/>
    <cellStyle name="20% - Accent3 68 4" xfId="8815" xr:uid="{00000000-0005-0000-0000-000044110000}"/>
    <cellStyle name="20% - Accent3 68 4 2" xfId="20103" xr:uid="{00000000-0005-0000-0000-000045110000}"/>
    <cellStyle name="20% - Accent3 68 5" xfId="6821" xr:uid="{00000000-0005-0000-0000-000046110000}"/>
    <cellStyle name="20% - Accent3 68 5 2" xfId="18109" xr:uid="{00000000-0005-0000-0000-000047110000}"/>
    <cellStyle name="20% - Accent3 68 6" xfId="4827" xr:uid="{00000000-0005-0000-0000-000048110000}"/>
    <cellStyle name="20% - Accent3 68 6 2" xfId="16115" xr:uid="{00000000-0005-0000-0000-000049110000}"/>
    <cellStyle name="20% - Accent3 68 7" xfId="14121" xr:uid="{00000000-0005-0000-0000-00004A110000}"/>
    <cellStyle name="20% - Accent3 68 8" xfId="12807" xr:uid="{00000000-0005-0000-0000-00004B110000}"/>
    <cellStyle name="20% - Accent3 69" xfId="872" xr:uid="{00000000-0005-0000-0000-00004C110000}"/>
    <cellStyle name="20% - Accent3 69 2" xfId="3828" xr:uid="{00000000-0005-0000-0000-00004D110000}"/>
    <cellStyle name="20% - Accent3 69 2 2" xfId="11807" xr:uid="{00000000-0005-0000-0000-00004E110000}"/>
    <cellStyle name="20% - Accent3 69 2 2 2" xfId="23095" xr:uid="{00000000-0005-0000-0000-00004F110000}"/>
    <cellStyle name="20% - Accent3 69 2 3" xfId="9813" xr:uid="{00000000-0005-0000-0000-000050110000}"/>
    <cellStyle name="20% - Accent3 69 2 3 2" xfId="21101" xr:uid="{00000000-0005-0000-0000-000051110000}"/>
    <cellStyle name="20% - Accent3 69 2 4" xfId="7819" xr:uid="{00000000-0005-0000-0000-000052110000}"/>
    <cellStyle name="20% - Accent3 69 2 4 2" xfId="19107" xr:uid="{00000000-0005-0000-0000-000053110000}"/>
    <cellStyle name="20% - Accent3 69 2 5" xfId="5825" xr:uid="{00000000-0005-0000-0000-000054110000}"/>
    <cellStyle name="20% - Accent3 69 2 5 2" xfId="17113" xr:uid="{00000000-0005-0000-0000-000055110000}"/>
    <cellStyle name="20% - Accent3 69 2 6" xfId="15119" xr:uid="{00000000-0005-0000-0000-000056110000}"/>
    <cellStyle name="20% - Accent3 69 3" xfId="10810" xr:uid="{00000000-0005-0000-0000-000057110000}"/>
    <cellStyle name="20% - Accent3 69 3 2" xfId="22098" xr:uid="{00000000-0005-0000-0000-000058110000}"/>
    <cellStyle name="20% - Accent3 69 4" xfId="8816" xr:uid="{00000000-0005-0000-0000-000059110000}"/>
    <cellStyle name="20% - Accent3 69 4 2" xfId="20104" xr:uid="{00000000-0005-0000-0000-00005A110000}"/>
    <cellStyle name="20% - Accent3 69 5" xfId="6822" xr:uid="{00000000-0005-0000-0000-00005B110000}"/>
    <cellStyle name="20% - Accent3 69 5 2" xfId="18110" xr:uid="{00000000-0005-0000-0000-00005C110000}"/>
    <cellStyle name="20% - Accent3 69 6" xfId="4828" xr:uid="{00000000-0005-0000-0000-00005D110000}"/>
    <cellStyle name="20% - Accent3 69 6 2" xfId="16116" xr:uid="{00000000-0005-0000-0000-00005E110000}"/>
    <cellStyle name="20% - Accent3 69 7" xfId="14122" xr:uid="{00000000-0005-0000-0000-00005F110000}"/>
    <cellStyle name="20% - Accent3 69 8" xfId="12808" xr:uid="{00000000-0005-0000-0000-000060110000}"/>
    <cellStyle name="20% - Accent3 7" xfId="873" xr:uid="{00000000-0005-0000-0000-000061110000}"/>
    <cellStyle name="20% - Accent3 7 10" xfId="24576" xr:uid="{00000000-0005-0000-0000-000062110000}"/>
    <cellStyle name="20% - Accent3 7 11" xfId="24966" xr:uid="{00000000-0005-0000-0000-000063110000}"/>
    <cellStyle name="20% - Accent3 7 2" xfId="3829" xr:uid="{00000000-0005-0000-0000-000064110000}"/>
    <cellStyle name="20% - Accent3 7 2 2" xfId="11808" xr:uid="{00000000-0005-0000-0000-000065110000}"/>
    <cellStyle name="20% - Accent3 7 2 2 2" xfId="23096" xr:uid="{00000000-0005-0000-0000-000066110000}"/>
    <cellStyle name="20% - Accent3 7 2 3" xfId="9814" xr:uid="{00000000-0005-0000-0000-000067110000}"/>
    <cellStyle name="20% - Accent3 7 2 3 2" xfId="21102" xr:uid="{00000000-0005-0000-0000-000068110000}"/>
    <cellStyle name="20% - Accent3 7 2 4" xfId="7820" xr:uid="{00000000-0005-0000-0000-000069110000}"/>
    <cellStyle name="20% - Accent3 7 2 4 2" xfId="19108" xr:uid="{00000000-0005-0000-0000-00006A110000}"/>
    <cellStyle name="20% - Accent3 7 2 5" xfId="5826" xr:uid="{00000000-0005-0000-0000-00006B110000}"/>
    <cellStyle name="20% - Accent3 7 2 5 2" xfId="17114" xr:uid="{00000000-0005-0000-0000-00006C110000}"/>
    <cellStyle name="20% - Accent3 7 2 6" xfId="15120" xr:uid="{00000000-0005-0000-0000-00006D110000}"/>
    <cellStyle name="20% - Accent3 7 2 7" xfId="24337" xr:uid="{00000000-0005-0000-0000-00006E110000}"/>
    <cellStyle name="20% - Accent3 7 2 8" xfId="24801" xr:uid="{00000000-0005-0000-0000-00006F110000}"/>
    <cellStyle name="20% - Accent3 7 2 9" xfId="25168" xr:uid="{00000000-0005-0000-0000-000070110000}"/>
    <cellStyle name="20% - Accent3 7 3" xfId="10811" xr:uid="{00000000-0005-0000-0000-000071110000}"/>
    <cellStyle name="20% - Accent3 7 3 2" xfId="22099" xr:uid="{00000000-0005-0000-0000-000072110000}"/>
    <cellStyle name="20% - Accent3 7 4" xfId="8817" xr:uid="{00000000-0005-0000-0000-000073110000}"/>
    <cellStyle name="20% - Accent3 7 4 2" xfId="20105" xr:uid="{00000000-0005-0000-0000-000074110000}"/>
    <cellStyle name="20% - Accent3 7 5" xfId="6823" xr:uid="{00000000-0005-0000-0000-000075110000}"/>
    <cellStyle name="20% - Accent3 7 5 2" xfId="18111" xr:uid="{00000000-0005-0000-0000-000076110000}"/>
    <cellStyle name="20% - Accent3 7 6" xfId="4829" xr:uid="{00000000-0005-0000-0000-000077110000}"/>
    <cellStyle name="20% - Accent3 7 6 2" xfId="16117" xr:uid="{00000000-0005-0000-0000-000078110000}"/>
    <cellStyle name="20% - Accent3 7 7" xfId="14123" xr:uid="{00000000-0005-0000-0000-000079110000}"/>
    <cellStyle name="20% - Accent3 7 8" xfId="12809" xr:uid="{00000000-0005-0000-0000-00007A110000}"/>
    <cellStyle name="20% - Accent3 7 9" xfId="23949" xr:uid="{00000000-0005-0000-0000-00007B110000}"/>
    <cellStyle name="20% - Accent3 70" xfId="874" xr:uid="{00000000-0005-0000-0000-00007C110000}"/>
    <cellStyle name="20% - Accent3 70 2" xfId="3830" xr:uid="{00000000-0005-0000-0000-00007D110000}"/>
    <cellStyle name="20% - Accent3 70 2 2" xfId="11809" xr:uid="{00000000-0005-0000-0000-00007E110000}"/>
    <cellStyle name="20% - Accent3 70 2 2 2" xfId="23097" xr:uid="{00000000-0005-0000-0000-00007F110000}"/>
    <cellStyle name="20% - Accent3 70 2 3" xfId="9815" xr:uid="{00000000-0005-0000-0000-000080110000}"/>
    <cellStyle name="20% - Accent3 70 2 3 2" xfId="21103" xr:uid="{00000000-0005-0000-0000-000081110000}"/>
    <cellStyle name="20% - Accent3 70 2 4" xfId="7821" xr:uid="{00000000-0005-0000-0000-000082110000}"/>
    <cellStyle name="20% - Accent3 70 2 4 2" xfId="19109" xr:uid="{00000000-0005-0000-0000-000083110000}"/>
    <cellStyle name="20% - Accent3 70 2 5" xfId="5827" xr:uid="{00000000-0005-0000-0000-000084110000}"/>
    <cellStyle name="20% - Accent3 70 2 5 2" xfId="17115" xr:uid="{00000000-0005-0000-0000-000085110000}"/>
    <cellStyle name="20% - Accent3 70 2 6" xfId="15121" xr:uid="{00000000-0005-0000-0000-000086110000}"/>
    <cellStyle name="20% - Accent3 70 3" xfId="10812" xr:uid="{00000000-0005-0000-0000-000087110000}"/>
    <cellStyle name="20% - Accent3 70 3 2" xfId="22100" xr:uid="{00000000-0005-0000-0000-000088110000}"/>
    <cellStyle name="20% - Accent3 70 4" xfId="8818" xr:uid="{00000000-0005-0000-0000-000089110000}"/>
    <cellStyle name="20% - Accent3 70 4 2" xfId="20106" xr:uid="{00000000-0005-0000-0000-00008A110000}"/>
    <cellStyle name="20% - Accent3 70 5" xfId="6824" xr:uid="{00000000-0005-0000-0000-00008B110000}"/>
    <cellStyle name="20% - Accent3 70 5 2" xfId="18112" xr:uid="{00000000-0005-0000-0000-00008C110000}"/>
    <cellStyle name="20% - Accent3 70 6" xfId="4830" xr:uid="{00000000-0005-0000-0000-00008D110000}"/>
    <cellStyle name="20% - Accent3 70 6 2" xfId="16118" xr:uid="{00000000-0005-0000-0000-00008E110000}"/>
    <cellStyle name="20% - Accent3 70 7" xfId="14124" xr:uid="{00000000-0005-0000-0000-00008F110000}"/>
    <cellStyle name="20% - Accent3 70 8" xfId="12810" xr:uid="{00000000-0005-0000-0000-000090110000}"/>
    <cellStyle name="20% - Accent3 71" xfId="875" xr:uid="{00000000-0005-0000-0000-000091110000}"/>
    <cellStyle name="20% - Accent3 71 2" xfId="3831" xr:uid="{00000000-0005-0000-0000-000092110000}"/>
    <cellStyle name="20% - Accent3 71 2 2" xfId="11810" xr:uid="{00000000-0005-0000-0000-000093110000}"/>
    <cellStyle name="20% - Accent3 71 2 2 2" xfId="23098" xr:uid="{00000000-0005-0000-0000-000094110000}"/>
    <cellStyle name="20% - Accent3 71 2 3" xfId="9816" xr:uid="{00000000-0005-0000-0000-000095110000}"/>
    <cellStyle name="20% - Accent3 71 2 3 2" xfId="21104" xr:uid="{00000000-0005-0000-0000-000096110000}"/>
    <cellStyle name="20% - Accent3 71 2 4" xfId="7822" xr:uid="{00000000-0005-0000-0000-000097110000}"/>
    <cellStyle name="20% - Accent3 71 2 4 2" xfId="19110" xr:uid="{00000000-0005-0000-0000-000098110000}"/>
    <cellStyle name="20% - Accent3 71 2 5" xfId="5828" xr:uid="{00000000-0005-0000-0000-000099110000}"/>
    <cellStyle name="20% - Accent3 71 2 5 2" xfId="17116" xr:uid="{00000000-0005-0000-0000-00009A110000}"/>
    <cellStyle name="20% - Accent3 71 2 6" xfId="15122" xr:uid="{00000000-0005-0000-0000-00009B110000}"/>
    <cellStyle name="20% - Accent3 71 3" xfId="10813" xr:uid="{00000000-0005-0000-0000-00009C110000}"/>
    <cellStyle name="20% - Accent3 71 3 2" xfId="22101" xr:uid="{00000000-0005-0000-0000-00009D110000}"/>
    <cellStyle name="20% - Accent3 71 4" xfId="8819" xr:uid="{00000000-0005-0000-0000-00009E110000}"/>
    <cellStyle name="20% - Accent3 71 4 2" xfId="20107" xr:uid="{00000000-0005-0000-0000-00009F110000}"/>
    <cellStyle name="20% - Accent3 71 5" xfId="6825" xr:uid="{00000000-0005-0000-0000-0000A0110000}"/>
    <cellStyle name="20% - Accent3 71 5 2" xfId="18113" xr:uid="{00000000-0005-0000-0000-0000A1110000}"/>
    <cellStyle name="20% - Accent3 71 6" xfId="4831" xr:uid="{00000000-0005-0000-0000-0000A2110000}"/>
    <cellStyle name="20% - Accent3 71 6 2" xfId="16119" xr:uid="{00000000-0005-0000-0000-0000A3110000}"/>
    <cellStyle name="20% - Accent3 71 7" xfId="14125" xr:uid="{00000000-0005-0000-0000-0000A4110000}"/>
    <cellStyle name="20% - Accent3 71 8" xfId="12811" xr:uid="{00000000-0005-0000-0000-0000A5110000}"/>
    <cellStyle name="20% - Accent3 72" xfId="876" xr:uid="{00000000-0005-0000-0000-0000A6110000}"/>
    <cellStyle name="20% - Accent3 72 2" xfId="3832" xr:uid="{00000000-0005-0000-0000-0000A7110000}"/>
    <cellStyle name="20% - Accent3 72 2 2" xfId="11811" xr:uid="{00000000-0005-0000-0000-0000A8110000}"/>
    <cellStyle name="20% - Accent3 72 2 2 2" xfId="23099" xr:uid="{00000000-0005-0000-0000-0000A9110000}"/>
    <cellStyle name="20% - Accent3 72 2 3" xfId="9817" xr:uid="{00000000-0005-0000-0000-0000AA110000}"/>
    <cellStyle name="20% - Accent3 72 2 3 2" xfId="21105" xr:uid="{00000000-0005-0000-0000-0000AB110000}"/>
    <cellStyle name="20% - Accent3 72 2 4" xfId="7823" xr:uid="{00000000-0005-0000-0000-0000AC110000}"/>
    <cellStyle name="20% - Accent3 72 2 4 2" xfId="19111" xr:uid="{00000000-0005-0000-0000-0000AD110000}"/>
    <cellStyle name="20% - Accent3 72 2 5" xfId="5829" xr:uid="{00000000-0005-0000-0000-0000AE110000}"/>
    <cellStyle name="20% - Accent3 72 2 5 2" xfId="17117" xr:uid="{00000000-0005-0000-0000-0000AF110000}"/>
    <cellStyle name="20% - Accent3 72 2 6" xfId="15123" xr:uid="{00000000-0005-0000-0000-0000B0110000}"/>
    <cellStyle name="20% - Accent3 72 3" xfId="10814" xr:uid="{00000000-0005-0000-0000-0000B1110000}"/>
    <cellStyle name="20% - Accent3 72 3 2" xfId="22102" xr:uid="{00000000-0005-0000-0000-0000B2110000}"/>
    <cellStyle name="20% - Accent3 72 4" xfId="8820" xr:uid="{00000000-0005-0000-0000-0000B3110000}"/>
    <cellStyle name="20% - Accent3 72 4 2" xfId="20108" xr:uid="{00000000-0005-0000-0000-0000B4110000}"/>
    <cellStyle name="20% - Accent3 72 5" xfId="6826" xr:uid="{00000000-0005-0000-0000-0000B5110000}"/>
    <cellStyle name="20% - Accent3 72 5 2" xfId="18114" xr:uid="{00000000-0005-0000-0000-0000B6110000}"/>
    <cellStyle name="20% - Accent3 72 6" xfId="4832" xr:uid="{00000000-0005-0000-0000-0000B7110000}"/>
    <cellStyle name="20% - Accent3 72 6 2" xfId="16120" xr:uid="{00000000-0005-0000-0000-0000B8110000}"/>
    <cellStyle name="20% - Accent3 72 7" xfId="14126" xr:uid="{00000000-0005-0000-0000-0000B9110000}"/>
    <cellStyle name="20% - Accent3 72 8" xfId="12812" xr:uid="{00000000-0005-0000-0000-0000BA110000}"/>
    <cellStyle name="20% - Accent3 8" xfId="877" xr:uid="{00000000-0005-0000-0000-0000BB110000}"/>
    <cellStyle name="20% - Accent3 8 2" xfId="3833" xr:uid="{00000000-0005-0000-0000-0000BC110000}"/>
    <cellStyle name="20% - Accent3 8 2 2" xfId="11812" xr:uid="{00000000-0005-0000-0000-0000BD110000}"/>
    <cellStyle name="20% - Accent3 8 2 2 2" xfId="23100" xr:uid="{00000000-0005-0000-0000-0000BE110000}"/>
    <cellStyle name="20% - Accent3 8 2 3" xfId="9818" xr:uid="{00000000-0005-0000-0000-0000BF110000}"/>
    <cellStyle name="20% - Accent3 8 2 3 2" xfId="21106" xr:uid="{00000000-0005-0000-0000-0000C0110000}"/>
    <cellStyle name="20% - Accent3 8 2 4" xfId="7824" xr:uid="{00000000-0005-0000-0000-0000C1110000}"/>
    <cellStyle name="20% - Accent3 8 2 4 2" xfId="19112" xr:uid="{00000000-0005-0000-0000-0000C2110000}"/>
    <cellStyle name="20% - Accent3 8 2 5" xfId="5830" xr:uid="{00000000-0005-0000-0000-0000C3110000}"/>
    <cellStyle name="20% - Accent3 8 2 5 2" xfId="17118" xr:uid="{00000000-0005-0000-0000-0000C4110000}"/>
    <cellStyle name="20% - Accent3 8 2 6" xfId="15124" xr:uid="{00000000-0005-0000-0000-0000C5110000}"/>
    <cellStyle name="20% - Accent3 8 3" xfId="10815" xr:uid="{00000000-0005-0000-0000-0000C6110000}"/>
    <cellStyle name="20% - Accent3 8 3 2" xfId="22103" xr:uid="{00000000-0005-0000-0000-0000C7110000}"/>
    <cellStyle name="20% - Accent3 8 4" xfId="8821" xr:uid="{00000000-0005-0000-0000-0000C8110000}"/>
    <cellStyle name="20% - Accent3 8 4 2" xfId="20109" xr:uid="{00000000-0005-0000-0000-0000C9110000}"/>
    <cellStyle name="20% - Accent3 8 5" xfId="6827" xr:uid="{00000000-0005-0000-0000-0000CA110000}"/>
    <cellStyle name="20% - Accent3 8 5 2" xfId="18115" xr:uid="{00000000-0005-0000-0000-0000CB110000}"/>
    <cellStyle name="20% - Accent3 8 6" xfId="4833" xr:uid="{00000000-0005-0000-0000-0000CC110000}"/>
    <cellStyle name="20% - Accent3 8 6 2" xfId="16121" xr:uid="{00000000-0005-0000-0000-0000CD110000}"/>
    <cellStyle name="20% - Accent3 8 7" xfId="14127" xr:uid="{00000000-0005-0000-0000-0000CE110000}"/>
    <cellStyle name="20% - Accent3 8 8" xfId="12813" xr:uid="{00000000-0005-0000-0000-0000CF110000}"/>
    <cellStyle name="20% - Accent3 9" xfId="878" xr:uid="{00000000-0005-0000-0000-0000D0110000}"/>
    <cellStyle name="20% - Accent3 9 2" xfId="3834" xr:uid="{00000000-0005-0000-0000-0000D1110000}"/>
    <cellStyle name="20% - Accent3 9 2 2" xfId="11813" xr:uid="{00000000-0005-0000-0000-0000D2110000}"/>
    <cellStyle name="20% - Accent3 9 2 2 2" xfId="23101" xr:uid="{00000000-0005-0000-0000-0000D3110000}"/>
    <cellStyle name="20% - Accent3 9 2 3" xfId="9819" xr:uid="{00000000-0005-0000-0000-0000D4110000}"/>
    <cellStyle name="20% - Accent3 9 2 3 2" xfId="21107" xr:uid="{00000000-0005-0000-0000-0000D5110000}"/>
    <cellStyle name="20% - Accent3 9 2 4" xfId="7825" xr:uid="{00000000-0005-0000-0000-0000D6110000}"/>
    <cellStyle name="20% - Accent3 9 2 4 2" xfId="19113" xr:uid="{00000000-0005-0000-0000-0000D7110000}"/>
    <cellStyle name="20% - Accent3 9 2 5" xfId="5831" xr:uid="{00000000-0005-0000-0000-0000D8110000}"/>
    <cellStyle name="20% - Accent3 9 2 5 2" xfId="17119" xr:uid="{00000000-0005-0000-0000-0000D9110000}"/>
    <cellStyle name="20% - Accent3 9 2 6" xfId="15125" xr:uid="{00000000-0005-0000-0000-0000DA110000}"/>
    <cellStyle name="20% - Accent3 9 3" xfId="10816" xr:uid="{00000000-0005-0000-0000-0000DB110000}"/>
    <cellStyle name="20% - Accent3 9 3 2" xfId="22104" xr:uid="{00000000-0005-0000-0000-0000DC110000}"/>
    <cellStyle name="20% - Accent3 9 4" xfId="8822" xr:uid="{00000000-0005-0000-0000-0000DD110000}"/>
    <cellStyle name="20% - Accent3 9 4 2" xfId="20110" xr:uid="{00000000-0005-0000-0000-0000DE110000}"/>
    <cellStyle name="20% - Accent3 9 5" xfId="6828" xr:uid="{00000000-0005-0000-0000-0000DF110000}"/>
    <cellStyle name="20% - Accent3 9 5 2" xfId="18116" xr:uid="{00000000-0005-0000-0000-0000E0110000}"/>
    <cellStyle name="20% - Accent3 9 6" xfId="4834" xr:uid="{00000000-0005-0000-0000-0000E1110000}"/>
    <cellStyle name="20% - Accent3 9 6 2" xfId="16122" xr:uid="{00000000-0005-0000-0000-0000E2110000}"/>
    <cellStyle name="20% - Accent3 9 7" xfId="14128" xr:uid="{00000000-0005-0000-0000-0000E3110000}"/>
    <cellStyle name="20% - Accent3 9 8" xfId="12814" xr:uid="{00000000-0005-0000-0000-0000E4110000}"/>
    <cellStyle name="20% - Accent4 10" xfId="879" xr:uid="{00000000-0005-0000-0000-0000E5110000}"/>
    <cellStyle name="20% - Accent4 10 2" xfId="3835" xr:uid="{00000000-0005-0000-0000-0000E6110000}"/>
    <cellStyle name="20% - Accent4 10 2 2" xfId="11814" xr:uid="{00000000-0005-0000-0000-0000E7110000}"/>
    <cellStyle name="20% - Accent4 10 2 2 2" xfId="23102" xr:uid="{00000000-0005-0000-0000-0000E8110000}"/>
    <cellStyle name="20% - Accent4 10 2 3" xfId="9820" xr:uid="{00000000-0005-0000-0000-0000E9110000}"/>
    <cellStyle name="20% - Accent4 10 2 3 2" xfId="21108" xr:uid="{00000000-0005-0000-0000-0000EA110000}"/>
    <cellStyle name="20% - Accent4 10 2 4" xfId="7826" xr:uid="{00000000-0005-0000-0000-0000EB110000}"/>
    <cellStyle name="20% - Accent4 10 2 4 2" xfId="19114" xr:uid="{00000000-0005-0000-0000-0000EC110000}"/>
    <cellStyle name="20% - Accent4 10 2 5" xfId="5832" xr:uid="{00000000-0005-0000-0000-0000ED110000}"/>
    <cellStyle name="20% - Accent4 10 2 5 2" xfId="17120" xr:uid="{00000000-0005-0000-0000-0000EE110000}"/>
    <cellStyle name="20% - Accent4 10 2 6" xfId="15126" xr:uid="{00000000-0005-0000-0000-0000EF110000}"/>
    <cellStyle name="20% - Accent4 10 3" xfId="10817" xr:uid="{00000000-0005-0000-0000-0000F0110000}"/>
    <cellStyle name="20% - Accent4 10 3 2" xfId="22105" xr:uid="{00000000-0005-0000-0000-0000F1110000}"/>
    <cellStyle name="20% - Accent4 10 4" xfId="8823" xr:uid="{00000000-0005-0000-0000-0000F2110000}"/>
    <cellStyle name="20% - Accent4 10 4 2" xfId="20111" xr:uid="{00000000-0005-0000-0000-0000F3110000}"/>
    <cellStyle name="20% - Accent4 10 5" xfId="6829" xr:uid="{00000000-0005-0000-0000-0000F4110000}"/>
    <cellStyle name="20% - Accent4 10 5 2" xfId="18117" xr:uid="{00000000-0005-0000-0000-0000F5110000}"/>
    <cellStyle name="20% - Accent4 10 6" xfId="4835" xr:uid="{00000000-0005-0000-0000-0000F6110000}"/>
    <cellStyle name="20% - Accent4 10 6 2" xfId="16123" xr:uid="{00000000-0005-0000-0000-0000F7110000}"/>
    <cellStyle name="20% - Accent4 10 7" xfId="14129" xr:uid="{00000000-0005-0000-0000-0000F8110000}"/>
    <cellStyle name="20% - Accent4 10 8" xfId="12815" xr:uid="{00000000-0005-0000-0000-0000F9110000}"/>
    <cellStyle name="20% - Accent4 11" xfId="880" xr:uid="{00000000-0005-0000-0000-0000FA110000}"/>
    <cellStyle name="20% - Accent4 11 2" xfId="3836" xr:uid="{00000000-0005-0000-0000-0000FB110000}"/>
    <cellStyle name="20% - Accent4 11 2 2" xfId="11815" xr:uid="{00000000-0005-0000-0000-0000FC110000}"/>
    <cellStyle name="20% - Accent4 11 2 2 2" xfId="23103" xr:uid="{00000000-0005-0000-0000-0000FD110000}"/>
    <cellStyle name="20% - Accent4 11 2 3" xfId="9821" xr:uid="{00000000-0005-0000-0000-0000FE110000}"/>
    <cellStyle name="20% - Accent4 11 2 3 2" xfId="21109" xr:uid="{00000000-0005-0000-0000-0000FF110000}"/>
    <cellStyle name="20% - Accent4 11 2 4" xfId="7827" xr:uid="{00000000-0005-0000-0000-000000120000}"/>
    <cellStyle name="20% - Accent4 11 2 4 2" xfId="19115" xr:uid="{00000000-0005-0000-0000-000001120000}"/>
    <cellStyle name="20% - Accent4 11 2 5" xfId="5833" xr:uid="{00000000-0005-0000-0000-000002120000}"/>
    <cellStyle name="20% - Accent4 11 2 5 2" xfId="17121" xr:uid="{00000000-0005-0000-0000-000003120000}"/>
    <cellStyle name="20% - Accent4 11 2 6" xfId="15127" xr:uid="{00000000-0005-0000-0000-000004120000}"/>
    <cellStyle name="20% - Accent4 11 3" xfId="10818" xr:uid="{00000000-0005-0000-0000-000005120000}"/>
    <cellStyle name="20% - Accent4 11 3 2" xfId="22106" xr:uid="{00000000-0005-0000-0000-000006120000}"/>
    <cellStyle name="20% - Accent4 11 4" xfId="8824" xr:uid="{00000000-0005-0000-0000-000007120000}"/>
    <cellStyle name="20% - Accent4 11 4 2" xfId="20112" xr:uid="{00000000-0005-0000-0000-000008120000}"/>
    <cellStyle name="20% - Accent4 11 5" xfId="6830" xr:uid="{00000000-0005-0000-0000-000009120000}"/>
    <cellStyle name="20% - Accent4 11 5 2" xfId="18118" xr:uid="{00000000-0005-0000-0000-00000A120000}"/>
    <cellStyle name="20% - Accent4 11 6" xfId="4836" xr:uid="{00000000-0005-0000-0000-00000B120000}"/>
    <cellStyle name="20% - Accent4 11 6 2" xfId="16124" xr:uid="{00000000-0005-0000-0000-00000C120000}"/>
    <cellStyle name="20% - Accent4 11 7" xfId="14130" xr:uid="{00000000-0005-0000-0000-00000D120000}"/>
    <cellStyle name="20% - Accent4 11 8" xfId="12816" xr:uid="{00000000-0005-0000-0000-00000E120000}"/>
    <cellStyle name="20% - Accent4 12" xfId="881" xr:uid="{00000000-0005-0000-0000-00000F120000}"/>
    <cellStyle name="20% - Accent4 12 2" xfId="3837" xr:uid="{00000000-0005-0000-0000-000010120000}"/>
    <cellStyle name="20% - Accent4 12 2 2" xfId="11816" xr:uid="{00000000-0005-0000-0000-000011120000}"/>
    <cellStyle name="20% - Accent4 12 2 2 2" xfId="23104" xr:uid="{00000000-0005-0000-0000-000012120000}"/>
    <cellStyle name="20% - Accent4 12 2 3" xfId="9822" xr:uid="{00000000-0005-0000-0000-000013120000}"/>
    <cellStyle name="20% - Accent4 12 2 3 2" xfId="21110" xr:uid="{00000000-0005-0000-0000-000014120000}"/>
    <cellStyle name="20% - Accent4 12 2 4" xfId="7828" xr:uid="{00000000-0005-0000-0000-000015120000}"/>
    <cellStyle name="20% - Accent4 12 2 4 2" xfId="19116" xr:uid="{00000000-0005-0000-0000-000016120000}"/>
    <cellStyle name="20% - Accent4 12 2 5" xfId="5834" xr:uid="{00000000-0005-0000-0000-000017120000}"/>
    <cellStyle name="20% - Accent4 12 2 5 2" xfId="17122" xr:uid="{00000000-0005-0000-0000-000018120000}"/>
    <cellStyle name="20% - Accent4 12 2 6" xfId="15128" xr:uid="{00000000-0005-0000-0000-000019120000}"/>
    <cellStyle name="20% - Accent4 12 3" xfId="10819" xr:uid="{00000000-0005-0000-0000-00001A120000}"/>
    <cellStyle name="20% - Accent4 12 3 2" xfId="22107" xr:uid="{00000000-0005-0000-0000-00001B120000}"/>
    <cellStyle name="20% - Accent4 12 4" xfId="8825" xr:uid="{00000000-0005-0000-0000-00001C120000}"/>
    <cellStyle name="20% - Accent4 12 4 2" xfId="20113" xr:uid="{00000000-0005-0000-0000-00001D120000}"/>
    <cellStyle name="20% - Accent4 12 5" xfId="6831" xr:uid="{00000000-0005-0000-0000-00001E120000}"/>
    <cellStyle name="20% - Accent4 12 5 2" xfId="18119" xr:uid="{00000000-0005-0000-0000-00001F120000}"/>
    <cellStyle name="20% - Accent4 12 6" xfId="4837" xr:uid="{00000000-0005-0000-0000-000020120000}"/>
    <cellStyle name="20% - Accent4 12 6 2" xfId="16125" xr:uid="{00000000-0005-0000-0000-000021120000}"/>
    <cellStyle name="20% - Accent4 12 7" xfId="14131" xr:uid="{00000000-0005-0000-0000-000022120000}"/>
    <cellStyle name="20% - Accent4 12 8" xfId="12817" xr:uid="{00000000-0005-0000-0000-000023120000}"/>
    <cellStyle name="20% - Accent4 13" xfId="882" xr:uid="{00000000-0005-0000-0000-000024120000}"/>
    <cellStyle name="20% - Accent4 13 2" xfId="3838" xr:uid="{00000000-0005-0000-0000-000025120000}"/>
    <cellStyle name="20% - Accent4 13 2 2" xfId="11817" xr:uid="{00000000-0005-0000-0000-000026120000}"/>
    <cellStyle name="20% - Accent4 13 2 2 2" xfId="23105" xr:uid="{00000000-0005-0000-0000-000027120000}"/>
    <cellStyle name="20% - Accent4 13 2 3" xfId="9823" xr:uid="{00000000-0005-0000-0000-000028120000}"/>
    <cellStyle name="20% - Accent4 13 2 3 2" xfId="21111" xr:uid="{00000000-0005-0000-0000-000029120000}"/>
    <cellStyle name="20% - Accent4 13 2 4" xfId="7829" xr:uid="{00000000-0005-0000-0000-00002A120000}"/>
    <cellStyle name="20% - Accent4 13 2 4 2" xfId="19117" xr:uid="{00000000-0005-0000-0000-00002B120000}"/>
    <cellStyle name="20% - Accent4 13 2 5" xfId="5835" xr:uid="{00000000-0005-0000-0000-00002C120000}"/>
    <cellStyle name="20% - Accent4 13 2 5 2" xfId="17123" xr:uid="{00000000-0005-0000-0000-00002D120000}"/>
    <cellStyle name="20% - Accent4 13 2 6" xfId="15129" xr:uid="{00000000-0005-0000-0000-00002E120000}"/>
    <cellStyle name="20% - Accent4 13 3" xfId="10820" xr:uid="{00000000-0005-0000-0000-00002F120000}"/>
    <cellStyle name="20% - Accent4 13 3 2" xfId="22108" xr:uid="{00000000-0005-0000-0000-000030120000}"/>
    <cellStyle name="20% - Accent4 13 4" xfId="8826" xr:uid="{00000000-0005-0000-0000-000031120000}"/>
    <cellStyle name="20% - Accent4 13 4 2" xfId="20114" xr:uid="{00000000-0005-0000-0000-000032120000}"/>
    <cellStyle name="20% - Accent4 13 5" xfId="6832" xr:uid="{00000000-0005-0000-0000-000033120000}"/>
    <cellStyle name="20% - Accent4 13 5 2" xfId="18120" xr:uid="{00000000-0005-0000-0000-000034120000}"/>
    <cellStyle name="20% - Accent4 13 6" xfId="4838" xr:uid="{00000000-0005-0000-0000-000035120000}"/>
    <cellStyle name="20% - Accent4 13 6 2" xfId="16126" xr:uid="{00000000-0005-0000-0000-000036120000}"/>
    <cellStyle name="20% - Accent4 13 7" xfId="14132" xr:uid="{00000000-0005-0000-0000-000037120000}"/>
    <cellStyle name="20% - Accent4 13 8" xfId="12818" xr:uid="{00000000-0005-0000-0000-000038120000}"/>
    <cellStyle name="20% - Accent4 14" xfId="883" xr:uid="{00000000-0005-0000-0000-000039120000}"/>
    <cellStyle name="20% - Accent4 14 2" xfId="3839" xr:uid="{00000000-0005-0000-0000-00003A120000}"/>
    <cellStyle name="20% - Accent4 14 2 2" xfId="11818" xr:uid="{00000000-0005-0000-0000-00003B120000}"/>
    <cellStyle name="20% - Accent4 14 2 2 2" xfId="23106" xr:uid="{00000000-0005-0000-0000-00003C120000}"/>
    <cellStyle name="20% - Accent4 14 2 3" xfId="9824" xr:uid="{00000000-0005-0000-0000-00003D120000}"/>
    <cellStyle name="20% - Accent4 14 2 3 2" xfId="21112" xr:uid="{00000000-0005-0000-0000-00003E120000}"/>
    <cellStyle name="20% - Accent4 14 2 4" xfId="7830" xr:uid="{00000000-0005-0000-0000-00003F120000}"/>
    <cellStyle name="20% - Accent4 14 2 4 2" xfId="19118" xr:uid="{00000000-0005-0000-0000-000040120000}"/>
    <cellStyle name="20% - Accent4 14 2 5" xfId="5836" xr:uid="{00000000-0005-0000-0000-000041120000}"/>
    <cellStyle name="20% - Accent4 14 2 5 2" xfId="17124" xr:uid="{00000000-0005-0000-0000-000042120000}"/>
    <cellStyle name="20% - Accent4 14 2 6" xfId="15130" xr:uid="{00000000-0005-0000-0000-000043120000}"/>
    <cellStyle name="20% - Accent4 14 3" xfId="10821" xr:uid="{00000000-0005-0000-0000-000044120000}"/>
    <cellStyle name="20% - Accent4 14 3 2" xfId="22109" xr:uid="{00000000-0005-0000-0000-000045120000}"/>
    <cellStyle name="20% - Accent4 14 4" xfId="8827" xr:uid="{00000000-0005-0000-0000-000046120000}"/>
    <cellStyle name="20% - Accent4 14 4 2" xfId="20115" xr:uid="{00000000-0005-0000-0000-000047120000}"/>
    <cellStyle name="20% - Accent4 14 5" xfId="6833" xr:uid="{00000000-0005-0000-0000-000048120000}"/>
    <cellStyle name="20% - Accent4 14 5 2" xfId="18121" xr:uid="{00000000-0005-0000-0000-000049120000}"/>
    <cellStyle name="20% - Accent4 14 6" xfId="4839" xr:uid="{00000000-0005-0000-0000-00004A120000}"/>
    <cellStyle name="20% - Accent4 14 6 2" xfId="16127" xr:uid="{00000000-0005-0000-0000-00004B120000}"/>
    <cellStyle name="20% - Accent4 14 7" xfId="14133" xr:uid="{00000000-0005-0000-0000-00004C120000}"/>
    <cellStyle name="20% - Accent4 14 8" xfId="12819" xr:uid="{00000000-0005-0000-0000-00004D120000}"/>
    <cellStyle name="20% - Accent4 15" xfId="884" xr:uid="{00000000-0005-0000-0000-00004E120000}"/>
    <cellStyle name="20% - Accent4 15 2" xfId="3840" xr:uid="{00000000-0005-0000-0000-00004F120000}"/>
    <cellStyle name="20% - Accent4 15 2 2" xfId="11819" xr:uid="{00000000-0005-0000-0000-000050120000}"/>
    <cellStyle name="20% - Accent4 15 2 2 2" xfId="23107" xr:uid="{00000000-0005-0000-0000-000051120000}"/>
    <cellStyle name="20% - Accent4 15 2 3" xfId="9825" xr:uid="{00000000-0005-0000-0000-000052120000}"/>
    <cellStyle name="20% - Accent4 15 2 3 2" xfId="21113" xr:uid="{00000000-0005-0000-0000-000053120000}"/>
    <cellStyle name="20% - Accent4 15 2 4" xfId="7831" xr:uid="{00000000-0005-0000-0000-000054120000}"/>
    <cellStyle name="20% - Accent4 15 2 4 2" xfId="19119" xr:uid="{00000000-0005-0000-0000-000055120000}"/>
    <cellStyle name="20% - Accent4 15 2 5" xfId="5837" xr:uid="{00000000-0005-0000-0000-000056120000}"/>
    <cellStyle name="20% - Accent4 15 2 5 2" xfId="17125" xr:uid="{00000000-0005-0000-0000-000057120000}"/>
    <cellStyle name="20% - Accent4 15 2 6" xfId="15131" xr:uid="{00000000-0005-0000-0000-000058120000}"/>
    <cellStyle name="20% - Accent4 15 3" xfId="10822" xr:uid="{00000000-0005-0000-0000-000059120000}"/>
    <cellStyle name="20% - Accent4 15 3 2" xfId="22110" xr:uid="{00000000-0005-0000-0000-00005A120000}"/>
    <cellStyle name="20% - Accent4 15 4" xfId="8828" xr:uid="{00000000-0005-0000-0000-00005B120000}"/>
    <cellStyle name="20% - Accent4 15 4 2" xfId="20116" xr:uid="{00000000-0005-0000-0000-00005C120000}"/>
    <cellStyle name="20% - Accent4 15 5" xfId="6834" xr:uid="{00000000-0005-0000-0000-00005D120000}"/>
    <cellStyle name="20% - Accent4 15 5 2" xfId="18122" xr:uid="{00000000-0005-0000-0000-00005E120000}"/>
    <cellStyle name="20% - Accent4 15 6" xfId="4840" xr:uid="{00000000-0005-0000-0000-00005F120000}"/>
    <cellStyle name="20% - Accent4 15 6 2" xfId="16128" xr:uid="{00000000-0005-0000-0000-000060120000}"/>
    <cellStyle name="20% - Accent4 15 7" xfId="14134" xr:uid="{00000000-0005-0000-0000-000061120000}"/>
    <cellStyle name="20% - Accent4 15 8" xfId="12820" xr:uid="{00000000-0005-0000-0000-000062120000}"/>
    <cellStyle name="20% - Accent4 16" xfId="885" xr:uid="{00000000-0005-0000-0000-000063120000}"/>
    <cellStyle name="20% - Accent4 16 2" xfId="3841" xr:uid="{00000000-0005-0000-0000-000064120000}"/>
    <cellStyle name="20% - Accent4 16 2 2" xfId="11820" xr:uid="{00000000-0005-0000-0000-000065120000}"/>
    <cellStyle name="20% - Accent4 16 2 2 2" xfId="23108" xr:uid="{00000000-0005-0000-0000-000066120000}"/>
    <cellStyle name="20% - Accent4 16 2 3" xfId="9826" xr:uid="{00000000-0005-0000-0000-000067120000}"/>
    <cellStyle name="20% - Accent4 16 2 3 2" xfId="21114" xr:uid="{00000000-0005-0000-0000-000068120000}"/>
    <cellStyle name="20% - Accent4 16 2 4" xfId="7832" xr:uid="{00000000-0005-0000-0000-000069120000}"/>
    <cellStyle name="20% - Accent4 16 2 4 2" xfId="19120" xr:uid="{00000000-0005-0000-0000-00006A120000}"/>
    <cellStyle name="20% - Accent4 16 2 5" xfId="5838" xr:uid="{00000000-0005-0000-0000-00006B120000}"/>
    <cellStyle name="20% - Accent4 16 2 5 2" xfId="17126" xr:uid="{00000000-0005-0000-0000-00006C120000}"/>
    <cellStyle name="20% - Accent4 16 2 6" xfId="15132" xr:uid="{00000000-0005-0000-0000-00006D120000}"/>
    <cellStyle name="20% - Accent4 16 3" xfId="10823" xr:uid="{00000000-0005-0000-0000-00006E120000}"/>
    <cellStyle name="20% - Accent4 16 3 2" xfId="22111" xr:uid="{00000000-0005-0000-0000-00006F120000}"/>
    <cellStyle name="20% - Accent4 16 4" xfId="8829" xr:uid="{00000000-0005-0000-0000-000070120000}"/>
    <cellStyle name="20% - Accent4 16 4 2" xfId="20117" xr:uid="{00000000-0005-0000-0000-000071120000}"/>
    <cellStyle name="20% - Accent4 16 5" xfId="6835" xr:uid="{00000000-0005-0000-0000-000072120000}"/>
    <cellStyle name="20% - Accent4 16 5 2" xfId="18123" xr:uid="{00000000-0005-0000-0000-000073120000}"/>
    <cellStyle name="20% - Accent4 16 6" xfId="4841" xr:uid="{00000000-0005-0000-0000-000074120000}"/>
    <cellStyle name="20% - Accent4 16 6 2" xfId="16129" xr:uid="{00000000-0005-0000-0000-000075120000}"/>
    <cellStyle name="20% - Accent4 16 7" xfId="14135" xr:uid="{00000000-0005-0000-0000-000076120000}"/>
    <cellStyle name="20% - Accent4 16 8" xfId="12821" xr:uid="{00000000-0005-0000-0000-000077120000}"/>
    <cellStyle name="20% - Accent4 17" xfId="886" xr:uid="{00000000-0005-0000-0000-000078120000}"/>
    <cellStyle name="20% - Accent4 17 2" xfId="3842" xr:uid="{00000000-0005-0000-0000-000079120000}"/>
    <cellStyle name="20% - Accent4 17 2 2" xfId="11821" xr:uid="{00000000-0005-0000-0000-00007A120000}"/>
    <cellStyle name="20% - Accent4 17 2 2 2" xfId="23109" xr:uid="{00000000-0005-0000-0000-00007B120000}"/>
    <cellStyle name="20% - Accent4 17 2 3" xfId="9827" xr:uid="{00000000-0005-0000-0000-00007C120000}"/>
    <cellStyle name="20% - Accent4 17 2 3 2" xfId="21115" xr:uid="{00000000-0005-0000-0000-00007D120000}"/>
    <cellStyle name="20% - Accent4 17 2 4" xfId="7833" xr:uid="{00000000-0005-0000-0000-00007E120000}"/>
    <cellStyle name="20% - Accent4 17 2 4 2" xfId="19121" xr:uid="{00000000-0005-0000-0000-00007F120000}"/>
    <cellStyle name="20% - Accent4 17 2 5" xfId="5839" xr:uid="{00000000-0005-0000-0000-000080120000}"/>
    <cellStyle name="20% - Accent4 17 2 5 2" xfId="17127" xr:uid="{00000000-0005-0000-0000-000081120000}"/>
    <cellStyle name="20% - Accent4 17 2 6" xfId="15133" xr:uid="{00000000-0005-0000-0000-000082120000}"/>
    <cellStyle name="20% - Accent4 17 3" xfId="10824" xr:uid="{00000000-0005-0000-0000-000083120000}"/>
    <cellStyle name="20% - Accent4 17 3 2" xfId="22112" xr:uid="{00000000-0005-0000-0000-000084120000}"/>
    <cellStyle name="20% - Accent4 17 4" xfId="8830" xr:uid="{00000000-0005-0000-0000-000085120000}"/>
    <cellStyle name="20% - Accent4 17 4 2" xfId="20118" xr:uid="{00000000-0005-0000-0000-000086120000}"/>
    <cellStyle name="20% - Accent4 17 5" xfId="6836" xr:uid="{00000000-0005-0000-0000-000087120000}"/>
    <cellStyle name="20% - Accent4 17 5 2" xfId="18124" xr:uid="{00000000-0005-0000-0000-000088120000}"/>
    <cellStyle name="20% - Accent4 17 6" xfId="4842" xr:uid="{00000000-0005-0000-0000-000089120000}"/>
    <cellStyle name="20% - Accent4 17 6 2" xfId="16130" xr:uid="{00000000-0005-0000-0000-00008A120000}"/>
    <cellStyle name="20% - Accent4 17 7" xfId="14136" xr:uid="{00000000-0005-0000-0000-00008B120000}"/>
    <cellStyle name="20% - Accent4 17 8" xfId="12822" xr:uid="{00000000-0005-0000-0000-00008C120000}"/>
    <cellStyle name="20% - Accent4 18" xfId="887" xr:uid="{00000000-0005-0000-0000-00008D120000}"/>
    <cellStyle name="20% - Accent4 18 2" xfId="3843" xr:uid="{00000000-0005-0000-0000-00008E120000}"/>
    <cellStyle name="20% - Accent4 18 2 2" xfId="11822" xr:uid="{00000000-0005-0000-0000-00008F120000}"/>
    <cellStyle name="20% - Accent4 18 2 2 2" xfId="23110" xr:uid="{00000000-0005-0000-0000-000090120000}"/>
    <cellStyle name="20% - Accent4 18 2 3" xfId="9828" xr:uid="{00000000-0005-0000-0000-000091120000}"/>
    <cellStyle name="20% - Accent4 18 2 3 2" xfId="21116" xr:uid="{00000000-0005-0000-0000-000092120000}"/>
    <cellStyle name="20% - Accent4 18 2 4" xfId="7834" xr:uid="{00000000-0005-0000-0000-000093120000}"/>
    <cellStyle name="20% - Accent4 18 2 4 2" xfId="19122" xr:uid="{00000000-0005-0000-0000-000094120000}"/>
    <cellStyle name="20% - Accent4 18 2 5" xfId="5840" xr:uid="{00000000-0005-0000-0000-000095120000}"/>
    <cellStyle name="20% - Accent4 18 2 5 2" xfId="17128" xr:uid="{00000000-0005-0000-0000-000096120000}"/>
    <cellStyle name="20% - Accent4 18 2 6" xfId="15134" xr:uid="{00000000-0005-0000-0000-000097120000}"/>
    <cellStyle name="20% - Accent4 18 3" xfId="10825" xr:uid="{00000000-0005-0000-0000-000098120000}"/>
    <cellStyle name="20% - Accent4 18 3 2" xfId="22113" xr:uid="{00000000-0005-0000-0000-000099120000}"/>
    <cellStyle name="20% - Accent4 18 4" xfId="8831" xr:uid="{00000000-0005-0000-0000-00009A120000}"/>
    <cellStyle name="20% - Accent4 18 4 2" xfId="20119" xr:uid="{00000000-0005-0000-0000-00009B120000}"/>
    <cellStyle name="20% - Accent4 18 5" xfId="6837" xr:uid="{00000000-0005-0000-0000-00009C120000}"/>
    <cellStyle name="20% - Accent4 18 5 2" xfId="18125" xr:uid="{00000000-0005-0000-0000-00009D120000}"/>
    <cellStyle name="20% - Accent4 18 6" xfId="4843" xr:uid="{00000000-0005-0000-0000-00009E120000}"/>
    <cellStyle name="20% - Accent4 18 6 2" xfId="16131" xr:uid="{00000000-0005-0000-0000-00009F120000}"/>
    <cellStyle name="20% - Accent4 18 7" xfId="14137" xr:uid="{00000000-0005-0000-0000-0000A0120000}"/>
    <cellStyle name="20% - Accent4 18 8" xfId="12823" xr:uid="{00000000-0005-0000-0000-0000A1120000}"/>
    <cellStyle name="20% - Accent4 19" xfId="888" xr:uid="{00000000-0005-0000-0000-0000A2120000}"/>
    <cellStyle name="20% - Accent4 19 2" xfId="3844" xr:uid="{00000000-0005-0000-0000-0000A3120000}"/>
    <cellStyle name="20% - Accent4 19 2 2" xfId="11823" xr:uid="{00000000-0005-0000-0000-0000A4120000}"/>
    <cellStyle name="20% - Accent4 19 2 2 2" xfId="23111" xr:uid="{00000000-0005-0000-0000-0000A5120000}"/>
    <cellStyle name="20% - Accent4 19 2 3" xfId="9829" xr:uid="{00000000-0005-0000-0000-0000A6120000}"/>
    <cellStyle name="20% - Accent4 19 2 3 2" xfId="21117" xr:uid="{00000000-0005-0000-0000-0000A7120000}"/>
    <cellStyle name="20% - Accent4 19 2 4" xfId="7835" xr:uid="{00000000-0005-0000-0000-0000A8120000}"/>
    <cellStyle name="20% - Accent4 19 2 4 2" xfId="19123" xr:uid="{00000000-0005-0000-0000-0000A9120000}"/>
    <cellStyle name="20% - Accent4 19 2 5" xfId="5841" xr:uid="{00000000-0005-0000-0000-0000AA120000}"/>
    <cellStyle name="20% - Accent4 19 2 5 2" xfId="17129" xr:uid="{00000000-0005-0000-0000-0000AB120000}"/>
    <cellStyle name="20% - Accent4 19 2 6" xfId="15135" xr:uid="{00000000-0005-0000-0000-0000AC120000}"/>
    <cellStyle name="20% - Accent4 19 3" xfId="10826" xr:uid="{00000000-0005-0000-0000-0000AD120000}"/>
    <cellStyle name="20% - Accent4 19 3 2" xfId="22114" xr:uid="{00000000-0005-0000-0000-0000AE120000}"/>
    <cellStyle name="20% - Accent4 19 4" xfId="8832" xr:uid="{00000000-0005-0000-0000-0000AF120000}"/>
    <cellStyle name="20% - Accent4 19 4 2" xfId="20120" xr:uid="{00000000-0005-0000-0000-0000B0120000}"/>
    <cellStyle name="20% - Accent4 19 5" xfId="6838" xr:uid="{00000000-0005-0000-0000-0000B1120000}"/>
    <cellStyle name="20% - Accent4 19 5 2" xfId="18126" xr:uid="{00000000-0005-0000-0000-0000B2120000}"/>
    <cellStyle name="20% - Accent4 19 6" xfId="4844" xr:uid="{00000000-0005-0000-0000-0000B3120000}"/>
    <cellStyle name="20% - Accent4 19 6 2" xfId="16132" xr:uid="{00000000-0005-0000-0000-0000B4120000}"/>
    <cellStyle name="20% - Accent4 19 7" xfId="14138" xr:uid="{00000000-0005-0000-0000-0000B5120000}"/>
    <cellStyle name="20% - Accent4 19 8" xfId="12824" xr:uid="{00000000-0005-0000-0000-0000B6120000}"/>
    <cellStyle name="20% - Accent4 2" xfId="889" xr:uid="{00000000-0005-0000-0000-0000B7120000}"/>
    <cellStyle name="20% - Accent4 2 10" xfId="24577" xr:uid="{00000000-0005-0000-0000-0000B8120000}"/>
    <cellStyle name="20% - Accent4 2 11" xfId="24967" xr:uid="{00000000-0005-0000-0000-0000B9120000}"/>
    <cellStyle name="20% - Accent4 2 2" xfId="3845" xr:uid="{00000000-0005-0000-0000-0000BA120000}"/>
    <cellStyle name="20% - Accent4 2 2 2" xfId="11824" xr:uid="{00000000-0005-0000-0000-0000BB120000}"/>
    <cellStyle name="20% - Accent4 2 2 2 2" xfId="23112" xr:uid="{00000000-0005-0000-0000-0000BC120000}"/>
    <cellStyle name="20% - Accent4 2 2 3" xfId="9830" xr:uid="{00000000-0005-0000-0000-0000BD120000}"/>
    <cellStyle name="20% - Accent4 2 2 3 2" xfId="21118" xr:uid="{00000000-0005-0000-0000-0000BE120000}"/>
    <cellStyle name="20% - Accent4 2 2 4" xfId="7836" xr:uid="{00000000-0005-0000-0000-0000BF120000}"/>
    <cellStyle name="20% - Accent4 2 2 4 2" xfId="19124" xr:uid="{00000000-0005-0000-0000-0000C0120000}"/>
    <cellStyle name="20% - Accent4 2 2 5" xfId="5842" xr:uid="{00000000-0005-0000-0000-0000C1120000}"/>
    <cellStyle name="20% - Accent4 2 2 5 2" xfId="17130" xr:uid="{00000000-0005-0000-0000-0000C2120000}"/>
    <cellStyle name="20% - Accent4 2 2 6" xfId="15136" xr:uid="{00000000-0005-0000-0000-0000C3120000}"/>
    <cellStyle name="20% - Accent4 2 2 7" xfId="24338" xr:uid="{00000000-0005-0000-0000-0000C4120000}"/>
    <cellStyle name="20% - Accent4 2 2 8" xfId="24802" xr:uid="{00000000-0005-0000-0000-0000C5120000}"/>
    <cellStyle name="20% - Accent4 2 2 9" xfId="25169" xr:uid="{00000000-0005-0000-0000-0000C6120000}"/>
    <cellStyle name="20% - Accent4 2 3" xfId="10827" xr:uid="{00000000-0005-0000-0000-0000C7120000}"/>
    <cellStyle name="20% - Accent4 2 3 2" xfId="22115" xr:uid="{00000000-0005-0000-0000-0000C8120000}"/>
    <cellStyle name="20% - Accent4 2 4" xfId="8833" xr:uid="{00000000-0005-0000-0000-0000C9120000}"/>
    <cellStyle name="20% - Accent4 2 4 2" xfId="20121" xr:uid="{00000000-0005-0000-0000-0000CA120000}"/>
    <cellStyle name="20% - Accent4 2 5" xfId="6839" xr:uid="{00000000-0005-0000-0000-0000CB120000}"/>
    <cellStyle name="20% - Accent4 2 5 2" xfId="18127" xr:uid="{00000000-0005-0000-0000-0000CC120000}"/>
    <cellStyle name="20% - Accent4 2 6" xfId="4845" xr:uid="{00000000-0005-0000-0000-0000CD120000}"/>
    <cellStyle name="20% - Accent4 2 6 2" xfId="16133" xr:uid="{00000000-0005-0000-0000-0000CE120000}"/>
    <cellStyle name="20% - Accent4 2 7" xfId="14139" xr:uid="{00000000-0005-0000-0000-0000CF120000}"/>
    <cellStyle name="20% - Accent4 2 8" xfId="12825" xr:uid="{00000000-0005-0000-0000-0000D0120000}"/>
    <cellStyle name="20% - Accent4 2 9" xfId="23950" xr:uid="{00000000-0005-0000-0000-0000D1120000}"/>
    <cellStyle name="20% - Accent4 20" xfId="890" xr:uid="{00000000-0005-0000-0000-0000D2120000}"/>
    <cellStyle name="20% - Accent4 20 2" xfId="3846" xr:uid="{00000000-0005-0000-0000-0000D3120000}"/>
    <cellStyle name="20% - Accent4 20 2 2" xfId="11825" xr:uid="{00000000-0005-0000-0000-0000D4120000}"/>
    <cellStyle name="20% - Accent4 20 2 2 2" xfId="23113" xr:uid="{00000000-0005-0000-0000-0000D5120000}"/>
    <cellStyle name="20% - Accent4 20 2 3" xfId="9831" xr:uid="{00000000-0005-0000-0000-0000D6120000}"/>
    <cellStyle name="20% - Accent4 20 2 3 2" xfId="21119" xr:uid="{00000000-0005-0000-0000-0000D7120000}"/>
    <cellStyle name="20% - Accent4 20 2 4" xfId="7837" xr:uid="{00000000-0005-0000-0000-0000D8120000}"/>
    <cellStyle name="20% - Accent4 20 2 4 2" xfId="19125" xr:uid="{00000000-0005-0000-0000-0000D9120000}"/>
    <cellStyle name="20% - Accent4 20 2 5" xfId="5843" xr:uid="{00000000-0005-0000-0000-0000DA120000}"/>
    <cellStyle name="20% - Accent4 20 2 5 2" xfId="17131" xr:uid="{00000000-0005-0000-0000-0000DB120000}"/>
    <cellStyle name="20% - Accent4 20 2 6" xfId="15137" xr:uid="{00000000-0005-0000-0000-0000DC120000}"/>
    <cellStyle name="20% - Accent4 20 3" xfId="10828" xr:uid="{00000000-0005-0000-0000-0000DD120000}"/>
    <cellStyle name="20% - Accent4 20 3 2" xfId="22116" xr:uid="{00000000-0005-0000-0000-0000DE120000}"/>
    <cellStyle name="20% - Accent4 20 4" xfId="8834" xr:uid="{00000000-0005-0000-0000-0000DF120000}"/>
    <cellStyle name="20% - Accent4 20 4 2" xfId="20122" xr:uid="{00000000-0005-0000-0000-0000E0120000}"/>
    <cellStyle name="20% - Accent4 20 5" xfId="6840" xr:uid="{00000000-0005-0000-0000-0000E1120000}"/>
    <cellStyle name="20% - Accent4 20 5 2" xfId="18128" xr:uid="{00000000-0005-0000-0000-0000E2120000}"/>
    <cellStyle name="20% - Accent4 20 6" xfId="4846" xr:uid="{00000000-0005-0000-0000-0000E3120000}"/>
    <cellStyle name="20% - Accent4 20 6 2" xfId="16134" xr:uid="{00000000-0005-0000-0000-0000E4120000}"/>
    <cellStyle name="20% - Accent4 20 7" xfId="14140" xr:uid="{00000000-0005-0000-0000-0000E5120000}"/>
    <cellStyle name="20% - Accent4 20 8" xfId="12826" xr:uid="{00000000-0005-0000-0000-0000E6120000}"/>
    <cellStyle name="20% - Accent4 21" xfId="891" xr:uid="{00000000-0005-0000-0000-0000E7120000}"/>
    <cellStyle name="20% - Accent4 21 2" xfId="3847" xr:uid="{00000000-0005-0000-0000-0000E8120000}"/>
    <cellStyle name="20% - Accent4 21 2 2" xfId="11826" xr:uid="{00000000-0005-0000-0000-0000E9120000}"/>
    <cellStyle name="20% - Accent4 21 2 2 2" xfId="23114" xr:uid="{00000000-0005-0000-0000-0000EA120000}"/>
    <cellStyle name="20% - Accent4 21 2 3" xfId="9832" xr:uid="{00000000-0005-0000-0000-0000EB120000}"/>
    <cellStyle name="20% - Accent4 21 2 3 2" xfId="21120" xr:uid="{00000000-0005-0000-0000-0000EC120000}"/>
    <cellStyle name="20% - Accent4 21 2 4" xfId="7838" xr:uid="{00000000-0005-0000-0000-0000ED120000}"/>
    <cellStyle name="20% - Accent4 21 2 4 2" xfId="19126" xr:uid="{00000000-0005-0000-0000-0000EE120000}"/>
    <cellStyle name="20% - Accent4 21 2 5" xfId="5844" xr:uid="{00000000-0005-0000-0000-0000EF120000}"/>
    <cellStyle name="20% - Accent4 21 2 5 2" xfId="17132" xr:uid="{00000000-0005-0000-0000-0000F0120000}"/>
    <cellStyle name="20% - Accent4 21 2 6" xfId="15138" xr:uid="{00000000-0005-0000-0000-0000F1120000}"/>
    <cellStyle name="20% - Accent4 21 3" xfId="10829" xr:uid="{00000000-0005-0000-0000-0000F2120000}"/>
    <cellStyle name="20% - Accent4 21 3 2" xfId="22117" xr:uid="{00000000-0005-0000-0000-0000F3120000}"/>
    <cellStyle name="20% - Accent4 21 4" xfId="8835" xr:uid="{00000000-0005-0000-0000-0000F4120000}"/>
    <cellStyle name="20% - Accent4 21 4 2" xfId="20123" xr:uid="{00000000-0005-0000-0000-0000F5120000}"/>
    <cellStyle name="20% - Accent4 21 5" xfId="6841" xr:uid="{00000000-0005-0000-0000-0000F6120000}"/>
    <cellStyle name="20% - Accent4 21 5 2" xfId="18129" xr:uid="{00000000-0005-0000-0000-0000F7120000}"/>
    <cellStyle name="20% - Accent4 21 6" xfId="4847" xr:uid="{00000000-0005-0000-0000-0000F8120000}"/>
    <cellStyle name="20% - Accent4 21 6 2" xfId="16135" xr:uid="{00000000-0005-0000-0000-0000F9120000}"/>
    <cellStyle name="20% - Accent4 21 7" xfId="14141" xr:uid="{00000000-0005-0000-0000-0000FA120000}"/>
    <cellStyle name="20% - Accent4 21 8" xfId="12827" xr:uid="{00000000-0005-0000-0000-0000FB120000}"/>
    <cellStyle name="20% - Accent4 22" xfId="892" xr:uid="{00000000-0005-0000-0000-0000FC120000}"/>
    <cellStyle name="20% - Accent4 22 2" xfId="3848" xr:uid="{00000000-0005-0000-0000-0000FD120000}"/>
    <cellStyle name="20% - Accent4 22 2 2" xfId="11827" xr:uid="{00000000-0005-0000-0000-0000FE120000}"/>
    <cellStyle name="20% - Accent4 22 2 2 2" xfId="23115" xr:uid="{00000000-0005-0000-0000-0000FF120000}"/>
    <cellStyle name="20% - Accent4 22 2 3" xfId="9833" xr:uid="{00000000-0005-0000-0000-000000130000}"/>
    <cellStyle name="20% - Accent4 22 2 3 2" xfId="21121" xr:uid="{00000000-0005-0000-0000-000001130000}"/>
    <cellStyle name="20% - Accent4 22 2 4" xfId="7839" xr:uid="{00000000-0005-0000-0000-000002130000}"/>
    <cellStyle name="20% - Accent4 22 2 4 2" xfId="19127" xr:uid="{00000000-0005-0000-0000-000003130000}"/>
    <cellStyle name="20% - Accent4 22 2 5" xfId="5845" xr:uid="{00000000-0005-0000-0000-000004130000}"/>
    <cellStyle name="20% - Accent4 22 2 5 2" xfId="17133" xr:uid="{00000000-0005-0000-0000-000005130000}"/>
    <cellStyle name="20% - Accent4 22 2 6" xfId="15139" xr:uid="{00000000-0005-0000-0000-000006130000}"/>
    <cellStyle name="20% - Accent4 22 3" xfId="10830" xr:uid="{00000000-0005-0000-0000-000007130000}"/>
    <cellStyle name="20% - Accent4 22 3 2" xfId="22118" xr:uid="{00000000-0005-0000-0000-000008130000}"/>
    <cellStyle name="20% - Accent4 22 4" xfId="8836" xr:uid="{00000000-0005-0000-0000-000009130000}"/>
    <cellStyle name="20% - Accent4 22 4 2" xfId="20124" xr:uid="{00000000-0005-0000-0000-00000A130000}"/>
    <cellStyle name="20% - Accent4 22 5" xfId="6842" xr:uid="{00000000-0005-0000-0000-00000B130000}"/>
    <cellStyle name="20% - Accent4 22 5 2" xfId="18130" xr:uid="{00000000-0005-0000-0000-00000C130000}"/>
    <cellStyle name="20% - Accent4 22 6" xfId="4848" xr:uid="{00000000-0005-0000-0000-00000D130000}"/>
    <cellStyle name="20% - Accent4 22 6 2" xfId="16136" xr:uid="{00000000-0005-0000-0000-00000E130000}"/>
    <cellStyle name="20% - Accent4 22 7" xfId="14142" xr:uid="{00000000-0005-0000-0000-00000F130000}"/>
    <cellStyle name="20% - Accent4 22 8" xfId="12828" xr:uid="{00000000-0005-0000-0000-000010130000}"/>
    <cellStyle name="20% - Accent4 23" xfId="893" xr:uid="{00000000-0005-0000-0000-000011130000}"/>
    <cellStyle name="20% - Accent4 23 2" xfId="3849" xr:uid="{00000000-0005-0000-0000-000012130000}"/>
    <cellStyle name="20% - Accent4 23 2 2" xfId="11828" xr:uid="{00000000-0005-0000-0000-000013130000}"/>
    <cellStyle name="20% - Accent4 23 2 2 2" xfId="23116" xr:uid="{00000000-0005-0000-0000-000014130000}"/>
    <cellStyle name="20% - Accent4 23 2 3" xfId="9834" xr:uid="{00000000-0005-0000-0000-000015130000}"/>
    <cellStyle name="20% - Accent4 23 2 3 2" xfId="21122" xr:uid="{00000000-0005-0000-0000-000016130000}"/>
    <cellStyle name="20% - Accent4 23 2 4" xfId="7840" xr:uid="{00000000-0005-0000-0000-000017130000}"/>
    <cellStyle name="20% - Accent4 23 2 4 2" xfId="19128" xr:uid="{00000000-0005-0000-0000-000018130000}"/>
    <cellStyle name="20% - Accent4 23 2 5" xfId="5846" xr:uid="{00000000-0005-0000-0000-000019130000}"/>
    <cellStyle name="20% - Accent4 23 2 5 2" xfId="17134" xr:uid="{00000000-0005-0000-0000-00001A130000}"/>
    <cellStyle name="20% - Accent4 23 2 6" xfId="15140" xr:uid="{00000000-0005-0000-0000-00001B130000}"/>
    <cellStyle name="20% - Accent4 23 3" xfId="10831" xr:uid="{00000000-0005-0000-0000-00001C130000}"/>
    <cellStyle name="20% - Accent4 23 3 2" xfId="22119" xr:uid="{00000000-0005-0000-0000-00001D130000}"/>
    <cellStyle name="20% - Accent4 23 4" xfId="8837" xr:uid="{00000000-0005-0000-0000-00001E130000}"/>
    <cellStyle name="20% - Accent4 23 4 2" xfId="20125" xr:uid="{00000000-0005-0000-0000-00001F130000}"/>
    <cellStyle name="20% - Accent4 23 5" xfId="6843" xr:uid="{00000000-0005-0000-0000-000020130000}"/>
    <cellStyle name="20% - Accent4 23 5 2" xfId="18131" xr:uid="{00000000-0005-0000-0000-000021130000}"/>
    <cellStyle name="20% - Accent4 23 6" xfId="4849" xr:uid="{00000000-0005-0000-0000-000022130000}"/>
    <cellStyle name="20% - Accent4 23 6 2" xfId="16137" xr:uid="{00000000-0005-0000-0000-000023130000}"/>
    <cellStyle name="20% - Accent4 23 7" xfId="14143" xr:uid="{00000000-0005-0000-0000-000024130000}"/>
    <cellStyle name="20% - Accent4 23 8" xfId="12829" xr:uid="{00000000-0005-0000-0000-000025130000}"/>
    <cellStyle name="20% - Accent4 24" xfId="894" xr:uid="{00000000-0005-0000-0000-000026130000}"/>
    <cellStyle name="20% - Accent4 24 2" xfId="3850" xr:uid="{00000000-0005-0000-0000-000027130000}"/>
    <cellStyle name="20% - Accent4 24 2 2" xfId="11829" xr:uid="{00000000-0005-0000-0000-000028130000}"/>
    <cellStyle name="20% - Accent4 24 2 2 2" xfId="23117" xr:uid="{00000000-0005-0000-0000-000029130000}"/>
    <cellStyle name="20% - Accent4 24 2 3" xfId="9835" xr:uid="{00000000-0005-0000-0000-00002A130000}"/>
    <cellStyle name="20% - Accent4 24 2 3 2" xfId="21123" xr:uid="{00000000-0005-0000-0000-00002B130000}"/>
    <cellStyle name="20% - Accent4 24 2 4" xfId="7841" xr:uid="{00000000-0005-0000-0000-00002C130000}"/>
    <cellStyle name="20% - Accent4 24 2 4 2" xfId="19129" xr:uid="{00000000-0005-0000-0000-00002D130000}"/>
    <cellStyle name="20% - Accent4 24 2 5" xfId="5847" xr:uid="{00000000-0005-0000-0000-00002E130000}"/>
    <cellStyle name="20% - Accent4 24 2 5 2" xfId="17135" xr:uid="{00000000-0005-0000-0000-00002F130000}"/>
    <cellStyle name="20% - Accent4 24 2 6" xfId="15141" xr:uid="{00000000-0005-0000-0000-000030130000}"/>
    <cellStyle name="20% - Accent4 24 3" xfId="10832" xr:uid="{00000000-0005-0000-0000-000031130000}"/>
    <cellStyle name="20% - Accent4 24 3 2" xfId="22120" xr:uid="{00000000-0005-0000-0000-000032130000}"/>
    <cellStyle name="20% - Accent4 24 4" xfId="8838" xr:uid="{00000000-0005-0000-0000-000033130000}"/>
    <cellStyle name="20% - Accent4 24 4 2" xfId="20126" xr:uid="{00000000-0005-0000-0000-000034130000}"/>
    <cellStyle name="20% - Accent4 24 5" xfId="6844" xr:uid="{00000000-0005-0000-0000-000035130000}"/>
    <cellStyle name="20% - Accent4 24 5 2" xfId="18132" xr:uid="{00000000-0005-0000-0000-000036130000}"/>
    <cellStyle name="20% - Accent4 24 6" xfId="4850" xr:uid="{00000000-0005-0000-0000-000037130000}"/>
    <cellStyle name="20% - Accent4 24 6 2" xfId="16138" xr:uid="{00000000-0005-0000-0000-000038130000}"/>
    <cellStyle name="20% - Accent4 24 7" xfId="14144" xr:uid="{00000000-0005-0000-0000-000039130000}"/>
    <cellStyle name="20% - Accent4 24 8" xfId="12830" xr:uid="{00000000-0005-0000-0000-00003A130000}"/>
    <cellStyle name="20% - Accent4 25" xfId="895" xr:uid="{00000000-0005-0000-0000-00003B130000}"/>
    <cellStyle name="20% - Accent4 25 2" xfId="3851" xr:uid="{00000000-0005-0000-0000-00003C130000}"/>
    <cellStyle name="20% - Accent4 25 2 2" xfId="11830" xr:uid="{00000000-0005-0000-0000-00003D130000}"/>
    <cellStyle name="20% - Accent4 25 2 2 2" xfId="23118" xr:uid="{00000000-0005-0000-0000-00003E130000}"/>
    <cellStyle name="20% - Accent4 25 2 3" xfId="9836" xr:uid="{00000000-0005-0000-0000-00003F130000}"/>
    <cellStyle name="20% - Accent4 25 2 3 2" xfId="21124" xr:uid="{00000000-0005-0000-0000-000040130000}"/>
    <cellStyle name="20% - Accent4 25 2 4" xfId="7842" xr:uid="{00000000-0005-0000-0000-000041130000}"/>
    <cellStyle name="20% - Accent4 25 2 4 2" xfId="19130" xr:uid="{00000000-0005-0000-0000-000042130000}"/>
    <cellStyle name="20% - Accent4 25 2 5" xfId="5848" xr:uid="{00000000-0005-0000-0000-000043130000}"/>
    <cellStyle name="20% - Accent4 25 2 5 2" xfId="17136" xr:uid="{00000000-0005-0000-0000-000044130000}"/>
    <cellStyle name="20% - Accent4 25 2 6" xfId="15142" xr:uid="{00000000-0005-0000-0000-000045130000}"/>
    <cellStyle name="20% - Accent4 25 3" xfId="10833" xr:uid="{00000000-0005-0000-0000-000046130000}"/>
    <cellStyle name="20% - Accent4 25 3 2" xfId="22121" xr:uid="{00000000-0005-0000-0000-000047130000}"/>
    <cellStyle name="20% - Accent4 25 4" xfId="8839" xr:uid="{00000000-0005-0000-0000-000048130000}"/>
    <cellStyle name="20% - Accent4 25 4 2" xfId="20127" xr:uid="{00000000-0005-0000-0000-000049130000}"/>
    <cellStyle name="20% - Accent4 25 5" xfId="6845" xr:uid="{00000000-0005-0000-0000-00004A130000}"/>
    <cellStyle name="20% - Accent4 25 5 2" xfId="18133" xr:uid="{00000000-0005-0000-0000-00004B130000}"/>
    <cellStyle name="20% - Accent4 25 6" xfId="4851" xr:uid="{00000000-0005-0000-0000-00004C130000}"/>
    <cellStyle name="20% - Accent4 25 6 2" xfId="16139" xr:uid="{00000000-0005-0000-0000-00004D130000}"/>
    <cellStyle name="20% - Accent4 25 7" xfId="14145" xr:uid="{00000000-0005-0000-0000-00004E130000}"/>
    <cellStyle name="20% - Accent4 25 8" xfId="12831" xr:uid="{00000000-0005-0000-0000-00004F130000}"/>
    <cellStyle name="20% - Accent4 26" xfId="896" xr:uid="{00000000-0005-0000-0000-000050130000}"/>
    <cellStyle name="20% - Accent4 26 2" xfId="3852" xr:uid="{00000000-0005-0000-0000-000051130000}"/>
    <cellStyle name="20% - Accent4 26 2 2" xfId="11831" xr:uid="{00000000-0005-0000-0000-000052130000}"/>
    <cellStyle name="20% - Accent4 26 2 2 2" xfId="23119" xr:uid="{00000000-0005-0000-0000-000053130000}"/>
    <cellStyle name="20% - Accent4 26 2 3" xfId="9837" xr:uid="{00000000-0005-0000-0000-000054130000}"/>
    <cellStyle name="20% - Accent4 26 2 3 2" xfId="21125" xr:uid="{00000000-0005-0000-0000-000055130000}"/>
    <cellStyle name="20% - Accent4 26 2 4" xfId="7843" xr:uid="{00000000-0005-0000-0000-000056130000}"/>
    <cellStyle name="20% - Accent4 26 2 4 2" xfId="19131" xr:uid="{00000000-0005-0000-0000-000057130000}"/>
    <cellStyle name="20% - Accent4 26 2 5" xfId="5849" xr:uid="{00000000-0005-0000-0000-000058130000}"/>
    <cellStyle name="20% - Accent4 26 2 5 2" xfId="17137" xr:uid="{00000000-0005-0000-0000-000059130000}"/>
    <cellStyle name="20% - Accent4 26 2 6" xfId="15143" xr:uid="{00000000-0005-0000-0000-00005A130000}"/>
    <cellStyle name="20% - Accent4 26 3" xfId="10834" xr:uid="{00000000-0005-0000-0000-00005B130000}"/>
    <cellStyle name="20% - Accent4 26 3 2" xfId="22122" xr:uid="{00000000-0005-0000-0000-00005C130000}"/>
    <cellStyle name="20% - Accent4 26 4" xfId="8840" xr:uid="{00000000-0005-0000-0000-00005D130000}"/>
    <cellStyle name="20% - Accent4 26 4 2" xfId="20128" xr:uid="{00000000-0005-0000-0000-00005E130000}"/>
    <cellStyle name="20% - Accent4 26 5" xfId="6846" xr:uid="{00000000-0005-0000-0000-00005F130000}"/>
    <cellStyle name="20% - Accent4 26 5 2" xfId="18134" xr:uid="{00000000-0005-0000-0000-000060130000}"/>
    <cellStyle name="20% - Accent4 26 6" xfId="4852" xr:uid="{00000000-0005-0000-0000-000061130000}"/>
    <cellStyle name="20% - Accent4 26 6 2" xfId="16140" xr:uid="{00000000-0005-0000-0000-000062130000}"/>
    <cellStyle name="20% - Accent4 26 7" xfId="14146" xr:uid="{00000000-0005-0000-0000-000063130000}"/>
    <cellStyle name="20% - Accent4 26 8" xfId="12832" xr:uid="{00000000-0005-0000-0000-000064130000}"/>
    <cellStyle name="20% - Accent4 27" xfId="897" xr:uid="{00000000-0005-0000-0000-000065130000}"/>
    <cellStyle name="20% - Accent4 27 2" xfId="3853" xr:uid="{00000000-0005-0000-0000-000066130000}"/>
    <cellStyle name="20% - Accent4 27 2 2" xfId="11832" xr:uid="{00000000-0005-0000-0000-000067130000}"/>
    <cellStyle name="20% - Accent4 27 2 2 2" xfId="23120" xr:uid="{00000000-0005-0000-0000-000068130000}"/>
    <cellStyle name="20% - Accent4 27 2 3" xfId="9838" xr:uid="{00000000-0005-0000-0000-000069130000}"/>
    <cellStyle name="20% - Accent4 27 2 3 2" xfId="21126" xr:uid="{00000000-0005-0000-0000-00006A130000}"/>
    <cellStyle name="20% - Accent4 27 2 4" xfId="7844" xr:uid="{00000000-0005-0000-0000-00006B130000}"/>
    <cellStyle name="20% - Accent4 27 2 4 2" xfId="19132" xr:uid="{00000000-0005-0000-0000-00006C130000}"/>
    <cellStyle name="20% - Accent4 27 2 5" xfId="5850" xr:uid="{00000000-0005-0000-0000-00006D130000}"/>
    <cellStyle name="20% - Accent4 27 2 5 2" xfId="17138" xr:uid="{00000000-0005-0000-0000-00006E130000}"/>
    <cellStyle name="20% - Accent4 27 2 6" xfId="15144" xr:uid="{00000000-0005-0000-0000-00006F130000}"/>
    <cellStyle name="20% - Accent4 27 3" xfId="10835" xr:uid="{00000000-0005-0000-0000-000070130000}"/>
    <cellStyle name="20% - Accent4 27 3 2" xfId="22123" xr:uid="{00000000-0005-0000-0000-000071130000}"/>
    <cellStyle name="20% - Accent4 27 4" xfId="8841" xr:uid="{00000000-0005-0000-0000-000072130000}"/>
    <cellStyle name="20% - Accent4 27 4 2" xfId="20129" xr:uid="{00000000-0005-0000-0000-000073130000}"/>
    <cellStyle name="20% - Accent4 27 5" xfId="6847" xr:uid="{00000000-0005-0000-0000-000074130000}"/>
    <cellStyle name="20% - Accent4 27 5 2" xfId="18135" xr:uid="{00000000-0005-0000-0000-000075130000}"/>
    <cellStyle name="20% - Accent4 27 6" xfId="4853" xr:uid="{00000000-0005-0000-0000-000076130000}"/>
    <cellStyle name="20% - Accent4 27 6 2" xfId="16141" xr:uid="{00000000-0005-0000-0000-000077130000}"/>
    <cellStyle name="20% - Accent4 27 7" xfId="14147" xr:uid="{00000000-0005-0000-0000-000078130000}"/>
    <cellStyle name="20% - Accent4 27 8" xfId="12833" xr:uid="{00000000-0005-0000-0000-000079130000}"/>
    <cellStyle name="20% - Accent4 28" xfId="898" xr:uid="{00000000-0005-0000-0000-00007A130000}"/>
    <cellStyle name="20% - Accent4 28 2" xfId="3854" xr:uid="{00000000-0005-0000-0000-00007B130000}"/>
    <cellStyle name="20% - Accent4 28 2 2" xfId="11833" xr:uid="{00000000-0005-0000-0000-00007C130000}"/>
    <cellStyle name="20% - Accent4 28 2 2 2" xfId="23121" xr:uid="{00000000-0005-0000-0000-00007D130000}"/>
    <cellStyle name="20% - Accent4 28 2 3" xfId="9839" xr:uid="{00000000-0005-0000-0000-00007E130000}"/>
    <cellStyle name="20% - Accent4 28 2 3 2" xfId="21127" xr:uid="{00000000-0005-0000-0000-00007F130000}"/>
    <cellStyle name="20% - Accent4 28 2 4" xfId="7845" xr:uid="{00000000-0005-0000-0000-000080130000}"/>
    <cellStyle name="20% - Accent4 28 2 4 2" xfId="19133" xr:uid="{00000000-0005-0000-0000-000081130000}"/>
    <cellStyle name="20% - Accent4 28 2 5" xfId="5851" xr:uid="{00000000-0005-0000-0000-000082130000}"/>
    <cellStyle name="20% - Accent4 28 2 5 2" xfId="17139" xr:uid="{00000000-0005-0000-0000-000083130000}"/>
    <cellStyle name="20% - Accent4 28 2 6" xfId="15145" xr:uid="{00000000-0005-0000-0000-000084130000}"/>
    <cellStyle name="20% - Accent4 28 3" xfId="10836" xr:uid="{00000000-0005-0000-0000-000085130000}"/>
    <cellStyle name="20% - Accent4 28 3 2" xfId="22124" xr:uid="{00000000-0005-0000-0000-000086130000}"/>
    <cellStyle name="20% - Accent4 28 4" xfId="8842" xr:uid="{00000000-0005-0000-0000-000087130000}"/>
    <cellStyle name="20% - Accent4 28 4 2" xfId="20130" xr:uid="{00000000-0005-0000-0000-000088130000}"/>
    <cellStyle name="20% - Accent4 28 5" xfId="6848" xr:uid="{00000000-0005-0000-0000-000089130000}"/>
    <cellStyle name="20% - Accent4 28 5 2" xfId="18136" xr:uid="{00000000-0005-0000-0000-00008A130000}"/>
    <cellStyle name="20% - Accent4 28 6" xfId="4854" xr:uid="{00000000-0005-0000-0000-00008B130000}"/>
    <cellStyle name="20% - Accent4 28 6 2" xfId="16142" xr:uid="{00000000-0005-0000-0000-00008C130000}"/>
    <cellStyle name="20% - Accent4 28 7" xfId="14148" xr:uid="{00000000-0005-0000-0000-00008D130000}"/>
    <cellStyle name="20% - Accent4 28 8" xfId="12834" xr:uid="{00000000-0005-0000-0000-00008E130000}"/>
    <cellStyle name="20% - Accent4 29" xfId="899" xr:uid="{00000000-0005-0000-0000-00008F130000}"/>
    <cellStyle name="20% - Accent4 29 2" xfId="3855" xr:uid="{00000000-0005-0000-0000-000090130000}"/>
    <cellStyle name="20% - Accent4 29 2 2" xfId="11834" xr:uid="{00000000-0005-0000-0000-000091130000}"/>
    <cellStyle name="20% - Accent4 29 2 2 2" xfId="23122" xr:uid="{00000000-0005-0000-0000-000092130000}"/>
    <cellStyle name="20% - Accent4 29 2 3" xfId="9840" xr:uid="{00000000-0005-0000-0000-000093130000}"/>
    <cellStyle name="20% - Accent4 29 2 3 2" xfId="21128" xr:uid="{00000000-0005-0000-0000-000094130000}"/>
    <cellStyle name="20% - Accent4 29 2 4" xfId="7846" xr:uid="{00000000-0005-0000-0000-000095130000}"/>
    <cellStyle name="20% - Accent4 29 2 4 2" xfId="19134" xr:uid="{00000000-0005-0000-0000-000096130000}"/>
    <cellStyle name="20% - Accent4 29 2 5" xfId="5852" xr:uid="{00000000-0005-0000-0000-000097130000}"/>
    <cellStyle name="20% - Accent4 29 2 5 2" xfId="17140" xr:uid="{00000000-0005-0000-0000-000098130000}"/>
    <cellStyle name="20% - Accent4 29 2 6" xfId="15146" xr:uid="{00000000-0005-0000-0000-000099130000}"/>
    <cellStyle name="20% - Accent4 29 3" xfId="10837" xr:uid="{00000000-0005-0000-0000-00009A130000}"/>
    <cellStyle name="20% - Accent4 29 3 2" xfId="22125" xr:uid="{00000000-0005-0000-0000-00009B130000}"/>
    <cellStyle name="20% - Accent4 29 4" xfId="8843" xr:uid="{00000000-0005-0000-0000-00009C130000}"/>
    <cellStyle name="20% - Accent4 29 4 2" xfId="20131" xr:uid="{00000000-0005-0000-0000-00009D130000}"/>
    <cellStyle name="20% - Accent4 29 5" xfId="6849" xr:uid="{00000000-0005-0000-0000-00009E130000}"/>
    <cellStyle name="20% - Accent4 29 5 2" xfId="18137" xr:uid="{00000000-0005-0000-0000-00009F130000}"/>
    <cellStyle name="20% - Accent4 29 6" xfId="4855" xr:uid="{00000000-0005-0000-0000-0000A0130000}"/>
    <cellStyle name="20% - Accent4 29 6 2" xfId="16143" xr:uid="{00000000-0005-0000-0000-0000A1130000}"/>
    <cellStyle name="20% - Accent4 29 7" xfId="14149" xr:uid="{00000000-0005-0000-0000-0000A2130000}"/>
    <cellStyle name="20% - Accent4 29 8" xfId="12835" xr:uid="{00000000-0005-0000-0000-0000A3130000}"/>
    <cellStyle name="20% - Accent4 3" xfId="900" xr:uid="{00000000-0005-0000-0000-0000A4130000}"/>
    <cellStyle name="20% - Accent4 3 10" xfId="24578" xr:uid="{00000000-0005-0000-0000-0000A5130000}"/>
    <cellStyle name="20% - Accent4 3 11" xfId="24968" xr:uid="{00000000-0005-0000-0000-0000A6130000}"/>
    <cellStyle name="20% - Accent4 3 2" xfId="3856" xr:uid="{00000000-0005-0000-0000-0000A7130000}"/>
    <cellStyle name="20% - Accent4 3 2 2" xfId="11835" xr:uid="{00000000-0005-0000-0000-0000A8130000}"/>
    <cellStyle name="20% - Accent4 3 2 2 2" xfId="23123" xr:uid="{00000000-0005-0000-0000-0000A9130000}"/>
    <cellStyle name="20% - Accent4 3 2 3" xfId="9841" xr:uid="{00000000-0005-0000-0000-0000AA130000}"/>
    <cellStyle name="20% - Accent4 3 2 3 2" xfId="21129" xr:uid="{00000000-0005-0000-0000-0000AB130000}"/>
    <cellStyle name="20% - Accent4 3 2 4" xfId="7847" xr:uid="{00000000-0005-0000-0000-0000AC130000}"/>
    <cellStyle name="20% - Accent4 3 2 4 2" xfId="19135" xr:uid="{00000000-0005-0000-0000-0000AD130000}"/>
    <cellStyle name="20% - Accent4 3 2 5" xfId="5853" xr:uid="{00000000-0005-0000-0000-0000AE130000}"/>
    <cellStyle name="20% - Accent4 3 2 5 2" xfId="17141" xr:uid="{00000000-0005-0000-0000-0000AF130000}"/>
    <cellStyle name="20% - Accent4 3 2 6" xfId="15147" xr:uid="{00000000-0005-0000-0000-0000B0130000}"/>
    <cellStyle name="20% - Accent4 3 2 7" xfId="24339" xr:uid="{00000000-0005-0000-0000-0000B1130000}"/>
    <cellStyle name="20% - Accent4 3 2 8" xfId="24803" xr:uid="{00000000-0005-0000-0000-0000B2130000}"/>
    <cellStyle name="20% - Accent4 3 2 9" xfId="25170" xr:uid="{00000000-0005-0000-0000-0000B3130000}"/>
    <cellStyle name="20% - Accent4 3 3" xfId="10838" xr:uid="{00000000-0005-0000-0000-0000B4130000}"/>
    <cellStyle name="20% - Accent4 3 3 2" xfId="22126" xr:uid="{00000000-0005-0000-0000-0000B5130000}"/>
    <cellStyle name="20% - Accent4 3 4" xfId="8844" xr:uid="{00000000-0005-0000-0000-0000B6130000}"/>
    <cellStyle name="20% - Accent4 3 4 2" xfId="20132" xr:uid="{00000000-0005-0000-0000-0000B7130000}"/>
    <cellStyle name="20% - Accent4 3 5" xfId="6850" xr:uid="{00000000-0005-0000-0000-0000B8130000}"/>
    <cellStyle name="20% - Accent4 3 5 2" xfId="18138" xr:uid="{00000000-0005-0000-0000-0000B9130000}"/>
    <cellStyle name="20% - Accent4 3 6" xfId="4856" xr:uid="{00000000-0005-0000-0000-0000BA130000}"/>
    <cellStyle name="20% - Accent4 3 6 2" xfId="16144" xr:uid="{00000000-0005-0000-0000-0000BB130000}"/>
    <cellStyle name="20% - Accent4 3 7" xfId="14150" xr:uid="{00000000-0005-0000-0000-0000BC130000}"/>
    <cellStyle name="20% - Accent4 3 8" xfId="12836" xr:uid="{00000000-0005-0000-0000-0000BD130000}"/>
    <cellStyle name="20% - Accent4 3 9" xfId="23951" xr:uid="{00000000-0005-0000-0000-0000BE130000}"/>
    <cellStyle name="20% - Accent4 30" xfId="901" xr:uid="{00000000-0005-0000-0000-0000BF130000}"/>
    <cellStyle name="20% - Accent4 30 2" xfId="3857" xr:uid="{00000000-0005-0000-0000-0000C0130000}"/>
    <cellStyle name="20% - Accent4 30 2 2" xfId="11836" xr:uid="{00000000-0005-0000-0000-0000C1130000}"/>
    <cellStyle name="20% - Accent4 30 2 2 2" xfId="23124" xr:uid="{00000000-0005-0000-0000-0000C2130000}"/>
    <cellStyle name="20% - Accent4 30 2 3" xfId="9842" xr:uid="{00000000-0005-0000-0000-0000C3130000}"/>
    <cellStyle name="20% - Accent4 30 2 3 2" xfId="21130" xr:uid="{00000000-0005-0000-0000-0000C4130000}"/>
    <cellStyle name="20% - Accent4 30 2 4" xfId="7848" xr:uid="{00000000-0005-0000-0000-0000C5130000}"/>
    <cellStyle name="20% - Accent4 30 2 4 2" xfId="19136" xr:uid="{00000000-0005-0000-0000-0000C6130000}"/>
    <cellStyle name="20% - Accent4 30 2 5" xfId="5854" xr:uid="{00000000-0005-0000-0000-0000C7130000}"/>
    <cellStyle name="20% - Accent4 30 2 5 2" xfId="17142" xr:uid="{00000000-0005-0000-0000-0000C8130000}"/>
    <cellStyle name="20% - Accent4 30 2 6" xfId="15148" xr:uid="{00000000-0005-0000-0000-0000C9130000}"/>
    <cellStyle name="20% - Accent4 30 3" xfId="10839" xr:uid="{00000000-0005-0000-0000-0000CA130000}"/>
    <cellStyle name="20% - Accent4 30 3 2" xfId="22127" xr:uid="{00000000-0005-0000-0000-0000CB130000}"/>
    <cellStyle name="20% - Accent4 30 4" xfId="8845" xr:uid="{00000000-0005-0000-0000-0000CC130000}"/>
    <cellStyle name="20% - Accent4 30 4 2" xfId="20133" xr:uid="{00000000-0005-0000-0000-0000CD130000}"/>
    <cellStyle name="20% - Accent4 30 5" xfId="6851" xr:uid="{00000000-0005-0000-0000-0000CE130000}"/>
    <cellStyle name="20% - Accent4 30 5 2" xfId="18139" xr:uid="{00000000-0005-0000-0000-0000CF130000}"/>
    <cellStyle name="20% - Accent4 30 6" xfId="4857" xr:uid="{00000000-0005-0000-0000-0000D0130000}"/>
    <cellStyle name="20% - Accent4 30 6 2" xfId="16145" xr:uid="{00000000-0005-0000-0000-0000D1130000}"/>
    <cellStyle name="20% - Accent4 30 7" xfId="14151" xr:uid="{00000000-0005-0000-0000-0000D2130000}"/>
    <cellStyle name="20% - Accent4 30 8" xfId="12837" xr:uid="{00000000-0005-0000-0000-0000D3130000}"/>
    <cellStyle name="20% - Accent4 31" xfId="902" xr:uid="{00000000-0005-0000-0000-0000D4130000}"/>
    <cellStyle name="20% - Accent4 31 2" xfId="3858" xr:uid="{00000000-0005-0000-0000-0000D5130000}"/>
    <cellStyle name="20% - Accent4 31 2 2" xfId="11837" xr:uid="{00000000-0005-0000-0000-0000D6130000}"/>
    <cellStyle name="20% - Accent4 31 2 2 2" xfId="23125" xr:uid="{00000000-0005-0000-0000-0000D7130000}"/>
    <cellStyle name="20% - Accent4 31 2 3" xfId="9843" xr:uid="{00000000-0005-0000-0000-0000D8130000}"/>
    <cellStyle name="20% - Accent4 31 2 3 2" xfId="21131" xr:uid="{00000000-0005-0000-0000-0000D9130000}"/>
    <cellStyle name="20% - Accent4 31 2 4" xfId="7849" xr:uid="{00000000-0005-0000-0000-0000DA130000}"/>
    <cellStyle name="20% - Accent4 31 2 4 2" xfId="19137" xr:uid="{00000000-0005-0000-0000-0000DB130000}"/>
    <cellStyle name="20% - Accent4 31 2 5" xfId="5855" xr:uid="{00000000-0005-0000-0000-0000DC130000}"/>
    <cellStyle name="20% - Accent4 31 2 5 2" xfId="17143" xr:uid="{00000000-0005-0000-0000-0000DD130000}"/>
    <cellStyle name="20% - Accent4 31 2 6" xfId="15149" xr:uid="{00000000-0005-0000-0000-0000DE130000}"/>
    <cellStyle name="20% - Accent4 31 3" xfId="10840" xr:uid="{00000000-0005-0000-0000-0000DF130000}"/>
    <cellStyle name="20% - Accent4 31 3 2" xfId="22128" xr:uid="{00000000-0005-0000-0000-0000E0130000}"/>
    <cellStyle name="20% - Accent4 31 4" xfId="8846" xr:uid="{00000000-0005-0000-0000-0000E1130000}"/>
    <cellStyle name="20% - Accent4 31 4 2" xfId="20134" xr:uid="{00000000-0005-0000-0000-0000E2130000}"/>
    <cellStyle name="20% - Accent4 31 5" xfId="6852" xr:uid="{00000000-0005-0000-0000-0000E3130000}"/>
    <cellStyle name="20% - Accent4 31 5 2" xfId="18140" xr:uid="{00000000-0005-0000-0000-0000E4130000}"/>
    <cellStyle name="20% - Accent4 31 6" xfId="4858" xr:uid="{00000000-0005-0000-0000-0000E5130000}"/>
    <cellStyle name="20% - Accent4 31 6 2" xfId="16146" xr:uid="{00000000-0005-0000-0000-0000E6130000}"/>
    <cellStyle name="20% - Accent4 31 7" xfId="14152" xr:uid="{00000000-0005-0000-0000-0000E7130000}"/>
    <cellStyle name="20% - Accent4 31 8" xfId="12838" xr:uid="{00000000-0005-0000-0000-0000E8130000}"/>
    <cellStyle name="20% - Accent4 32" xfId="903" xr:uid="{00000000-0005-0000-0000-0000E9130000}"/>
    <cellStyle name="20% - Accent4 32 2" xfId="3859" xr:uid="{00000000-0005-0000-0000-0000EA130000}"/>
    <cellStyle name="20% - Accent4 32 2 2" xfId="11838" xr:uid="{00000000-0005-0000-0000-0000EB130000}"/>
    <cellStyle name="20% - Accent4 32 2 2 2" xfId="23126" xr:uid="{00000000-0005-0000-0000-0000EC130000}"/>
    <cellStyle name="20% - Accent4 32 2 3" xfId="9844" xr:uid="{00000000-0005-0000-0000-0000ED130000}"/>
    <cellStyle name="20% - Accent4 32 2 3 2" xfId="21132" xr:uid="{00000000-0005-0000-0000-0000EE130000}"/>
    <cellStyle name="20% - Accent4 32 2 4" xfId="7850" xr:uid="{00000000-0005-0000-0000-0000EF130000}"/>
    <cellStyle name="20% - Accent4 32 2 4 2" xfId="19138" xr:uid="{00000000-0005-0000-0000-0000F0130000}"/>
    <cellStyle name="20% - Accent4 32 2 5" xfId="5856" xr:uid="{00000000-0005-0000-0000-0000F1130000}"/>
    <cellStyle name="20% - Accent4 32 2 5 2" xfId="17144" xr:uid="{00000000-0005-0000-0000-0000F2130000}"/>
    <cellStyle name="20% - Accent4 32 2 6" xfId="15150" xr:uid="{00000000-0005-0000-0000-0000F3130000}"/>
    <cellStyle name="20% - Accent4 32 3" xfId="10841" xr:uid="{00000000-0005-0000-0000-0000F4130000}"/>
    <cellStyle name="20% - Accent4 32 3 2" xfId="22129" xr:uid="{00000000-0005-0000-0000-0000F5130000}"/>
    <cellStyle name="20% - Accent4 32 4" xfId="8847" xr:uid="{00000000-0005-0000-0000-0000F6130000}"/>
    <cellStyle name="20% - Accent4 32 4 2" xfId="20135" xr:uid="{00000000-0005-0000-0000-0000F7130000}"/>
    <cellStyle name="20% - Accent4 32 5" xfId="6853" xr:uid="{00000000-0005-0000-0000-0000F8130000}"/>
    <cellStyle name="20% - Accent4 32 5 2" xfId="18141" xr:uid="{00000000-0005-0000-0000-0000F9130000}"/>
    <cellStyle name="20% - Accent4 32 6" xfId="4859" xr:uid="{00000000-0005-0000-0000-0000FA130000}"/>
    <cellStyle name="20% - Accent4 32 6 2" xfId="16147" xr:uid="{00000000-0005-0000-0000-0000FB130000}"/>
    <cellStyle name="20% - Accent4 32 7" xfId="14153" xr:uid="{00000000-0005-0000-0000-0000FC130000}"/>
    <cellStyle name="20% - Accent4 32 8" xfId="12839" xr:uid="{00000000-0005-0000-0000-0000FD130000}"/>
    <cellStyle name="20% - Accent4 33" xfId="904" xr:uid="{00000000-0005-0000-0000-0000FE130000}"/>
    <cellStyle name="20% - Accent4 33 2" xfId="3860" xr:uid="{00000000-0005-0000-0000-0000FF130000}"/>
    <cellStyle name="20% - Accent4 33 2 2" xfId="11839" xr:uid="{00000000-0005-0000-0000-000000140000}"/>
    <cellStyle name="20% - Accent4 33 2 2 2" xfId="23127" xr:uid="{00000000-0005-0000-0000-000001140000}"/>
    <cellStyle name="20% - Accent4 33 2 3" xfId="9845" xr:uid="{00000000-0005-0000-0000-000002140000}"/>
    <cellStyle name="20% - Accent4 33 2 3 2" xfId="21133" xr:uid="{00000000-0005-0000-0000-000003140000}"/>
    <cellStyle name="20% - Accent4 33 2 4" xfId="7851" xr:uid="{00000000-0005-0000-0000-000004140000}"/>
    <cellStyle name="20% - Accent4 33 2 4 2" xfId="19139" xr:uid="{00000000-0005-0000-0000-000005140000}"/>
    <cellStyle name="20% - Accent4 33 2 5" xfId="5857" xr:uid="{00000000-0005-0000-0000-000006140000}"/>
    <cellStyle name="20% - Accent4 33 2 5 2" xfId="17145" xr:uid="{00000000-0005-0000-0000-000007140000}"/>
    <cellStyle name="20% - Accent4 33 2 6" xfId="15151" xr:uid="{00000000-0005-0000-0000-000008140000}"/>
    <cellStyle name="20% - Accent4 33 3" xfId="10842" xr:uid="{00000000-0005-0000-0000-000009140000}"/>
    <cellStyle name="20% - Accent4 33 3 2" xfId="22130" xr:uid="{00000000-0005-0000-0000-00000A140000}"/>
    <cellStyle name="20% - Accent4 33 4" xfId="8848" xr:uid="{00000000-0005-0000-0000-00000B140000}"/>
    <cellStyle name="20% - Accent4 33 4 2" xfId="20136" xr:uid="{00000000-0005-0000-0000-00000C140000}"/>
    <cellStyle name="20% - Accent4 33 5" xfId="6854" xr:uid="{00000000-0005-0000-0000-00000D140000}"/>
    <cellStyle name="20% - Accent4 33 5 2" xfId="18142" xr:uid="{00000000-0005-0000-0000-00000E140000}"/>
    <cellStyle name="20% - Accent4 33 6" xfId="4860" xr:uid="{00000000-0005-0000-0000-00000F140000}"/>
    <cellStyle name="20% - Accent4 33 6 2" xfId="16148" xr:uid="{00000000-0005-0000-0000-000010140000}"/>
    <cellStyle name="20% - Accent4 33 7" xfId="14154" xr:uid="{00000000-0005-0000-0000-000011140000}"/>
    <cellStyle name="20% - Accent4 33 8" xfId="12840" xr:uid="{00000000-0005-0000-0000-000012140000}"/>
    <cellStyle name="20% - Accent4 34" xfId="905" xr:uid="{00000000-0005-0000-0000-000013140000}"/>
    <cellStyle name="20% - Accent4 34 2" xfId="3861" xr:uid="{00000000-0005-0000-0000-000014140000}"/>
    <cellStyle name="20% - Accent4 34 2 2" xfId="11840" xr:uid="{00000000-0005-0000-0000-000015140000}"/>
    <cellStyle name="20% - Accent4 34 2 2 2" xfId="23128" xr:uid="{00000000-0005-0000-0000-000016140000}"/>
    <cellStyle name="20% - Accent4 34 2 3" xfId="9846" xr:uid="{00000000-0005-0000-0000-000017140000}"/>
    <cellStyle name="20% - Accent4 34 2 3 2" xfId="21134" xr:uid="{00000000-0005-0000-0000-000018140000}"/>
    <cellStyle name="20% - Accent4 34 2 4" xfId="7852" xr:uid="{00000000-0005-0000-0000-000019140000}"/>
    <cellStyle name="20% - Accent4 34 2 4 2" xfId="19140" xr:uid="{00000000-0005-0000-0000-00001A140000}"/>
    <cellStyle name="20% - Accent4 34 2 5" xfId="5858" xr:uid="{00000000-0005-0000-0000-00001B140000}"/>
    <cellStyle name="20% - Accent4 34 2 5 2" xfId="17146" xr:uid="{00000000-0005-0000-0000-00001C140000}"/>
    <cellStyle name="20% - Accent4 34 2 6" xfId="15152" xr:uid="{00000000-0005-0000-0000-00001D140000}"/>
    <cellStyle name="20% - Accent4 34 3" xfId="10843" xr:uid="{00000000-0005-0000-0000-00001E140000}"/>
    <cellStyle name="20% - Accent4 34 3 2" xfId="22131" xr:uid="{00000000-0005-0000-0000-00001F140000}"/>
    <cellStyle name="20% - Accent4 34 4" xfId="8849" xr:uid="{00000000-0005-0000-0000-000020140000}"/>
    <cellStyle name="20% - Accent4 34 4 2" xfId="20137" xr:uid="{00000000-0005-0000-0000-000021140000}"/>
    <cellStyle name="20% - Accent4 34 5" xfId="6855" xr:uid="{00000000-0005-0000-0000-000022140000}"/>
    <cellStyle name="20% - Accent4 34 5 2" xfId="18143" xr:uid="{00000000-0005-0000-0000-000023140000}"/>
    <cellStyle name="20% - Accent4 34 6" xfId="4861" xr:uid="{00000000-0005-0000-0000-000024140000}"/>
    <cellStyle name="20% - Accent4 34 6 2" xfId="16149" xr:uid="{00000000-0005-0000-0000-000025140000}"/>
    <cellStyle name="20% - Accent4 34 7" xfId="14155" xr:uid="{00000000-0005-0000-0000-000026140000}"/>
    <cellStyle name="20% - Accent4 34 8" xfId="12841" xr:uid="{00000000-0005-0000-0000-000027140000}"/>
    <cellStyle name="20% - Accent4 35" xfId="906" xr:uid="{00000000-0005-0000-0000-000028140000}"/>
    <cellStyle name="20% - Accent4 35 2" xfId="3862" xr:uid="{00000000-0005-0000-0000-000029140000}"/>
    <cellStyle name="20% - Accent4 35 2 2" xfId="11841" xr:uid="{00000000-0005-0000-0000-00002A140000}"/>
    <cellStyle name="20% - Accent4 35 2 2 2" xfId="23129" xr:uid="{00000000-0005-0000-0000-00002B140000}"/>
    <cellStyle name="20% - Accent4 35 2 3" xfId="9847" xr:uid="{00000000-0005-0000-0000-00002C140000}"/>
    <cellStyle name="20% - Accent4 35 2 3 2" xfId="21135" xr:uid="{00000000-0005-0000-0000-00002D140000}"/>
    <cellStyle name="20% - Accent4 35 2 4" xfId="7853" xr:uid="{00000000-0005-0000-0000-00002E140000}"/>
    <cellStyle name="20% - Accent4 35 2 4 2" xfId="19141" xr:uid="{00000000-0005-0000-0000-00002F140000}"/>
    <cellStyle name="20% - Accent4 35 2 5" xfId="5859" xr:uid="{00000000-0005-0000-0000-000030140000}"/>
    <cellStyle name="20% - Accent4 35 2 5 2" xfId="17147" xr:uid="{00000000-0005-0000-0000-000031140000}"/>
    <cellStyle name="20% - Accent4 35 2 6" xfId="15153" xr:uid="{00000000-0005-0000-0000-000032140000}"/>
    <cellStyle name="20% - Accent4 35 3" xfId="10844" xr:uid="{00000000-0005-0000-0000-000033140000}"/>
    <cellStyle name="20% - Accent4 35 3 2" xfId="22132" xr:uid="{00000000-0005-0000-0000-000034140000}"/>
    <cellStyle name="20% - Accent4 35 4" xfId="8850" xr:uid="{00000000-0005-0000-0000-000035140000}"/>
    <cellStyle name="20% - Accent4 35 4 2" xfId="20138" xr:uid="{00000000-0005-0000-0000-000036140000}"/>
    <cellStyle name="20% - Accent4 35 5" xfId="6856" xr:uid="{00000000-0005-0000-0000-000037140000}"/>
    <cellStyle name="20% - Accent4 35 5 2" xfId="18144" xr:uid="{00000000-0005-0000-0000-000038140000}"/>
    <cellStyle name="20% - Accent4 35 6" xfId="4862" xr:uid="{00000000-0005-0000-0000-000039140000}"/>
    <cellStyle name="20% - Accent4 35 6 2" xfId="16150" xr:uid="{00000000-0005-0000-0000-00003A140000}"/>
    <cellStyle name="20% - Accent4 35 7" xfId="14156" xr:uid="{00000000-0005-0000-0000-00003B140000}"/>
    <cellStyle name="20% - Accent4 35 8" xfId="12842" xr:uid="{00000000-0005-0000-0000-00003C140000}"/>
    <cellStyle name="20% - Accent4 36" xfId="907" xr:uid="{00000000-0005-0000-0000-00003D140000}"/>
    <cellStyle name="20% - Accent4 36 2" xfId="3863" xr:uid="{00000000-0005-0000-0000-00003E140000}"/>
    <cellStyle name="20% - Accent4 36 2 2" xfId="11842" xr:uid="{00000000-0005-0000-0000-00003F140000}"/>
    <cellStyle name="20% - Accent4 36 2 2 2" xfId="23130" xr:uid="{00000000-0005-0000-0000-000040140000}"/>
    <cellStyle name="20% - Accent4 36 2 3" xfId="9848" xr:uid="{00000000-0005-0000-0000-000041140000}"/>
    <cellStyle name="20% - Accent4 36 2 3 2" xfId="21136" xr:uid="{00000000-0005-0000-0000-000042140000}"/>
    <cellStyle name="20% - Accent4 36 2 4" xfId="7854" xr:uid="{00000000-0005-0000-0000-000043140000}"/>
    <cellStyle name="20% - Accent4 36 2 4 2" xfId="19142" xr:uid="{00000000-0005-0000-0000-000044140000}"/>
    <cellStyle name="20% - Accent4 36 2 5" xfId="5860" xr:uid="{00000000-0005-0000-0000-000045140000}"/>
    <cellStyle name="20% - Accent4 36 2 5 2" xfId="17148" xr:uid="{00000000-0005-0000-0000-000046140000}"/>
    <cellStyle name="20% - Accent4 36 2 6" xfId="15154" xr:uid="{00000000-0005-0000-0000-000047140000}"/>
    <cellStyle name="20% - Accent4 36 3" xfId="10845" xr:uid="{00000000-0005-0000-0000-000048140000}"/>
    <cellStyle name="20% - Accent4 36 3 2" xfId="22133" xr:uid="{00000000-0005-0000-0000-000049140000}"/>
    <cellStyle name="20% - Accent4 36 4" xfId="8851" xr:uid="{00000000-0005-0000-0000-00004A140000}"/>
    <cellStyle name="20% - Accent4 36 4 2" xfId="20139" xr:uid="{00000000-0005-0000-0000-00004B140000}"/>
    <cellStyle name="20% - Accent4 36 5" xfId="6857" xr:uid="{00000000-0005-0000-0000-00004C140000}"/>
    <cellStyle name="20% - Accent4 36 5 2" xfId="18145" xr:uid="{00000000-0005-0000-0000-00004D140000}"/>
    <cellStyle name="20% - Accent4 36 6" xfId="4863" xr:uid="{00000000-0005-0000-0000-00004E140000}"/>
    <cellStyle name="20% - Accent4 36 6 2" xfId="16151" xr:uid="{00000000-0005-0000-0000-00004F140000}"/>
    <cellStyle name="20% - Accent4 36 7" xfId="14157" xr:uid="{00000000-0005-0000-0000-000050140000}"/>
    <cellStyle name="20% - Accent4 36 8" xfId="12843" xr:uid="{00000000-0005-0000-0000-000051140000}"/>
    <cellStyle name="20% - Accent4 37" xfId="908" xr:uid="{00000000-0005-0000-0000-000052140000}"/>
    <cellStyle name="20% - Accent4 37 2" xfId="3864" xr:uid="{00000000-0005-0000-0000-000053140000}"/>
    <cellStyle name="20% - Accent4 37 2 2" xfId="11843" xr:uid="{00000000-0005-0000-0000-000054140000}"/>
    <cellStyle name="20% - Accent4 37 2 2 2" xfId="23131" xr:uid="{00000000-0005-0000-0000-000055140000}"/>
    <cellStyle name="20% - Accent4 37 2 3" xfId="9849" xr:uid="{00000000-0005-0000-0000-000056140000}"/>
    <cellStyle name="20% - Accent4 37 2 3 2" xfId="21137" xr:uid="{00000000-0005-0000-0000-000057140000}"/>
    <cellStyle name="20% - Accent4 37 2 4" xfId="7855" xr:uid="{00000000-0005-0000-0000-000058140000}"/>
    <cellStyle name="20% - Accent4 37 2 4 2" xfId="19143" xr:uid="{00000000-0005-0000-0000-000059140000}"/>
    <cellStyle name="20% - Accent4 37 2 5" xfId="5861" xr:uid="{00000000-0005-0000-0000-00005A140000}"/>
    <cellStyle name="20% - Accent4 37 2 5 2" xfId="17149" xr:uid="{00000000-0005-0000-0000-00005B140000}"/>
    <cellStyle name="20% - Accent4 37 2 6" xfId="15155" xr:uid="{00000000-0005-0000-0000-00005C140000}"/>
    <cellStyle name="20% - Accent4 37 3" xfId="10846" xr:uid="{00000000-0005-0000-0000-00005D140000}"/>
    <cellStyle name="20% - Accent4 37 3 2" xfId="22134" xr:uid="{00000000-0005-0000-0000-00005E140000}"/>
    <cellStyle name="20% - Accent4 37 4" xfId="8852" xr:uid="{00000000-0005-0000-0000-00005F140000}"/>
    <cellStyle name="20% - Accent4 37 4 2" xfId="20140" xr:uid="{00000000-0005-0000-0000-000060140000}"/>
    <cellStyle name="20% - Accent4 37 5" xfId="6858" xr:uid="{00000000-0005-0000-0000-000061140000}"/>
    <cellStyle name="20% - Accent4 37 5 2" xfId="18146" xr:uid="{00000000-0005-0000-0000-000062140000}"/>
    <cellStyle name="20% - Accent4 37 6" xfId="4864" xr:uid="{00000000-0005-0000-0000-000063140000}"/>
    <cellStyle name="20% - Accent4 37 6 2" xfId="16152" xr:uid="{00000000-0005-0000-0000-000064140000}"/>
    <cellStyle name="20% - Accent4 37 7" xfId="14158" xr:uid="{00000000-0005-0000-0000-000065140000}"/>
    <cellStyle name="20% - Accent4 37 8" xfId="12844" xr:uid="{00000000-0005-0000-0000-000066140000}"/>
    <cellStyle name="20% - Accent4 38" xfId="909" xr:uid="{00000000-0005-0000-0000-000067140000}"/>
    <cellStyle name="20% - Accent4 38 2" xfId="3865" xr:uid="{00000000-0005-0000-0000-000068140000}"/>
    <cellStyle name="20% - Accent4 38 2 2" xfId="11844" xr:uid="{00000000-0005-0000-0000-000069140000}"/>
    <cellStyle name="20% - Accent4 38 2 2 2" xfId="23132" xr:uid="{00000000-0005-0000-0000-00006A140000}"/>
    <cellStyle name="20% - Accent4 38 2 3" xfId="9850" xr:uid="{00000000-0005-0000-0000-00006B140000}"/>
    <cellStyle name="20% - Accent4 38 2 3 2" xfId="21138" xr:uid="{00000000-0005-0000-0000-00006C140000}"/>
    <cellStyle name="20% - Accent4 38 2 4" xfId="7856" xr:uid="{00000000-0005-0000-0000-00006D140000}"/>
    <cellStyle name="20% - Accent4 38 2 4 2" xfId="19144" xr:uid="{00000000-0005-0000-0000-00006E140000}"/>
    <cellStyle name="20% - Accent4 38 2 5" xfId="5862" xr:uid="{00000000-0005-0000-0000-00006F140000}"/>
    <cellStyle name="20% - Accent4 38 2 5 2" xfId="17150" xr:uid="{00000000-0005-0000-0000-000070140000}"/>
    <cellStyle name="20% - Accent4 38 2 6" xfId="15156" xr:uid="{00000000-0005-0000-0000-000071140000}"/>
    <cellStyle name="20% - Accent4 38 3" xfId="10847" xr:uid="{00000000-0005-0000-0000-000072140000}"/>
    <cellStyle name="20% - Accent4 38 3 2" xfId="22135" xr:uid="{00000000-0005-0000-0000-000073140000}"/>
    <cellStyle name="20% - Accent4 38 4" xfId="8853" xr:uid="{00000000-0005-0000-0000-000074140000}"/>
    <cellStyle name="20% - Accent4 38 4 2" xfId="20141" xr:uid="{00000000-0005-0000-0000-000075140000}"/>
    <cellStyle name="20% - Accent4 38 5" xfId="6859" xr:uid="{00000000-0005-0000-0000-000076140000}"/>
    <cellStyle name="20% - Accent4 38 5 2" xfId="18147" xr:uid="{00000000-0005-0000-0000-000077140000}"/>
    <cellStyle name="20% - Accent4 38 6" xfId="4865" xr:uid="{00000000-0005-0000-0000-000078140000}"/>
    <cellStyle name="20% - Accent4 38 6 2" xfId="16153" xr:uid="{00000000-0005-0000-0000-000079140000}"/>
    <cellStyle name="20% - Accent4 38 7" xfId="14159" xr:uid="{00000000-0005-0000-0000-00007A140000}"/>
    <cellStyle name="20% - Accent4 38 8" xfId="12845" xr:uid="{00000000-0005-0000-0000-00007B140000}"/>
    <cellStyle name="20% - Accent4 39" xfId="910" xr:uid="{00000000-0005-0000-0000-00007C140000}"/>
    <cellStyle name="20% - Accent4 39 2" xfId="3866" xr:uid="{00000000-0005-0000-0000-00007D140000}"/>
    <cellStyle name="20% - Accent4 39 2 2" xfId="11845" xr:uid="{00000000-0005-0000-0000-00007E140000}"/>
    <cellStyle name="20% - Accent4 39 2 2 2" xfId="23133" xr:uid="{00000000-0005-0000-0000-00007F140000}"/>
    <cellStyle name="20% - Accent4 39 2 3" xfId="9851" xr:uid="{00000000-0005-0000-0000-000080140000}"/>
    <cellStyle name="20% - Accent4 39 2 3 2" xfId="21139" xr:uid="{00000000-0005-0000-0000-000081140000}"/>
    <cellStyle name="20% - Accent4 39 2 4" xfId="7857" xr:uid="{00000000-0005-0000-0000-000082140000}"/>
    <cellStyle name="20% - Accent4 39 2 4 2" xfId="19145" xr:uid="{00000000-0005-0000-0000-000083140000}"/>
    <cellStyle name="20% - Accent4 39 2 5" xfId="5863" xr:uid="{00000000-0005-0000-0000-000084140000}"/>
    <cellStyle name="20% - Accent4 39 2 5 2" xfId="17151" xr:uid="{00000000-0005-0000-0000-000085140000}"/>
    <cellStyle name="20% - Accent4 39 2 6" xfId="15157" xr:uid="{00000000-0005-0000-0000-000086140000}"/>
    <cellStyle name="20% - Accent4 39 3" xfId="10848" xr:uid="{00000000-0005-0000-0000-000087140000}"/>
    <cellStyle name="20% - Accent4 39 3 2" xfId="22136" xr:uid="{00000000-0005-0000-0000-000088140000}"/>
    <cellStyle name="20% - Accent4 39 4" xfId="8854" xr:uid="{00000000-0005-0000-0000-000089140000}"/>
    <cellStyle name="20% - Accent4 39 4 2" xfId="20142" xr:uid="{00000000-0005-0000-0000-00008A140000}"/>
    <cellStyle name="20% - Accent4 39 5" xfId="6860" xr:uid="{00000000-0005-0000-0000-00008B140000}"/>
    <cellStyle name="20% - Accent4 39 5 2" xfId="18148" xr:uid="{00000000-0005-0000-0000-00008C140000}"/>
    <cellStyle name="20% - Accent4 39 6" xfId="4866" xr:uid="{00000000-0005-0000-0000-00008D140000}"/>
    <cellStyle name="20% - Accent4 39 6 2" xfId="16154" xr:uid="{00000000-0005-0000-0000-00008E140000}"/>
    <cellStyle name="20% - Accent4 39 7" xfId="14160" xr:uid="{00000000-0005-0000-0000-00008F140000}"/>
    <cellStyle name="20% - Accent4 39 8" xfId="12846" xr:uid="{00000000-0005-0000-0000-000090140000}"/>
    <cellStyle name="20% - Accent4 4" xfId="911" xr:uid="{00000000-0005-0000-0000-000091140000}"/>
    <cellStyle name="20% - Accent4 4 10" xfId="24579" xr:uid="{00000000-0005-0000-0000-000092140000}"/>
    <cellStyle name="20% - Accent4 4 11" xfId="24969" xr:uid="{00000000-0005-0000-0000-000093140000}"/>
    <cellStyle name="20% - Accent4 4 2" xfId="3867" xr:uid="{00000000-0005-0000-0000-000094140000}"/>
    <cellStyle name="20% - Accent4 4 2 2" xfId="11846" xr:uid="{00000000-0005-0000-0000-000095140000}"/>
    <cellStyle name="20% - Accent4 4 2 2 2" xfId="23134" xr:uid="{00000000-0005-0000-0000-000096140000}"/>
    <cellStyle name="20% - Accent4 4 2 3" xfId="9852" xr:uid="{00000000-0005-0000-0000-000097140000}"/>
    <cellStyle name="20% - Accent4 4 2 3 2" xfId="21140" xr:uid="{00000000-0005-0000-0000-000098140000}"/>
    <cellStyle name="20% - Accent4 4 2 4" xfId="7858" xr:uid="{00000000-0005-0000-0000-000099140000}"/>
    <cellStyle name="20% - Accent4 4 2 4 2" xfId="19146" xr:uid="{00000000-0005-0000-0000-00009A140000}"/>
    <cellStyle name="20% - Accent4 4 2 5" xfId="5864" xr:uid="{00000000-0005-0000-0000-00009B140000}"/>
    <cellStyle name="20% - Accent4 4 2 5 2" xfId="17152" xr:uid="{00000000-0005-0000-0000-00009C140000}"/>
    <cellStyle name="20% - Accent4 4 2 6" xfId="15158" xr:uid="{00000000-0005-0000-0000-00009D140000}"/>
    <cellStyle name="20% - Accent4 4 2 7" xfId="24340" xr:uid="{00000000-0005-0000-0000-00009E140000}"/>
    <cellStyle name="20% - Accent4 4 2 8" xfId="24804" xr:uid="{00000000-0005-0000-0000-00009F140000}"/>
    <cellStyle name="20% - Accent4 4 2 9" xfId="25171" xr:uid="{00000000-0005-0000-0000-0000A0140000}"/>
    <cellStyle name="20% - Accent4 4 3" xfId="10849" xr:uid="{00000000-0005-0000-0000-0000A1140000}"/>
    <cellStyle name="20% - Accent4 4 3 2" xfId="22137" xr:uid="{00000000-0005-0000-0000-0000A2140000}"/>
    <cellStyle name="20% - Accent4 4 4" xfId="8855" xr:uid="{00000000-0005-0000-0000-0000A3140000}"/>
    <cellStyle name="20% - Accent4 4 4 2" xfId="20143" xr:uid="{00000000-0005-0000-0000-0000A4140000}"/>
    <cellStyle name="20% - Accent4 4 5" xfId="6861" xr:uid="{00000000-0005-0000-0000-0000A5140000}"/>
    <cellStyle name="20% - Accent4 4 5 2" xfId="18149" xr:uid="{00000000-0005-0000-0000-0000A6140000}"/>
    <cellStyle name="20% - Accent4 4 6" xfId="4867" xr:uid="{00000000-0005-0000-0000-0000A7140000}"/>
    <cellStyle name="20% - Accent4 4 6 2" xfId="16155" xr:uid="{00000000-0005-0000-0000-0000A8140000}"/>
    <cellStyle name="20% - Accent4 4 7" xfId="14161" xr:uid="{00000000-0005-0000-0000-0000A9140000}"/>
    <cellStyle name="20% - Accent4 4 8" xfId="12847" xr:uid="{00000000-0005-0000-0000-0000AA140000}"/>
    <cellStyle name="20% - Accent4 4 9" xfId="23952" xr:uid="{00000000-0005-0000-0000-0000AB140000}"/>
    <cellStyle name="20% - Accent4 40" xfId="912" xr:uid="{00000000-0005-0000-0000-0000AC140000}"/>
    <cellStyle name="20% - Accent4 40 2" xfId="3868" xr:uid="{00000000-0005-0000-0000-0000AD140000}"/>
    <cellStyle name="20% - Accent4 40 2 2" xfId="11847" xr:uid="{00000000-0005-0000-0000-0000AE140000}"/>
    <cellStyle name="20% - Accent4 40 2 2 2" xfId="23135" xr:uid="{00000000-0005-0000-0000-0000AF140000}"/>
    <cellStyle name="20% - Accent4 40 2 3" xfId="9853" xr:uid="{00000000-0005-0000-0000-0000B0140000}"/>
    <cellStyle name="20% - Accent4 40 2 3 2" xfId="21141" xr:uid="{00000000-0005-0000-0000-0000B1140000}"/>
    <cellStyle name="20% - Accent4 40 2 4" xfId="7859" xr:uid="{00000000-0005-0000-0000-0000B2140000}"/>
    <cellStyle name="20% - Accent4 40 2 4 2" xfId="19147" xr:uid="{00000000-0005-0000-0000-0000B3140000}"/>
    <cellStyle name="20% - Accent4 40 2 5" xfId="5865" xr:uid="{00000000-0005-0000-0000-0000B4140000}"/>
    <cellStyle name="20% - Accent4 40 2 5 2" xfId="17153" xr:uid="{00000000-0005-0000-0000-0000B5140000}"/>
    <cellStyle name="20% - Accent4 40 2 6" xfId="15159" xr:uid="{00000000-0005-0000-0000-0000B6140000}"/>
    <cellStyle name="20% - Accent4 40 3" xfId="10850" xr:uid="{00000000-0005-0000-0000-0000B7140000}"/>
    <cellStyle name="20% - Accent4 40 3 2" xfId="22138" xr:uid="{00000000-0005-0000-0000-0000B8140000}"/>
    <cellStyle name="20% - Accent4 40 4" xfId="8856" xr:uid="{00000000-0005-0000-0000-0000B9140000}"/>
    <cellStyle name="20% - Accent4 40 4 2" xfId="20144" xr:uid="{00000000-0005-0000-0000-0000BA140000}"/>
    <cellStyle name="20% - Accent4 40 5" xfId="6862" xr:uid="{00000000-0005-0000-0000-0000BB140000}"/>
    <cellStyle name="20% - Accent4 40 5 2" xfId="18150" xr:uid="{00000000-0005-0000-0000-0000BC140000}"/>
    <cellStyle name="20% - Accent4 40 6" xfId="4868" xr:uid="{00000000-0005-0000-0000-0000BD140000}"/>
    <cellStyle name="20% - Accent4 40 6 2" xfId="16156" xr:uid="{00000000-0005-0000-0000-0000BE140000}"/>
    <cellStyle name="20% - Accent4 40 7" xfId="14162" xr:uid="{00000000-0005-0000-0000-0000BF140000}"/>
    <cellStyle name="20% - Accent4 40 8" xfId="12848" xr:uid="{00000000-0005-0000-0000-0000C0140000}"/>
    <cellStyle name="20% - Accent4 41" xfId="913" xr:uid="{00000000-0005-0000-0000-0000C1140000}"/>
    <cellStyle name="20% - Accent4 41 2" xfId="3869" xr:uid="{00000000-0005-0000-0000-0000C2140000}"/>
    <cellStyle name="20% - Accent4 41 2 2" xfId="11848" xr:uid="{00000000-0005-0000-0000-0000C3140000}"/>
    <cellStyle name="20% - Accent4 41 2 2 2" xfId="23136" xr:uid="{00000000-0005-0000-0000-0000C4140000}"/>
    <cellStyle name="20% - Accent4 41 2 3" xfId="9854" xr:uid="{00000000-0005-0000-0000-0000C5140000}"/>
    <cellStyle name="20% - Accent4 41 2 3 2" xfId="21142" xr:uid="{00000000-0005-0000-0000-0000C6140000}"/>
    <cellStyle name="20% - Accent4 41 2 4" xfId="7860" xr:uid="{00000000-0005-0000-0000-0000C7140000}"/>
    <cellStyle name="20% - Accent4 41 2 4 2" xfId="19148" xr:uid="{00000000-0005-0000-0000-0000C8140000}"/>
    <cellStyle name="20% - Accent4 41 2 5" xfId="5866" xr:uid="{00000000-0005-0000-0000-0000C9140000}"/>
    <cellStyle name="20% - Accent4 41 2 5 2" xfId="17154" xr:uid="{00000000-0005-0000-0000-0000CA140000}"/>
    <cellStyle name="20% - Accent4 41 2 6" xfId="15160" xr:uid="{00000000-0005-0000-0000-0000CB140000}"/>
    <cellStyle name="20% - Accent4 41 3" xfId="10851" xr:uid="{00000000-0005-0000-0000-0000CC140000}"/>
    <cellStyle name="20% - Accent4 41 3 2" xfId="22139" xr:uid="{00000000-0005-0000-0000-0000CD140000}"/>
    <cellStyle name="20% - Accent4 41 4" xfId="8857" xr:uid="{00000000-0005-0000-0000-0000CE140000}"/>
    <cellStyle name="20% - Accent4 41 4 2" xfId="20145" xr:uid="{00000000-0005-0000-0000-0000CF140000}"/>
    <cellStyle name="20% - Accent4 41 5" xfId="6863" xr:uid="{00000000-0005-0000-0000-0000D0140000}"/>
    <cellStyle name="20% - Accent4 41 5 2" xfId="18151" xr:uid="{00000000-0005-0000-0000-0000D1140000}"/>
    <cellStyle name="20% - Accent4 41 6" xfId="4869" xr:uid="{00000000-0005-0000-0000-0000D2140000}"/>
    <cellStyle name="20% - Accent4 41 6 2" xfId="16157" xr:uid="{00000000-0005-0000-0000-0000D3140000}"/>
    <cellStyle name="20% - Accent4 41 7" xfId="14163" xr:uid="{00000000-0005-0000-0000-0000D4140000}"/>
    <cellStyle name="20% - Accent4 41 8" xfId="12849" xr:uid="{00000000-0005-0000-0000-0000D5140000}"/>
    <cellStyle name="20% - Accent4 42" xfId="914" xr:uid="{00000000-0005-0000-0000-0000D6140000}"/>
    <cellStyle name="20% - Accent4 42 2" xfId="3870" xr:uid="{00000000-0005-0000-0000-0000D7140000}"/>
    <cellStyle name="20% - Accent4 42 2 2" xfId="11849" xr:uid="{00000000-0005-0000-0000-0000D8140000}"/>
    <cellStyle name="20% - Accent4 42 2 2 2" xfId="23137" xr:uid="{00000000-0005-0000-0000-0000D9140000}"/>
    <cellStyle name="20% - Accent4 42 2 3" xfId="9855" xr:uid="{00000000-0005-0000-0000-0000DA140000}"/>
    <cellStyle name="20% - Accent4 42 2 3 2" xfId="21143" xr:uid="{00000000-0005-0000-0000-0000DB140000}"/>
    <cellStyle name="20% - Accent4 42 2 4" xfId="7861" xr:uid="{00000000-0005-0000-0000-0000DC140000}"/>
    <cellStyle name="20% - Accent4 42 2 4 2" xfId="19149" xr:uid="{00000000-0005-0000-0000-0000DD140000}"/>
    <cellStyle name="20% - Accent4 42 2 5" xfId="5867" xr:uid="{00000000-0005-0000-0000-0000DE140000}"/>
    <cellStyle name="20% - Accent4 42 2 5 2" xfId="17155" xr:uid="{00000000-0005-0000-0000-0000DF140000}"/>
    <cellStyle name="20% - Accent4 42 2 6" xfId="15161" xr:uid="{00000000-0005-0000-0000-0000E0140000}"/>
    <cellStyle name="20% - Accent4 42 3" xfId="10852" xr:uid="{00000000-0005-0000-0000-0000E1140000}"/>
    <cellStyle name="20% - Accent4 42 3 2" xfId="22140" xr:uid="{00000000-0005-0000-0000-0000E2140000}"/>
    <cellStyle name="20% - Accent4 42 4" xfId="8858" xr:uid="{00000000-0005-0000-0000-0000E3140000}"/>
    <cellStyle name="20% - Accent4 42 4 2" xfId="20146" xr:uid="{00000000-0005-0000-0000-0000E4140000}"/>
    <cellStyle name="20% - Accent4 42 5" xfId="6864" xr:uid="{00000000-0005-0000-0000-0000E5140000}"/>
    <cellStyle name="20% - Accent4 42 5 2" xfId="18152" xr:uid="{00000000-0005-0000-0000-0000E6140000}"/>
    <cellStyle name="20% - Accent4 42 6" xfId="4870" xr:uid="{00000000-0005-0000-0000-0000E7140000}"/>
    <cellStyle name="20% - Accent4 42 6 2" xfId="16158" xr:uid="{00000000-0005-0000-0000-0000E8140000}"/>
    <cellStyle name="20% - Accent4 42 7" xfId="14164" xr:uid="{00000000-0005-0000-0000-0000E9140000}"/>
    <cellStyle name="20% - Accent4 42 8" xfId="12850" xr:uid="{00000000-0005-0000-0000-0000EA140000}"/>
    <cellStyle name="20% - Accent4 43" xfId="915" xr:uid="{00000000-0005-0000-0000-0000EB140000}"/>
    <cellStyle name="20% - Accent4 43 2" xfId="3871" xr:uid="{00000000-0005-0000-0000-0000EC140000}"/>
    <cellStyle name="20% - Accent4 43 2 2" xfId="11850" xr:uid="{00000000-0005-0000-0000-0000ED140000}"/>
    <cellStyle name="20% - Accent4 43 2 2 2" xfId="23138" xr:uid="{00000000-0005-0000-0000-0000EE140000}"/>
    <cellStyle name="20% - Accent4 43 2 3" xfId="9856" xr:uid="{00000000-0005-0000-0000-0000EF140000}"/>
    <cellStyle name="20% - Accent4 43 2 3 2" xfId="21144" xr:uid="{00000000-0005-0000-0000-0000F0140000}"/>
    <cellStyle name="20% - Accent4 43 2 4" xfId="7862" xr:uid="{00000000-0005-0000-0000-0000F1140000}"/>
    <cellStyle name="20% - Accent4 43 2 4 2" xfId="19150" xr:uid="{00000000-0005-0000-0000-0000F2140000}"/>
    <cellStyle name="20% - Accent4 43 2 5" xfId="5868" xr:uid="{00000000-0005-0000-0000-0000F3140000}"/>
    <cellStyle name="20% - Accent4 43 2 5 2" xfId="17156" xr:uid="{00000000-0005-0000-0000-0000F4140000}"/>
    <cellStyle name="20% - Accent4 43 2 6" xfId="15162" xr:uid="{00000000-0005-0000-0000-0000F5140000}"/>
    <cellStyle name="20% - Accent4 43 3" xfId="10853" xr:uid="{00000000-0005-0000-0000-0000F6140000}"/>
    <cellStyle name="20% - Accent4 43 3 2" xfId="22141" xr:uid="{00000000-0005-0000-0000-0000F7140000}"/>
    <cellStyle name="20% - Accent4 43 4" xfId="8859" xr:uid="{00000000-0005-0000-0000-0000F8140000}"/>
    <cellStyle name="20% - Accent4 43 4 2" xfId="20147" xr:uid="{00000000-0005-0000-0000-0000F9140000}"/>
    <cellStyle name="20% - Accent4 43 5" xfId="6865" xr:uid="{00000000-0005-0000-0000-0000FA140000}"/>
    <cellStyle name="20% - Accent4 43 5 2" xfId="18153" xr:uid="{00000000-0005-0000-0000-0000FB140000}"/>
    <cellStyle name="20% - Accent4 43 6" xfId="4871" xr:uid="{00000000-0005-0000-0000-0000FC140000}"/>
    <cellStyle name="20% - Accent4 43 6 2" xfId="16159" xr:uid="{00000000-0005-0000-0000-0000FD140000}"/>
    <cellStyle name="20% - Accent4 43 7" xfId="14165" xr:uid="{00000000-0005-0000-0000-0000FE140000}"/>
    <cellStyle name="20% - Accent4 43 8" xfId="12851" xr:uid="{00000000-0005-0000-0000-0000FF140000}"/>
    <cellStyle name="20% - Accent4 44" xfId="916" xr:uid="{00000000-0005-0000-0000-000000150000}"/>
    <cellStyle name="20% - Accent4 44 2" xfId="3872" xr:uid="{00000000-0005-0000-0000-000001150000}"/>
    <cellStyle name="20% - Accent4 44 2 2" xfId="11851" xr:uid="{00000000-0005-0000-0000-000002150000}"/>
    <cellStyle name="20% - Accent4 44 2 2 2" xfId="23139" xr:uid="{00000000-0005-0000-0000-000003150000}"/>
    <cellStyle name="20% - Accent4 44 2 3" xfId="9857" xr:uid="{00000000-0005-0000-0000-000004150000}"/>
    <cellStyle name="20% - Accent4 44 2 3 2" xfId="21145" xr:uid="{00000000-0005-0000-0000-000005150000}"/>
    <cellStyle name="20% - Accent4 44 2 4" xfId="7863" xr:uid="{00000000-0005-0000-0000-000006150000}"/>
    <cellStyle name="20% - Accent4 44 2 4 2" xfId="19151" xr:uid="{00000000-0005-0000-0000-000007150000}"/>
    <cellStyle name="20% - Accent4 44 2 5" xfId="5869" xr:uid="{00000000-0005-0000-0000-000008150000}"/>
    <cellStyle name="20% - Accent4 44 2 5 2" xfId="17157" xr:uid="{00000000-0005-0000-0000-000009150000}"/>
    <cellStyle name="20% - Accent4 44 2 6" xfId="15163" xr:uid="{00000000-0005-0000-0000-00000A150000}"/>
    <cellStyle name="20% - Accent4 44 3" xfId="10854" xr:uid="{00000000-0005-0000-0000-00000B150000}"/>
    <cellStyle name="20% - Accent4 44 3 2" xfId="22142" xr:uid="{00000000-0005-0000-0000-00000C150000}"/>
    <cellStyle name="20% - Accent4 44 4" xfId="8860" xr:uid="{00000000-0005-0000-0000-00000D150000}"/>
    <cellStyle name="20% - Accent4 44 4 2" xfId="20148" xr:uid="{00000000-0005-0000-0000-00000E150000}"/>
    <cellStyle name="20% - Accent4 44 5" xfId="6866" xr:uid="{00000000-0005-0000-0000-00000F150000}"/>
    <cellStyle name="20% - Accent4 44 5 2" xfId="18154" xr:uid="{00000000-0005-0000-0000-000010150000}"/>
    <cellStyle name="20% - Accent4 44 6" xfId="4872" xr:uid="{00000000-0005-0000-0000-000011150000}"/>
    <cellStyle name="20% - Accent4 44 6 2" xfId="16160" xr:uid="{00000000-0005-0000-0000-000012150000}"/>
    <cellStyle name="20% - Accent4 44 7" xfId="14166" xr:uid="{00000000-0005-0000-0000-000013150000}"/>
    <cellStyle name="20% - Accent4 44 8" xfId="12852" xr:uid="{00000000-0005-0000-0000-000014150000}"/>
    <cellStyle name="20% - Accent4 45" xfId="917" xr:uid="{00000000-0005-0000-0000-000015150000}"/>
    <cellStyle name="20% - Accent4 45 2" xfId="3873" xr:uid="{00000000-0005-0000-0000-000016150000}"/>
    <cellStyle name="20% - Accent4 45 2 2" xfId="11852" xr:uid="{00000000-0005-0000-0000-000017150000}"/>
    <cellStyle name="20% - Accent4 45 2 2 2" xfId="23140" xr:uid="{00000000-0005-0000-0000-000018150000}"/>
    <cellStyle name="20% - Accent4 45 2 3" xfId="9858" xr:uid="{00000000-0005-0000-0000-000019150000}"/>
    <cellStyle name="20% - Accent4 45 2 3 2" xfId="21146" xr:uid="{00000000-0005-0000-0000-00001A150000}"/>
    <cellStyle name="20% - Accent4 45 2 4" xfId="7864" xr:uid="{00000000-0005-0000-0000-00001B150000}"/>
    <cellStyle name="20% - Accent4 45 2 4 2" xfId="19152" xr:uid="{00000000-0005-0000-0000-00001C150000}"/>
    <cellStyle name="20% - Accent4 45 2 5" xfId="5870" xr:uid="{00000000-0005-0000-0000-00001D150000}"/>
    <cellStyle name="20% - Accent4 45 2 5 2" xfId="17158" xr:uid="{00000000-0005-0000-0000-00001E150000}"/>
    <cellStyle name="20% - Accent4 45 2 6" xfId="15164" xr:uid="{00000000-0005-0000-0000-00001F150000}"/>
    <cellStyle name="20% - Accent4 45 3" xfId="10855" xr:uid="{00000000-0005-0000-0000-000020150000}"/>
    <cellStyle name="20% - Accent4 45 3 2" xfId="22143" xr:uid="{00000000-0005-0000-0000-000021150000}"/>
    <cellStyle name="20% - Accent4 45 4" xfId="8861" xr:uid="{00000000-0005-0000-0000-000022150000}"/>
    <cellStyle name="20% - Accent4 45 4 2" xfId="20149" xr:uid="{00000000-0005-0000-0000-000023150000}"/>
    <cellStyle name="20% - Accent4 45 5" xfId="6867" xr:uid="{00000000-0005-0000-0000-000024150000}"/>
    <cellStyle name="20% - Accent4 45 5 2" xfId="18155" xr:uid="{00000000-0005-0000-0000-000025150000}"/>
    <cellStyle name="20% - Accent4 45 6" xfId="4873" xr:uid="{00000000-0005-0000-0000-000026150000}"/>
    <cellStyle name="20% - Accent4 45 6 2" xfId="16161" xr:uid="{00000000-0005-0000-0000-000027150000}"/>
    <cellStyle name="20% - Accent4 45 7" xfId="14167" xr:uid="{00000000-0005-0000-0000-000028150000}"/>
    <cellStyle name="20% - Accent4 45 8" xfId="12853" xr:uid="{00000000-0005-0000-0000-000029150000}"/>
    <cellStyle name="20% - Accent4 46" xfId="918" xr:uid="{00000000-0005-0000-0000-00002A150000}"/>
    <cellStyle name="20% - Accent4 46 2" xfId="3874" xr:uid="{00000000-0005-0000-0000-00002B150000}"/>
    <cellStyle name="20% - Accent4 46 2 2" xfId="11853" xr:uid="{00000000-0005-0000-0000-00002C150000}"/>
    <cellStyle name="20% - Accent4 46 2 2 2" xfId="23141" xr:uid="{00000000-0005-0000-0000-00002D150000}"/>
    <cellStyle name="20% - Accent4 46 2 3" xfId="9859" xr:uid="{00000000-0005-0000-0000-00002E150000}"/>
    <cellStyle name="20% - Accent4 46 2 3 2" xfId="21147" xr:uid="{00000000-0005-0000-0000-00002F150000}"/>
    <cellStyle name="20% - Accent4 46 2 4" xfId="7865" xr:uid="{00000000-0005-0000-0000-000030150000}"/>
    <cellStyle name="20% - Accent4 46 2 4 2" xfId="19153" xr:uid="{00000000-0005-0000-0000-000031150000}"/>
    <cellStyle name="20% - Accent4 46 2 5" xfId="5871" xr:uid="{00000000-0005-0000-0000-000032150000}"/>
    <cellStyle name="20% - Accent4 46 2 5 2" xfId="17159" xr:uid="{00000000-0005-0000-0000-000033150000}"/>
    <cellStyle name="20% - Accent4 46 2 6" xfId="15165" xr:uid="{00000000-0005-0000-0000-000034150000}"/>
    <cellStyle name="20% - Accent4 46 3" xfId="10856" xr:uid="{00000000-0005-0000-0000-000035150000}"/>
    <cellStyle name="20% - Accent4 46 3 2" xfId="22144" xr:uid="{00000000-0005-0000-0000-000036150000}"/>
    <cellStyle name="20% - Accent4 46 4" xfId="8862" xr:uid="{00000000-0005-0000-0000-000037150000}"/>
    <cellStyle name="20% - Accent4 46 4 2" xfId="20150" xr:uid="{00000000-0005-0000-0000-000038150000}"/>
    <cellStyle name="20% - Accent4 46 5" xfId="6868" xr:uid="{00000000-0005-0000-0000-000039150000}"/>
    <cellStyle name="20% - Accent4 46 5 2" xfId="18156" xr:uid="{00000000-0005-0000-0000-00003A150000}"/>
    <cellStyle name="20% - Accent4 46 6" xfId="4874" xr:uid="{00000000-0005-0000-0000-00003B150000}"/>
    <cellStyle name="20% - Accent4 46 6 2" xfId="16162" xr:uid="{00000000-0005-0000-0000-00003C150000}"/>
    <cellStyle name="20% - Accent4 46 7" xfId="14168" xr:uid="{00000000-0005-0000-0000-00003D150000}"/>
    <cellStyle name="20% - Accent4 46 8" xfId="12854" xr:uid="{00000000-0005-0000-0000-00003E150000}"/>
    <cellStyle name="20% - Accent4 47" xfId="919" xr:uid="{00000000-0005-0000-0000-00003F150000}"/>
    <cellStyle name="20% - Accent4 47 2" xfId="3875" xr:uid="{00000000-0005-0000-0000-000040150000}"/>
    <cellStyle name="20% - Accent4 47 2 2" xfId="11854" xr:uid="{00000000-0005-0000-0000-000041150000}"/>
    <cellStyle name="20% - Accent4 47 2 2 2" xfId="23142" xr:uid="{00000000-0005-0000-0000-000042150000}"/>
    <cellStyle name="20% - Accent4 47 2 3" xfId="9860" xr:uid="{00000000-0005-0000-0000-000043150000}"/>
    <cellStyle name="20% - Accent4 47 2 3 2" xfId="21148" xr:uid="{00000000-0005-0000-0000-000044150000}"/>
    <cellStyle name="20% - Accent4 47 2 4" xfId="7866" xr:uid="{00000000-0005-0000-0000-000045150000}"/>
    <cellStyle name="20% - Accent4 47 2 4 2" xfId="19154" xr:uid="{00000000-0005-0000-0000-000046150000}"/>
    <cellStyle name="20% - Accent4 47 2 5" xfId="5872" xr:uid="{00000000-0005-0000-0000-000047150000}"/>
    <cellStyle name="20% - Accent4 47 2 5 2" xfId="17160" xr:uid="{00000000-0005-0000-0000-000048150000}"/>
    <cellStyle name="20% - Accent4 47 2 6" xfId="15166" xr:uid="{00000000-0005-0000-0000-000049150000}"/>
    <cellStyle name="20% - Accent4 47 3" xfId="10857" xr:uid="{00000000-0005-0000-0000-00004A150000}"/>
    <cellStyle name="20% - Accent4 47 3 2" xfId="22145" xr:uid="{00000000-0005-0000-0000-00004B150000}"/>
    <cellStyle name="20% - Accent4 47 4" xfId="8863" xr:uid="{00000000-0005-0000-0000-00004C150000}"/>
    <cellStyle name="20% - Accent4 47 4 2" xfId="20151" xr:uid="{00000000-0005-0000-0000-00004D150000}"/>
    <cellStyle name="20% - Accent4 47 5" xfId="6869" xr:uid="{00000000-0005-0000-0000-00004E150000}"/>
    <cellStyle name="20% - Accent4 47 5 2" xfId="18157" xr:uid="{00000000-0005-0000-0000-00004F150000}"/>
    <cellStyle name="20% - Accent4 47 6" xfId="4875" xr:uid="{00000000-0005-0000-0000-000050150000}"/>
    <cellStyle name="20% - Accent4 47 6 2" xfId="16163" xr:uid="{00000000-0005-0000-0000-000051150000}"/>
    <cellStyle name="20% - Accent4 47 7" xfId="14169" xr:uid="{00000000-0005-0000-0000-000052150000}"/>
    <cellStyle name="20% - Accent4 47 8" xfId="12855" xr:uid="{00000000-0005-0000-0000-000053150000}"/>
    <cellStyle name="20% - Accent4 48" xfId="920" xr:uid="{00000000-0005-0000-0000-000054150000}"/>
    <cellStyle name="20% - Accent4 48 2" xfId="3876" xr:uid="{00000000-0005-0000-0000-000055150000}"/>
    <cellStyle name="20% - Accent4 48 2 2" xfId="11855" xr:uid="{00000000-0005-0000-0000-000056150000}"/>
    <cellStyle name="20% - Accent4 48 2 2 2" xfId="23143" xr:uid="{00000000-0005-0000-0000-000057150000}"/>
    <cellStyle name="20% - Accent4 48 2 3" xfId="9861" xr:uid="{00000000-0005-0000-0000-000058150000}"/>
    <cellStyle name="20% - Accent4 48 2 3 2" xfId="21149" xr:uid="{00000000-0005-0000-0000-000059150000}"/>
    <cellStyle name="20% - Accent4 48 2 4" xfId="7867" xr:uid="{00000000-0005-0000-0000-00005A150000}"/>
    <cellStyle name="20% - Accent4 48 2 4 2" xfId="19155" xr:uid="{00000000-0005-0000-0000-00005B150000}"/>
    <cellStyle name="20% - Accent4 48 2 5" xfId="5873" xr:uid="{00000000-0005-0000-0000-00005C150000}"/>
    <cellStyle name="20% - Accent4 48 2 5 2" xfId="17161" xr:uid="{00000000-0005-0000-0000-00005D150000}"/>
    <cellStyle name="20% - Accent4 48 2 6" xfId="15167" xr:uid="{00000000-0005-0000-0000-00005E150000}"/>
    <cellStyle name="20% - Accent4 48 3" xfId="10858" xr:uid="{00000000-0005-0000-0000-00005F150000}"/>
    <cellStyle name="20% - Accent4 48 3 2" xfId="22146" xr:uid="{00000000-0005-0000-0000-000060150000}"/>
    <cellStyle name="20% - Accent4 48 4" xfId="8864" xr:uid="{00000000-0005-0000-0000-000061150000}"/>
    <cellStyle name="20% - Accent4 48 4 2" xfId="20152" xr:uid="{00000000-0005-0000-0000-000062150000}"/>
    <cellStyle name="20% - Accent4 48 5" xfId="6870" xr:uid="{00000000-0005-0000-0000-000063150000}"/>
    <cellStyle name="20% - Accent4 48 5 2" xfId="18158" xr:uid="{00000000-0005-0000-0000-000064150000}"/>
    <cellStyle name="20% - Accent4 48 6" xfId="4876" xr:uid="{00000000-0005-0000-0000-000065150000}"/>
    <cellStyle name="20% - Accent4 48 6 2" xfId="16164" xr:uid="{00000000-0005-0000-0000-000066150000}"/>
    <cellStyle name="20% - Accent4 48 7" xfId="14170" xr:uid="{00000000-0005-0000-0000-000067150000}"/>
    <cellStyle name="20% - Accent4 48 8" xfId="12856" xr:uid="{00000000-0005-0000-0000-000068150000}"/>
    <cellStyle name="20% - Accent4 49" xfId="921" xr:uid="{00000000-0005-0000-0000-000069150000}"/>
    <cellStyle name="20% - Accent4 49 2" xfId="3877" xr:uid="{00000000-0005-0000-0000-00006A150000}"/>
    <cellStyle name="20% - Accent4 49 2 2" xfId="11856" xr:uid="{00000000-0005-0000-0000-00006B150000}"/>
    <cellStyle name="20% - Accent4 49 2 2 2" xfId="23144" xr:uid="{00000000-0005-0000-0000-00006C150000}"/>
    <cellStyle name="20% - Accent4 49 2 3" xfId="9862" xr:uid="{00000000-0005-0000-0000-00006D150000}"/>
    <cellStyle name="20% - Accent4 49 2 3 2" xfId="21150" xr:uid="{00000000-0005-0000-0000-00006E150000}"/>
    <cellStyle name="20% - Accent4 49 2 4" xfId="7868" xr:uid="{00000000-0005-0000-0000-00006F150000}"/>
    <cellStyle name="20% - Accent4 49 2 4 2" xfId="19156" xr:uid="{00000000-0005-0000-0000-000070150000}"/>
    <cellStyle name="20% - Accent4 49 2 5" xfId="5874" xr:uid="{00000000-0005-0000-0000-000071150000}"/>
    <cellStyle name="20% - Accent4 49 2 5 2" xfId="17162" xr:uid="{00000000-0005-0000-0000-000072150000}"/>
    <cellStyle name="20% - Accent4 49 2 6" xfId="15168" xr:uid="{00000000-0005-0000-0000-000073150000}"/>
    <cellStyle name="20% - Accent4 49 3" xfId="10859" xr:uid="{00000000-0005-0000-0000-000074150000}"/>
    <cellStyle name="20% - Accent4 49 3 2" xfId="22147" xr:uid="{00000000-0005-0000-0000-000075150000}"/>
    <cellStyle name="20% - Accent4 49 4" xfId="8865" xr:uid="{00000000-0005-0000-0000-000076150000}"/>
    <cellStyle name="20% - Accent4 49 4 2" xfId="20153" xr:uid="{00000000-0005-0000-0000-000077150000}"/>
    <cellStyle name="20% - Accent4 49 5" xfId="6871" xr:uid="{00000000-0005-0000-0000-000078150000}"/>
    <cellStyle name="20% - Accent4 49 5 2" xfId="18159" xr:uid="{00000000-0005-0000-0000-000079150000}"/>
    <cellStyle name="20% - Accent4 49 6" xfId="4877" xr:uid="{00000000-0005-0000-0000-00007A150000}"/>
    <cellStyle name="20% - Accent4 49 6 2" xfId="16165" xr:uid="{00000000-0005-0000-0000-00007B150000}"/>
    <cellStyle name="20% - Accent4 49 7" xfId="14171" xr:uid="{00000000-0005-0000-0000-00007C150000}"/>
    <cellStyle name="20% - Accent4 49 8" xfId="12857" xr:uid="{00000000-0005-0000-0000-00007D150000}"/>
    <cellStyle name="20% - Accent4 5" xfId="922" xr:uid="{00000000-0005-0000-0000-00007E150000}"/>
    <cellStyle name="20% - Accent4 5 10" xfId="24580" xr:uid="{00000000-0005-0000-0000-00007F150000}"/>
    <cellStyle name="20% - Accent4 5 11" xfId="24970" xr:uid="{00000000-0005-0000-0000-000080150000}"/>
    <cellStyle name="20% - Accent4 5 2" xfId="3878" xr:uid="{00000000-0005-0000-0000-000081150000}"/>
    <cellStyle name="20% - Accent4 5 2 2" xfId="11857" xr:uid="{00000000-0005-0000-0000-000082150000}"/>
    <cellStyle name="20% - Accent4 5 2 2 2" xfId="23145" xr:uid="{00000000-0005-0000-0000-000083150000}"/>
    <cellStyle name="20% - Accent4 5 2 3" xfId="9863" xr:uid="{00000000-0005-0000-0000-000084150000}"/>
    <cellStyle name="20% - Accent4 5 2 3 2" xfId="21151" xr:uid="{00000000-0005-0000-0000-000085150000}"/>
    <cellStyle name="20% - Accent4 5 2 4" xfId="7869" xr:uid="{00000000-0005-0000-0000-000086150000}"/>
    <cellStyle name="20% - Accent4 5 2 4 2" xfId="19157" xr:uid="{00000000-0005-0000-0000-000087150000}"/>
    <cellStyle name="20% - Accent4 5 2 5" xfId="5875" xr:uid="{00000000-0005-0000-0000-000088150000}"/>
    <cellStyle name="20% - Accent4 5 2 5 2" xfId="17163" xr:uid="{00000000-0005-0000-0000-000089150000}"/>
    <cellStyle name="20% - Accent4 5 2 6" xfId="15169" xr:uid="{00000000-0005-0000-0000-00008A150000}"/>
    <cellStyle name="20% - Accent4 5 2 7" xfId="24341" xr:uid="{00000000-0005-0000-0000-00008B150000}"/>
    <cellStyle name="20% - Accent4 5 2 8" xfId="24805" xr:uid="{00000000-0005-0000-0000-00008C150000}"/>
    <cellStyle name="20% - Accent4 5 2 9" xfId="25172" xr:uid="{00000000-0005-0000-0000-00008D150000}"/>
    <cellStyle name="20% - Accent4 5 3" xfId="10860" xr:uid="{00000000-0005-0000-0000-00008E150000}"/>
    <cellStyle name="20% - Accent4 5 3 2" xfId="22148" xr:uid="{00000000-0005-0000-0000-00008F150000}"/>
    <cellStyle name="20% - Accent4 5 4" xfId="8866" xr:uid="{00000000-0005-0000-0000-000090150000}"/>
    <cellStyle name="20% - Accent4 5 4 2" xfId="20154" xr:uid="{00000000-0005-0000-0000-000091150000}"/>
    <cellStyle name="20% - Accent4 5 5" xfId="6872" xr:uid="{00000000-0005-0000-0000-000092150000}"/>
    <cellStyle name="20% - Accent4 5 5 2" xfId="18160" xr:uid="{00000000-0005-0000-0000-000093150000}"/>
    <cellStyle name="20% - Accent4 5 6" xfId="4878" xr:uid="{00000000-0005-0000-0000-000094150000}"/>
    <cellStyle name="20% - Accent4 5 6 2" xfId="16166" xr:uid="{00000000-0005-0000-0000-000095150000}"/>
    <cellStyle name="20% - Accent4 5 7" xfId="14172" xr:uid="{00000000-0005-0000-0000-000096150000}"/>
    <cellStyle name="20% - Accent4 5 8" xfId="12858" xr:uid="{00000000-0005-0000-0000-000097150000}"/>
    <cellStyle name="20% - Accent4 5 9" xfId="23953" xr:uid="{00000000-0005-0000-0000-000098150000}"/>
    <cellStyle name="20% - Accent4 50" xfId="923" xr:uid="{00000000-0005-0000-0000-000099150000}"/>
    <cellStyle name="20% - Accent4 50 2" xfId="3879" xr:uid="{00000000-0005-0000-0000-00009A150000}"/>
    <cellStyle name="20% - Accent4 50 2 2" xfId="11858" xr:uid="{00000000-0005-0000-0000-00009B150000}"/>
    <cellStyle name="20% - Accent4 50 2 2 2" xfId="23146" xr:uid="{00000000-0005-0000-0000-00009C150000}"/>
    <cellStyle name="20% - Accent4 50 2 3" xfId="9864" xr:uid="{00000000-0005-0000-0000-00009D150000}"/>
    <cellStyle name="20% - Accent4 50 2 3 2" xfId="21152" xr:uid="{00000000-0005-0000-0000-00009E150000}"/>
    <cellStyle name="20% - Accent4 50 2 4" xfId="7870" xr:uid="{00000000-0005-0000-0000-00009F150000}"/>
    <cellStyle name="20% - Accent4 50 2 4 2" xfId="19158" xr:uid="{00000000-0005-0000-0000-0000A0150000}"/>
    <cellStyle name="20% - Accent4 50 2 5" xfId="5876" xr:uid="{00000000-0005-0000-0000-0000A1150000}"/>
    <cellStyle name="20% - Accent4 50 2 5 2" xfId="17164" xr:uid="{00000000-0005-0000-0000-0000A2150000}"/>
    <cellStyle name="20% - Accent4 50 2 6" xfId="15170" xr:uid="{00000000-0005-0000-0000-0000A3150000}"/>
    <cellStyle name="20% - Accent4 50 3" xfId="10861" xr:uid="{00000000-0005-0000-0000-0000A4150000}"/>
    <cellStyle name="20% - Accent4 50 3 2" xfId="22149" xr:uid="{00000000-0005-0000-0000-0000A5150000}"/>
    <cellStyle name="20% - Accent4 50 4" xfId="8867" xr:uid="{00000000-0005-0000-0000-0000A6150000}"/>
    <cellStyle name="20% - Accent4 50 4 2" xfId="20155" xr:uid="{00000000-0005-0000-0000-0000A7150000}"/>
    <cellStyle name="20% - Accent4 50 5" xfId="6873" xr:uid="{00000000-0005-0000-0000-0000A8150000}"/>
    <cellStyle name="20% - Accent4 50 5 2" xfId="18161" xr:uid="{00000000-0005-0000-0000-0000A9150000}"/>
    <cellStyle name="20% - Accent4 50 6" xfId="4879" xr:uid="{00000000-0005-0000-0000-0000AA150000}"/>
    <cellStyle name="20% - Accent4 50 6 2" xfId="16167" xr:uid="{00000000-0005-0000-0000-0000AB150000}"/>
    <cellStyle name="20% - Accent4 50 7" xfId="14173" xr:uid="{00000000-0005-0000-0000-0000AC150000}"/>
    <cellStyle name="20% - Accent4 50 8" xfId="12859" xr:uid="{00000000-0005-0000-0000-0000AD150000}"/>
    <cellStyle name="20% - Accent4 51" xfId="924" xr:uid="{00000000-0005-0000-0000-0000AE150000}"/>
    <cellStyle name="20% - Accent4 51 2" xfId="3880" xr:uid="{00000000-0005-0000-0000-0000AF150000}"/>
    <cellStyle name="20% - Accent4 51 2 2" xfId="11859" xr:uid="{00000000-0005-0000-0000-0000B0150000}"/>
    <cellStyle name="20% - Accent4 51 2 2 2" xfId="23147" xr:uid="{00000000-0005-0000-0000-0000B1150000}"/>
    <cellStyle name="20% - Accent4 51 2 3" xfId="9865" xr:uid="{00000000-0005-0000-0000-0000B2150000}"/>
    <cellStyle name="20% - Accent4 51 2 3 2" xfId="21153" xr:uid="{00000000-0005-0000-0000-0000B3150000}"/>
    <cellStyle name="20% - Accent4 51 2 4" xfId="7871" xr:uid="{00000000-0005-0000-0000-0000B4150000}"/>
    <cellStyle name="20% - Accent4 51 2 4 2" xfId="19159" xr:uid="{00000000-0005-0000-0000-0000B5150000}"/>
    <cellStyle name="20% - Accent4 51 2 5" xfId="5877" xr:uid="{00000000-0005-0000-0000-0000B6150000}"/>
    <cellStyle name="20% - Accent4 51 2 5 2" xfId="17165" xr:uid="{00000000-0005-0000-0000-0000B7150000}"/>
    <cellStyle name="20% - Accent4 51 2 6" xfId="15171" xr:uid="{00000000-0005-0000-0000-0000B8150000}"/>
    <cellStyle name="20% - Accent4 51 3" xfId="10862" xr:uid="{00000000-0005-0000-0000-0000B9150000}"/>
    <cellStyle name="20% - Accent4 51 3 2" xfId="22150" xr:uid="{00000000-0005-0000-0000-0000BA150000}"/>
    <cellStyle name="20% - Accent4 51 4" xfId="8868" xr:uid="{00000000-0005-0000-0000-0000BB150000}"/>
    <cellStyle name="20% - Accent4 51 4 2" xfId="20156" xr:uid="{00000000-0005-0000-0000-0000BC150000}"/>
    <cellStyle name="20% - Accent4 51 5" xfId="6874" xr:uid="{00000000-0005-0000-0000-0000BD150000}"/>
    <cellStyle name="20% - Accent4 51 5 2" xfId="18162" xr:uid="{00000000-0005-0000-0000-0000BE150000}"/>
    <cellStyle name="20% - Accent4 51 6" xfId="4880" xr:uid="{00000000-0005-0000-0000-0000BF150000}"/>
    <cellStyle name="20% - Accent4 51 6 2" xfId="16168" xr:uid="{00000000-0005-0000-0000-0000C0150000}"/>
    <cellStyle name="20% - Accent4 51 7" xfId="14174" xr:uid="{00000000-0005-0000-0000-0000C1150000}"/>
    <cellStyle name="20% - Accent4 51 8" xfId="12860" xr:uid="{00000000-0005-0000-0000-0000C2150000}"/>
    <cellStyle name="20% - Accent4 52" xfId="925" xr:uid="{00000000-0005-0000-0000-0000C3150000}"/>
    <cellStyle name="20% - Accent4 52 2" xfId="3881" xr:uid="{00000000-0005-0000-0000-0000C4150000}"/>
    <cellStyle name="20% - Accent4 52 2 2" xfId="11860" xr:uid="{00000000-0005-0000-0000-0000C5150000}"/>
    <cellStyle name="20% - Accent4 52 2 2 2" xfId="23148" xr:uid="{00000000-0005-0000-0000-0000C6150000}"/>
    <cellStyle name="20% - Accent4 52 2 3" xfId="9866" xr:uid="{00000000-0005-0000-0000-0000C7150000}"/>
    <cellStyle name="20% - Accent4 52 2 3 2" xfId="21154" xr:uid="{00000000-0005-0000-0000-0000C8150000}"/>
    <cellStyle name="20% - Accent4 52 2 4" xfId="7872" xr:uid="{00000000-0005-0000-0000-0000C9150000}"/>
    <cellStyle name="20% - Accent4 52 2 4 2" xfId="19160" xr:uid="{00000000-0005-0000-0000-0000CA150000}"/>
    <cellStyle name="20% - Accent4 52 2 5" xfId="5878" xr:uid="{00000000-0005-0000-0000-0000CB150000}"/>
    <cellStyle name="20% - Accent4 52 2 5 2" xfId="17166" xr:uid="{00000000-0005-0000-0000-0000CC150000}"/>
    <cellStyle name="20% - Accent4 52 2 6" xfId="15172" xr:uid="{00000000-0005-0000-0000-0000CD150000}"/>
    <cellStyle name="20% - Accent4 52 3" xfId="10863" xr:uid="{00000000-0005-0000-0000-0000CE150000}"/>
    <cellStyle name="20% - Accent4 52 3 2" xfId="22151" xr:uid="{00000000-0005-0000-0000-0000CF150000}"/>
    <cellStyle name="20% - Accent4 52 4" xfId="8869" xr:uid="{00000000-0005-0000-0000-0000D0150000}"/>
    <cellStyle name="20% - Accent4 52 4 2" xfId="20157" xr:uid="{00000000-0005-0000-0000-0000D1150000}"/>
    <cellStyle name="20% - Accent4 52 5" xfId="6875" xr:uid="{00000000-0005-0000-0000-0000D2150000}"/>
    <cellStyle name="20% - Accent4 52 5 2" xfId="18163" xr:uid="{00000000-0005-0000-0000-0000D3150000}"/>
    <cellStyle name="20% - Accent4 52 6" xfId="4881" xr:uid="{00000000-0005-0000-0000-0000D4150000}"/>
    <cellStyle name="20% - Accent4 52 6 2" xfId="16169" xr:uid="{00000000-0005-0000-0000-0000D5150000}"/>
    <cellStyle name="20% - Accent4 52 7" xfId="14175" xr:uid="{00000000-0005-0000-0000-0000D6150000}"/>
    <cellStyle name="20% - Accent4 52 8" xfId="12861" xr:uid="{00000000-0005-0000-0000-0000D7150000}"/>
    <cellStyle name="20% - Accent4 53" xfId="926" xr:uid="{00000000-0005-0000-0000-0000D8150000}"/>
    <cellStyle name="20% - Accent4 53 2" xfId="3882" xr:uid="{00000000-0005-0000-0000-0000D9150000}"/>
    <cellStyle name="20% - Accent4 53 2 2" xfId="11861" xr:uid="{00000000-0005-0000-0000-0000DA150000}"/>
    <cellStyle name="20% - Accent4 53 2 2 2" xfId="23149" xr:uid="{00000000-0005-0000-0000-0000DB150000}"/>
    <cellStyle name="20% - Accent4 53 2 3" xfId="9867" xr:uid="{00000000-0005-0000-0000-0000DC150000}"/>
    <cellStyle name="20% - Accent4 53 2 3 2" xfId="21155" xr:uid="{00000000-0005-0000-0000-0000DD150000}"/>
    <cellStyle name="20% - Accent4 53 2 4" xfId="7873" xr:uid="{00000000-0005-0000-0000-0000DE150000}"/>
    <cellStyle name="20% - Accent4 53 2 4 2" xfId="19161" xr:uid="{00000000-0005-0000-0000-0000DF150000}"/>
    <cellStyle name="20% - Accent4 53 2 5" xfId="5879" xr:uid="{00000000-0005-0000-0000-0000E0150000}"/>
    <cellStyle name="20% - Accent4 53 2 5 2" xfId="17167" xr:uid="{00000000-0005-0000-0000-0000E1150000}"/>
    <cellStyle name="20% - Accent4 53 2 6" xfId="15173" xr:uid="{00000000-0005-0000-0000-0000E2150000}"/>
    <cellStyle name="20% - Accent4 53 3" xfId="10864" xr:uid="{00000000-0005-0000-0000-0000E3150000}"/>
    <cellStyle name="20% - Accent4 53 3 2" xfId="22152" xr:uid="{00000000-0005-0000-0000-0000E4150000}"/>
    <cellStyle name="20% - Accent4 53 4" xfId="8870" xr:uid="{00000000-0005-0000-0000-0000E5150000}"/>
    <cellStyle name="20% - Accent4 53 4 2" xfId="20158" xr:uid="{00000000-0005-0000-0000-0000E6150000}"/>
    <cellStyle name="20% - Accent4 53 5" xfId="6876" xr:uid="{00000000-0005-0000-0000-0000E7150000}"/>
    <cellStyle name="20% - Accent4 53 5 2" xfId="18164" xr:uid="{00000000-0005-0000-0000-0000E8150000}"/>
    <cellStyle name="20% - Accent4 53 6" xfId="4882" xr:uid="{00000000-0005-0000-0000-0000E9150000}"/>
    <cellStyle name="20% - Accent4 53 6 2" xfId="16170" xr:uid="{00000000-0005-0000-0000-0000EA150000}"/>
    <cellStyle name="20% - Accent4 53 7" xfId="14176" xr:uid="{00000000-0005-0000-0000-0000EB150000}"/>
    <cellStyle name="20% - Accent4 53 8" xfId="12862" xr:uid="{00000000-0005-0000-0000-0000EC150000}"/>
    <cellStyle name="20% - Accent4 54" xfId="927" xr:uid="{00000000-0005-0000-0000-0000ED150000}"/>
    <cellStyle name="20% - Accent4 54 2" xfId="3883" xr:uid="{00000000-0005-0000-0000-0000EE150000}"/>
    <cellStyle name="20% - Accent4 54 2 2" xfId="11862" xr:uid="{00000000-0005-0000-0000-0000EF150000}"/>
    <cellStyle name="20% - Accent4 54 2 2 2" xfId="23150" xr:uid="{00000000-0005-0000-0000-0000F0150000}"/>
    <cellStyle name="20% - Accent4 54 2 3" xfId="9868" xr:uid="{00000000-0005-0000-0000-0000F1150000}"/>
    <cellStyle name="20% - Accent4 54 2 3 2" xfId="21156" xr:uid="{00000000-0005-0000-0000-0000F2150000}"/>
    <cellStyle name="20% - Accent4 54 2 4" xfId="7874" xr:uid="{00000000-0005-0000-0000-0000F3150000}"/>
    <cellStyle name="20% - Accent4 54 2 4 2" xfId="19162" xr:uid="{00000000-0005-0000-0000-0000F4150000}"/>
    <cellStyle name="20% - Accent4 54 2 5" xfId="5880" xr:uid="{00000000-0005-0000-0000-0000F5150000}"/>
    <cellStyle name="20% - Accent4 54 2 5 2" xfId="17168" xr:uid="{00000000-0005-0000-0000-0000F6150000}"/>
    <cellStyle name="20% - Accent4 54 2 6" xfId="15174" xr:uid="{00000000-0005-0000-0000-0000F7150000}"/>
    <cellStyle name="20% - Accent4 54 3" xfId="10865" xr:uid="{00000000-0005-0000-0000-0000F8150000}"/>
    <cellStyle name="20% - Accent4 54 3 2" xfId="22153" xr:uid="{00000000-0005-0000-0000-0000F9150000}"/>
    <cellStyle name="20% - Accent4 54 4" xfId="8871" xr:uid="{00000000-0005-0000-0000-0000FA150000}"/>
    <cellStyle name="20% - Accent4 54 4 2" xfId="20159" xr:uid="{00000000-0005-0000-0000-0000FB150000}"/>
    <cellStyle name="20% - Accent4 54 5" xfId="6877" xr:uid="{00000000-0005-0000-0000-0000FC150000}"/>
    <cellStyle name="20% - Accent4 54 5 2" xfId="18165" xr:uid="{00000000-0005-0000-0000-0000FD150000}"/>
    <cellStyle name="20% - Accent4 54 6" xfId="4883" xr:uid="{00000000-0005-0000-0000-0000FE150000}"/>
    <cellStyle name="20% - Accent4 54 6 2" xfId="16171" xr:uid="{00000000-0005-0000-0000-0000FF150000}"/>
    <cellStyle name="20% - Accent4 54 7" xfId="14177" xr:uid="{00000000-0005-0000-0000-000000160000}"/>
    <cellStyle name="20% - Accent4 54 8" xfId="12863" xr:uid="{00000000-0005-0000-0000-000001160000}"/>
    <cellStyle name="20% - Accent4 55" xfId="928" xr:uid="{00000000-0005-0000-0000-000002160000}"/>
    <cellStyle name="20% - Accent4 55 2" xfId="3884" xr:uid="{00000000-0005-0000-0000-000003160000}"/>
    <cellStyle name="20% - Accent4 55 2 2" xfId="11863" xr:uid="{00000000-0005-0000-0000-000004160000}"/>
    <cellStyle name="20% - Accent4 55 2 2 2" xfId="23151" xr:uid="{00000000-0005-0000-0000-000005160000}"/>
    <cellStyle name="20% - Accent4 55 2 3" xfId="9869" xr:uid="{00000000-0005-0000-0000-000006160000}"/>
    <cellStyle name="20% - Accent4 55 2 3 2" xfId="21157" xr:uid="{00000000-0005-0000-0000-000007160000}"/>
    <cellStyle name="20% - Accent4 55 2 4" xfId="7875" xr:uid="{00000000-0005-0000-0000-000008160000}"/>
    <cellStyle name="20% - Accent4 55 2 4 2" xfId="19163" xr:uid="{00000000-0005-0000-0000-000009160000}"/>
    <cellStyle name="20% - Accent4 55 2 5" xfId="5881" xr:uid="{00000000-0005-0000-0000-00000A160000}"/>
    <cellStyle name="20% - Accent4 55 2 5 2" xfId="17169" xr:uid="{00000000-0005-0000-0000-00000B160000}"/>
    <cellStyle name="20% - Accent4 55 2 6" xfId="15175" xr:uid="{00000000-0005-0000-0000-00000C160000}"/>
    <cellStyle name="20% - Accent4 55 3" xfId="10866" xr:uid="{00000000-0005-0000-0000-00000D160000}"/>
    <cellStyle name="20% - Accent4 55 3 2" xfId="22154" xr:uid="{00000000-0005-0000-0000-00000E160000}"/>
    <cellStyle name="20% - Accent4 55 4" xfId="8872" xr:uid="{00000000-0005-0000-0000-00000F160000}"/>
    <cellStyle name="20% - Accent4 55 4 2" xfId="20160" xr:uid="{00000000-0005-0000-0000-000010160000}"/>
    <cellStyle name="20% - Accent4 55 5" xfId="6878" xr:uid="{00000000-0005-0000-0000-000011160000}"/>
    <cellStyle name="20% - Accent4 55 5 2" xfId="18166" xr:uid="{00000000-0005-0000-0000-000012160000}"/>
    <cellStyle name="20% - Accent4 55 6" xfId="4884" xr:uid="{00000000-0005-0000-0000-000013160000}"/>
    <cellStyle name="20% - Accent4 55 6 2" xfId="16172" xr:uid="{00000000-0005-0000-0000-000014160000}"/>
    <cellStyle name="20% - Accent4 55 7" xfId="14178" xr:uid="{00000000-0005-0000-0000-000015160000}"/>
    <cellStyle name="20% - Accent4 55 8" xfId="12864" xr:uid="{00000000-0005-0000-0000-000016160000}"/>
    <cellStyle name="20% - Accent4 56" xfId="929" xr:uid="{00000000-0005-0000-0000-000017160000}"/>
    <cellStyle name="20% - Accent4 56 2" xfId="3885" xr:uid="{00000000-0005-0000-0000-000018160000}"/>
    <cellStyle name="20% - Accent4 56 2 2" xfId="11864" xr:uid="{00000000-0005-0000-0000-000019160000}"/>
    <cellStyle name="20% - Accent4 56 2 2 2" xfId="23152" xr:uid="{00000000-0005-0000-0000-00001A160000}"/>
    <cellStyle name="20% - Accent4 56 2 3" xfId="9870" xr:uid="{00000000-0005-0000-0000-00001B160000}"/>
    <cellStyle name="20% - Accent4 56 2 3 2" xfId="21158" xr:uid="{00000000-0005-0000-0000-00001C160000}"/>
    <cellStyle name="20% - Accent4 56 2 4" xfId="7876" xr:uid="{00000000-0005-0000-0000-00001D160000}"/>
    <cellStyle name="20% - Accent4 56 2 4 2" xfId="19164" xr:uid="{00000000-0005-0000-0000-00001E160000}"/>
    <cellStyle name="20% - Accent4 56 2 5" xfId="5882" xr:uid="{00000000-0005-0000-0000-00001F160000}"/>
    <cellStyle name="20% - Accent4 56 2 5 2" xfId="17170" xr:uid="{00000000-0005-0000-0000-000020160000}"/>
    <cellStyle name="20% - Accent4 56 2 6" xfId="15176" xr:uid="{00000000-0005-0000-0000-000021160000}"/>
    <cellStyle name="20% - Accent4 56 3" xfId="10867" xr:uid="{00000000-0005-0000-0000-000022160000}"/>
    <cellStyle name="20% - Accent4 56 3 2" xfId="22155" xr:uid="{00000000-0005-0000-0000-000023160000}"/>
    <cellStyle name="20% - Accent4 56 4" xfId="8873" xr:uid="{00000000-0005-0000-0000-000024160000}"/>
    <cellStyle name="20% - Accent4 56 4 2" xfId="20161" xr:uid="{00000000-0005-0000-0000-000025160000}"/>
    <cellStyle name="20% - Accent4 56 5" xfId="6879" xr:uid="{00000000-0005-0000-0000-000026160000}"/>
    <cellStyle name="20% - Accent4 56 5 2" xfId="18167" xr:uid="{00000000-0005-0000-0000-000027160000}"/>
    <cellStyle name="20% - Accent4 56 6" xfId="4885" xr:uid="{00000000-0005-0000-0000-000028160000}"/>
    <cellStyle name="20% - Accent4 56 6 2" xfId="16173" xr:uid="{00000000-0005-0000-0000-000029160000}"/>
    <cellStyle name="20% - Accent4 56 7" xfId="14179" xr:uid="{00000000-0005-0000-0000-00002A160000}"/>
    <cellStyle name="20% - Accent4 56 8" xfId="12865" xr:uid="{00000000-0005-0000-0000-00002B160000}"/>
    <cellStyle name="20% - Accent4 57" xfId="930" xr:uid="{00000000-0005-0000-0000-00002C160000}"/>
    <cellStyle name="20% - Accent4 57 2" xfId="3886" xr:uid="{00000000-0005-0000-0000-00002D160000}"/>
    <cellStyle name="20% - Accent4 57 2 2" xfId="11865" xr:uid="{00000000-0005-0000-0000-00002E160000}"/>
    <cellStyle name="20% - Accent4 57 2 2 2" xfId="23153" xr:uid="{00000000-0005-0000-0000-00002F160000}"/>
    <cellStyle name="20% - Accent4 57 2 3" xfId="9871" xr:uid="{00000000-0005-0000-0000-000030160000}"/>
    <cellStyle name="20% - Accent4 57 2 3 2" xfId="21159" xr:uid="{00000000-0005-0000-0000-000031160000}"/>
    <cellStyle name="20% - Accent4 57 2 4" xfId="7877" xr:uid="{00000000-0005-0000-0000-000032160000}"/>
    <cellStyle name="20% - Accent4 57 2 4 2" xfId="19165" xr:uid="{00000000-0005-0000-0000-000033160000}"/>
    <cellStyle name="20% - Accent4 57 2 5" xfId="5883" xr:uid="{00000000-0005-0000-0000-000034160000}"/>
    <cellStyle name="20% - Accent4 57 2 5 2" xfId="17171" xr:uid="{00000000-0005-0000-0000-000035160000}"/>
    <cellStyle name="20% - Accent4 57 2 6" xfId="15177" xr:uid="{00000000-0005-0000-0000-000036160000}"/>
    <cellStyle name="20% - Accent4 57 3" xfId="10868" xr:uid="{00000000-0005-0000-0000-000037160000}"/>
    <cellStyle name="20% - Accent4 57 3 2" xfId="22156" xr:uid="{00000000-0005-0000-0000-000038160000}"/>
    <cellStyle name="20% - Accent4 57 4" xfId="8874" xr:uid="{00000000-0005-0000-0000-000039160000}"/>
    <cellStyle name="20% - Accent4 57 4 2" xfId="20162" xr:uid="{00000000-0005-0000-0000-00003A160000}"/>
    <cellStyle name="20% - Accent4 57 5" xfId="6880" xr:uid="{00000000-0005-0000-0000-00003B160000}"/>
    <cellStyle name="20% - Accent4 57 5 2" xfId="18168" xr:uid="{00000000-0005-0000-0000-00003C160000}"/>
    <cellStyle name="20% - Accent4 57 6" xfId="4886" xr:uid="{00000000-0005-0000-0000-00003D160000}"/>
    <cellStyle name="20% - Accent4 57 6 2" xfId="16174" xr:uid="{00000000-0005-0000-0000-00003E160000}"/>
    <cellStyle name="20% - Accent4 57 7" xfId="14180" xr:uid="{00000000-0005-0000-0000-00003F160000}"/>
    <cellStyle name="20% - Accent4 57 8" xfId="12866" xr:uid="{00000000-0005-0000-0000-000040160000}"/>
    <cellStyle name="20% - Accent4 58" xfId="931" xr:uid="{00000000-0005-0000-0000-000041160000}"/>
    <cellStyle name="20% - Accent4 58 2" xfId="3887" xr:uid="{00000000-0005-0000-0000-000042160000}"/>
    <cellStyle name="20% - Accent4 58 2 2" xfId="11866" xr:uid="{00000000-0005-0000-0000-000043160000}"/>
    <cellStyle name="20% - Accent4 58 2 2 2" xfId="23154" xr:uid="{00000000-0005-0000-0000-000044160000}"/>
    <cellStyle name="20% - Accent4 58 2 3" xfId="9872" xr:uid="{00000000-0005-0000-0000-000045160000}"/>
    <cellStyle name="20% - Accent4 58 2 3 2" xfId="21160" xr:uid="{00000000-0005-0000-0000-000046160000}"/>
    <cellStyle name="20% - Accent4 58 2 4" xfId="7878" xr:uid="{00000000-0005-0000-0000-000047160000}"/>
    <cellStyle name="20% - Accent4 58 2 4 2" xfId="19166" xr:uid="{00000000-0005-0000-0000-000048160000}"/>
    <cellStyle name="20% - Accent4 58 2 5" xfId="5884" xr:uid="{00000000-0005-0000-0000-000049160000}"/>
    <cellStyle name="20% - Accent4 58 2 5 2" xfId="17172" xr:uid="{00000000-0005-0000-0000-00004A160000}"/>
    <cellStyle name="20% - Accent4 58 2 6" xfId="15178" xr:uid="{00000000-0005-0000-0000-00004B160000}"/>
    <cellStyle name="20% - Accent4 58 3" xfId="10869" xr:uid="{00000000-0005-0000-0000-00004C160000}"/>
    <cellStyle name="20% - Accent4 58 3 2" xfId="22157" xr:uid="{00000000-0005-0000-0000-00004D160000}"/>
    <cellStyle name="20% - Accent4 58 4" xfId="8875" xr:uid="{00000000-0005-0000-0000-00004E160000}"/>
    <cellStyle name="20% - Accent4 58 4 2" xfId="20163" xr:uid="{00000000-0005-0000-0000-00004F160000}"/>
    <cellStyle name="20% - Accent4 58 5" xfId="6881" xr:uid="{00000000-0005-0000-0000-000050160000}"/>
    <cellStyle name="20% - Accent4 58 5 2" xfId="18169" xr:uid="{00000000-0005-0000-0000-000051160000}"/>
    <cellStyle name="20% - Accent4 58 6" xfId="4887" xr:uid="{00000000-0005-0000-0000-000052160000}"/>
    <cellStyle name="20% - Accent4 58 6 2" xfId="16175" xr:uid="{00000000-0005-0000-0000-000053160000}"/>
    <cellStyle name="20% - Accent4 58 7" xfId="14181" xr:uid="{00000000-0005-0000-0000-000054160000}"/>
    <cellStyle name="20% - Accent4 58 8" xfId="12867" xr:uid="{00000000-0005-0000-0000-000055160000}"/>
    <cellStyle name="20% - Accent4 59" xfId="932" xr:uid="{00000000-0005-0000-0000-000056160000}"/>
    <cellStyle name="20% - Accent4 59 2" xfId="3888" xr:uid="{00000000-0005-0000-0000-000057160000}"/>
    <cellStyle name="20% - Accent4 59 2 2" xfId="11867" xr:uid="{00000000-0005-0000-0000-000058160000}"/>
    <cellStyle name="20% - Accent4 59 2 2 2" xfId="23155" xr:uid="{00000000-0005-0000-0000-000059160000}"/>
    <cellStyle name="20% - Accent4 59 2 3" xfId="9873" xr:uid="{00000000-0005-0000-0000-00005A160000}"/>
    <cellStyle name="20% - Accent4 59 2 3 2" xfId="21161" xr:uid="{00000000-0005-0000-0000-00005B160000}"/>
    <cellStyle name="20% - Accent4 59 2 4" xfId="7879" xr:uid="{00000000-0005-0000-0000-00005C160000}"/>
    <cellStyle name="20% - Accent4 59 2 4 2" xfId="19167" xr:uid="{00000000-0005-0000-0000-00005D160000}"/>
    <cellStyle name="20% - Accent4 59 2 5" xfId="5885" xr:uid="{00000000-0005-0000-0000-00005E160000}"/>
    <cellStyle name="20% - Accent4 59 2 5 2" xfId="17173" xr:uid="{00000000-0005-0000-0000-00005F160000}"/>
    <cellStyle name="20% - Accent4 59 2 6" xfId="15179" xr:uid="{00000000-0005-0000-0000-000060160000}"/>
    <cellStyle name="20% - Accent4 59 3" xfId="10870" xr:uid="{00000000-0005-0000-0000-000061160000}"/>
    <cellStyle name="20% - Accent4 59 3 2" xfId="22158" xr:uid="{00000000-0005-0000-0000-000062160000}"/>
    <cellStyle name="20% - Accent4 59 4" xfId="8876" xr:uid="{00000000-0005-0000-0000-000063160000}"/>
    <cellStyle name="20% - Accent4 59 4 2" xfId="20164" xr:uid="{00000000-0005-0000-0000-000064160000}"/>
    <cellStyle name="20% - Accent4 59 5" xfId="6882" xr:uid="{00000000-0005-0000-0000-000065160000}"/>
    <cellStyle name="20% - Accent4 59 5 2" xfId="18170" xr:uid="{00000000-0005-0000-0000-000066160000}"/>
    <cellStyle name="20% - Accent4 59 6" xfId="4888" xr:uid="{00000000-0005-0000-0000-000067160000}"/>
    <cellStyle name="20% - Accent4 59 6 2" xfId="16176" xr:uid="{00000000-0005-0000-0000-000068160000}"/>
    <cellStyle name="20% - Accent4 59 7" xfId="14182" xr:uid="{00000000-0005-0000-0000-000069160000}"/>
    <cellStyle name="20% - Accent4 59 8" xfId="12868" xr:uid="{00000000-0005-0000-0000-00006A160000}"/>
    <cellStyle name="20% - Accent4 6" xfId="933" xr:uid="{00000000-0005-0000-0000-00006B160000}"/>
    <cellStyle name="20% - Accent4 6 10" xfId="24581" xr:uid="{00000000-0005-0000-0000-00006C160000}"/>
    <cellStyle name="20% - Accent4 6 11" xfId="24971" xr:uid="{00000000-0005-0000-0000-00006D160000}"/>
    <cellStyle name="20% - Accent4 6 2" xfId="3889" xr:uid="{00000000-0005-0000-0000-00006E160000}"/>
    <cellStyle name="20% - Accent4 6 2 2" xfId="11868" xr:uid="{00000000-0005-0000-0000-00006F160000}"/>
    <cellStyle name="20% - Accent4 6 2 2 2" xfId="23156" xr:uid="{00000000-0005-0000-0000-000070160000}"/>
    <cellStyle name="20% - Accent4 6 2 3" xfId="9874" xr:uid="{00000000-0005-0000-0000-000071160000}"/>
    <cellStyle name="20% - Accent4 6 2 3 2" xfId="21162" xr:uid="{00000000-0005-0000-0000-000072160000}"/>
    <cellStyle name="20% - Accent4 6 2 4" xfId="7880" xr:uid="{00000000-0005-0000-0000-000073160000}"/>
    <cellStyle name="20% - Accent4 6 2 4 2" xfId="19168" xr:uid="{00000000-0005-0000-0000-000074160000}"/>
    <cellStyle name="20% - Accent4 6 2 5" xfId="5886" xr:uid="{00000000-0005-0000-0000-000075160000}"/>
    <cellStyle name="20% - Accent4 6 2 5 2" xfId="17174" xr:uid="{00000000-0005-0000-0000-000076160000}"/>
    <cellStyle name="20% - Accent4 6 2 6" xfId="15180" xr:uid="{00000000-0005-0000-0000-000077160000}"/>
    <cellStyle name="20% - Accent4 6 2 7" xfId="24342" xr:uid="{00000000-0005-0000-0000-000078160000}"/>
    <cellStyle name="20% - Accent4 6 2 8" xfId="24806" xr:uid="{00000000-0005-0000-0000-000079160000}"/>
    <cellStyle name="20% - Accent4 6 2 9" xfId="25173" xr:uid="{00000000-0005-0000-0000-00007A160000}"/>
    <cellStyle name="20% - Accent4 6 3" xfId="10871" xr:uid="{00000000-0005-0000-0000-00007B160000}"/>
    <cellStyle name="20% - Accent4 6 3 2" xfId="22159" xr:uid="{00000000-0005-0000-0000-00007C160000}"/>
    <cellStyle name="20% - Accent4 6 4" xfId="8877" xr:uid="{00000000-0005-0000-0000-00007D160000}"/>
    <cellStyle name="20% - Accent4 6 4 2" xfId="20165" xr:uid="{00000000-0005-0000-0000-00007E160000}"/>
    <cellStyle name="20% - Accent4 6 5" xfId="6883" xr:uid="{00000000-0005-0000-0000-00007F160000}"/>
    <cellStyle name="20% - Accent4 6 5 2" xfId="18171" xr:uid="{00000000-0005-0000-0000-000080160000}"/>
    <cellStyle name="20% - Accent4 6 6" xfId="4889" xr:uid="{00000000-0005-0000-0000-000081160000}"/>
    <cellStyle name="20% - Accent4 6 6 2" xfId="16177" xr:uid="{00000000-0005-0000-0000-000082160000}"/>
    <cellStyle name="20% - Accent4 6 7" xfId="14183" xr:uid="{00000000-0005-0000-0000-000083160000}"/>
    <cellStyle name="20% - Accent4 6 8" xfId="12869" xr:uid="{00000000-0005-0000-0000-000084160000}"/>
    <cellStyle name="20% - Accent4 6 9" xfId="23954" xr:uid="{00000000-0005-0000-0000-000085160000}"/>
    <cellStyle name="20% - Accent4 60" xfId="934" xr:uid="{00000000-0005-0000-0000-000086160000}"/>
    <cellStyle name="20% - Accent4 60 2" xfId="3890" xr:uid="{00000000-0005-0000-0000-000087160000}"/>
    <cellStyle name="20% - Accent4 60 2 2" xfId="11869" xr:uid="{00000000-0005-0000-0000-000088160000}"/>
    <cellStyle name="20% - Accent4 60 2 2 2" xfId="23157" xr:uid="{00000000-0005-0000-0000-000089160000}"/>
    <cellStyle name="20% - Accent4 60 2 3" xfId="9875" xr:uid="{00000000-0005-0000-0000-00008A160000}"/>
    <cellStyle name="20% - Accent4 60 2 3 2" xfId="21163" xr:uid="{00000000-0005-0000-0000-00008B160000}"/>
    <cellStyle name="20% - Accent4 60 2 4" xfId="7881" xr:uid="{00000000-0005-0000-0000-00008C160000}"/>
    <cellStyle name="20% - Accent4 60 2 4 2" xfId="19169" xr:uid="{00000000-0005-0000-0000-00008D160000}"/>
    <cellStyle name="20% - Accent4 60 2 5" xfId="5887" xr:uid="{00000000-0005-0000-0000-00008E160000}"/>
    <cellStyle name="20% - Accent4 60 2 5 2" xfId="17175" xr:uid="{00000000-0005-0000-0000-00008F160000}"/>
    <cellStyle name="20% - Accent4 60 2 6" xfId="15181" xr:uid="{00000000-0005-0000-0000-000090160000}"/>
    <cellStyle name="20% - Accent4 60 3" xfId="10872" xr:uid="{00000000-0005-0000-0000-000091160000}"/>
    <cellStyle name="20% - Accent4 60 3 2" xfId="22160" xr:uid="{00000000-0005-0000-0000-000092160000}"/>
    <cellStyle name="20% - Accent4 60 4" xfId="8878" xr:uid="{00000000-0005-0000-0000-000093160000}"/>
    <cellStyle name="20% - Accent4 60 4 2" xfId="20166" xr:uid="{00000000-0005-0000-0000-000094160000}"/>
    <cellStyle name="20% - Accent4 60 5" xfId="6884" xr:uid="{00000000-0005-0000-0000-000095160000}"/>
    <cellStyle name="20% - Accent4 60 5 2" xfId="18172" xr:uid="{00000000-0005-0000-0000-000096160000}"/>
    <cellStyle name="20% - Accent4 60 6" xfId="4890" xr:uid="{00000000-0005-0000-0000-000097160000}"/>
    <cellStyle name="20% - Accent4 60 6 2" xfId="16178" xr:uid="{00000000-0005-0000-0000-000098160000}"/>
    <cellStyle name="20% - Accent4 60 7" xfId="14184" xr:uid="{00000000-0005-0000-0000-000099160000}"/>
    <cellStyle name="20% - Accent4 60 8" xfId="12870" xr:uid="{00000000-0005-0000-0000-00009A160000}"/>
    <cellStyle name="20% - Accent4 61" xfId="935" xr:uid="{00000000-0005-0000-0000-00009B160000}"/>
    <cellStyle name="20% - Accent4 61 2" xfId="3891" xr:uid="{00000000-0005-0000-0000-00009C160000}"/>
    <cellStyle name="20% - Accent4 61 2 2" xfId="11870" xr:uid="{00000000-0005-0000-0000-00009D160000}"/>
    <cellStyle name="20% - Accent4 61 2 2 2" xfId="23158" xr:uid="{00000000-0005-0000-0000-00009E160000}"/>
    <cellStyle name="20% - Accent4 61 2 3" xfId="9876" xr:uid="{00000000-0005-0000-0000-00009F160000}"/>
    <cellStyle name="20% - Accent4 61 2 3 2" xfId="21164" xr:uid="{00000000-0005-0000-0000-0000A0160000}"/>
    <cellStyle name="20% - Accent4 61 2 4" xfId="7882" xr:uid="{00000000-0005-0000-0000-0000A1160000}"/>
    <cellStyle name="20% - Accent4 61 2 4 2" xfId="19170" xr:uid="{00000000-0005-0000-0000-0000A2160000}"/>
    <cellStyle name="20% - Accent4 61 2 5" xfId="5888" xr:uid="{00000000-0005-0000-0000-0000A3160000}"/>
    <cellStyle name="20% - Accent4 61 2 5 2" xfId="17176" xr:uid="{00000000-0005-0000-0000-0000A4160000}"/>
    <cellStyle name="20% - Accent4 61 2 6" xfId="15182" xr:uid="{00000000-0005-0000-0000-0000A5160000}"/>
    <cellStyle name="20% - Accent4 61 3" xfId="10873" xr:uid="{00000000-0005-0000-0000-0000A6160000}"/>
    <cellStyle name="20% - Accent4 61 3 2" xfId="22161" xr:uid="{00000000-0005-0000-0000-0000A7160000}"/>
    <cellStyle name="20% - Accent4 61 4" xfId="8879" xr:uid="{00000000-0005-0000-0000-0000A8160000}"/>
    <cellStyle name="20% - Accent4 61 4 2" xfId="20167" xr:uid="{00000000-0005-0000-0000-0000A9160000}"/>
    <cellStyle name="20% - Accent4 61 5" xfId="6885" xr:uid="{00000000-0005-0000-0000-0000AA160000}"/>
    <cellStyle name="20% - Accent4 61 5 2" xfId="18173" xr:uid="{00000000-0005-0000-0000-0000AB160000}"/>
    <cellStyle name="20% - Accent4 61 6" xfId="4891" xr:uid="{00000000-0005-0000-0000-0000AC160000}"/>
    <cellStyle name="20% - Accent4 61 6 2" xfId="16179" xr:uid="{00000000-0005-0000-0000-0000AD160000}"/>
    <cellStyle name="20% - Accent4 61 7" xfId="14185" xr:uid="{00000000-0005-0000-0000-0000AE160000}"/>
    <cellStyle name="20% - Accent4 61 8" xfId="12871" xr:uid="{00000000-0005-0000-0000-0000AF160000}"/>
    <cellStyle name="20% - Accent4 62" xfId="936" xr:uid="{00000000-0005-0000-0000-0000B0160000}"/>
    <cellStyle name="20% - Accent4 62 2" xfId="3892" xr:uid="{00000000-0005-0000-0000-0000B1160000}"/>
    <cellStyle name="20% - Accent4 62 2 2" xfId="11871" xr:uid="{00000000-0005-0000-0000-0000B2160000}"/>
    <cellStyle name="20% - Accent4 62 2 2 2" xfId="23159" xr:uid="{00000000-0005-0000-0000-0000B3160000}"/>
    <cellStyle name="20% - Accent4 62 2 3" xfId="9877" xr:uid="{00000000-0005-0000-0000-0000B4160000}"/>
    <cellStyle name="20% - Accent4 62 2 3 2" xfId="21165" xr:uid="{00000000-0005-0000-0000-0000B5160000}"/>
    <cellStyle name="20% - Accent4 62 2 4" xfId="7883" xr:uid="{00000000-0005-0000-0000-0000B6160000}"/>
    <cellStyle name="20% - Accent4 62 2 4 2" xfId="19171" xr:uid="{00000000-0005-0000-0000-0000B7160000}"/>
    <cellStyle name="20% - Accent4 62 2 5" xfId="5889" xr:uid="{00000000-0005-0000-0000-0000B8160000}"/>
    <cellStyle name="20% - Accent4 62 2 5 2" xfId="17177" xr:uid="{00000000-0005-0000-0000-0000B9160000}"/>
    <cellStyle name="20% - Accent4 62 2 6" xfId="15183" xr:uid="{00000000-0005-0000-0000-0000BA160000}"/>
    <cellStyle name="20% - Accent4 62 3" xfId="10874" xr:uid="{00000000-0005-0000-0000-0000BB160000}"/>
    <cellStyle name="20% - Accent4 62 3 2" xfId="22162" xr:uid="{00000000-0005-0000-0000-0000BC160000}"/>
    <cellStyle name="20% - Accent4 62 4" xfId="8880" xr:uid="{00000000-0005-0000-0000-0000BD160000}"/>
    <cellStyle name="20% - Accent4 62 4 2" xfId="20168" xr:uid="{00000000-0005-0000-0000-0000BE160000}"/>
    <cellStyle name="20% - Accent4 62 5" xfId="6886" xr:uid="{00000000-0005-0000-0000-0000BF160000}"/>
    <cellStyle name="20% - Accent4 62 5 2" xfId="18174" xr:uid="{00000000-0005-0000-0000-0000C0160000}"/>
    <cellStyle name="20% - Accent4 62 6" xfId="4892" xr:uid="{00000000-0005-0000-0000-0000C1160000}"/>
    <cellStyle name="20% - Accent4 62 6 2" xfId="16180" xr:uid="{00000000-0005-0000-0000-0000C2160000}"/>
    <cellStyle name="20% - Accent4 62 7" xfId="14186" xr:uid="{00000000-0005-0000-0000-0000C3160000}"/>
    <cellStyle name="20% - Accent4 62 8" xfId="12872" xr:uid="{00000000-0005-0000-0000-0000C4160000}"/>
    <cellStyle name="20% - Accent4 63" xfId="937" xr:uid="{00000000-0005-0000-0000-0000C5160000}"/>
    <cellStyle name="20% - Accent4 63 2" xfId="3893" xr:uid="{00000000-0005-0000-0000-0000C6160000}"/>
    <cellStyle name="20% - Accent4 63 2 2" xfId="11872" xr:uid="{00000000-0005-0000-0000-0000C7160000}"/>
    <cellStyle name="20% - Accent4 63 2 2 2" xfId="23160" xr:uid="{00000000-0005-0000-0000-0000C8160000}"/>
    <cellStyle name="20% - Accent4 63 2 3" xfId="9878" xr:uid="{00000000-0005-0000-0000-0000C9160000}"/>
    <cellStyle name="20% - Accent4 63 2 3 2" xfId="21166" xr:uid="{00000000-0005-0000-0000-0000CA160000}"/>
    <cellStyle name="20% - Accent4 63 2 4" xfId="7884" xr:uid="{00000000-0005-0000-0000-0000CB160000}"/>
    <cellStyle name="20% - Accent4 63 2 4 2" xfId="19172" xr:uid="{00000000-0005-0000-0000-0000CC160000}"/>
    <cellStyle name="20% - Accent4 63 2 5" xfId="5890" xr:uid="{00000000-0005-0000-0000-0000CD160000}"/>
    <cellStyle name="20% - Accent4 63 2 5 2" xfId="17178" xr:uid="{00000000-0005-0000-0000-0000CE160000}"/>
    <cellStyle name="20% - Accent4 63 2 6" xfId="15184" xr:uid="{00000000-0005-0000-0000-0000CF160000}"/>
    <cellStyle name="20% - Accent4 63 3" xfId="10875" xr:uid="{00000000-0005-0000-0000-0000D0160000}"/>
    <cellStyle name="20% - Accent4 63 3 2" xfId="22163" xr:uid="{00000000-0005-0000-0000-0000D1160000}"/>
    <cellStyle name="20% - Accent4 63 4" xfId="8881" xr:uid="{00000000-0005-0000-0000-0000D2160000}"/>
    <cellStyle name="20% - Accent4 63 4 2" xfId="20169" xr:uid="{00000000-0005-0000-0000-0000D3160000}"/>
    <cellStyle name="20% - Accent4 63 5" xfId="6887" xr:uid="{00000000-0005-0000-0000-0000D4160000}"/>
    <cellStyle name="20% - Accent4 63 5 2" xfId="18175" xr:uid="{00000000-0005-0000-0000-0000D5160000}"/>
    <cellStyle name="20% - Accent4 63 6" xfId="4893" xr:uid="{00000000-0005-0000-0000-0000D6160000}"/>
    <cellStyle name="20% - Accent4 63 6 2" xfId="16181" xr:uid="{00000000-0005-0000-0000-0000D7160000}"/>
    <cellStyle name="20% - Accent4 63 7" xfId="14187" xr:uid="{00000000-0005-0000-0000-0000D8160000}"/>
    <cellStyle name="20% - Accent4 63 8" xfId="12873" xr:uid="{00000000-0005-0000-0000-0000D9160000}"/>
    <cellStyle name="20% - Accent4 64" xfId="938" xr:uid="{00000000-0005-0000-0000-0000DA160000}"/>
    <cellStyle name="20% - Accent4 64 2" xfId="3894" xr:uid="{00000000-0005-0000-0000-0000DB160000}"/>
    <cellStyle name="20% - Accent4 64 2 2" xfId="11873" xr:uid="{00000000-0005-0000-0000-0000DC160000}"/>
    <cellStyle name="20% - Accent4 64 2 2 2" xfId="23161" xr:uid="{00000000-0005-0000-0000-0000DD160000}"/>
    <cellStyle name="20% - Accent4 64 2 3" xfId="9879" xr:uid="{00000000-0005-0000-0000-0000DE160000}"/>
    <cellStyle name="20% - Accent4 64 2 3 2" xfId="21167" xr:uid="{00000000-0005-0000-0000-0000DF160000}"/>
    <cellStyle name="20% - Accent4 64 2 4" xfId="7885" xr:uid="{00000000-0005-0000-0000-0000E0160000}"/>
    <cellStyle name="20% - Accent4 64 2 4 2" xfId="19173" xr:uid="{00000000-0005-0000-0000-0000E1160000}"/>
    <cellStyle name="20% - Accent4 64 2 5" xfId="5891" xr:uid="{00000000-0005-0000-0000-0000E2160000}"/>
    <cellStyle name="20% - Accent4 64 2 5 2" xfId="17179" xr:uid="{00000000-0005-0000-0000-0000E3160000}"/>
    <cellStyle name="20% - Accent4 64 2 6" xfId="15185" xr:uid="{00000000-0005-0000-0000-0000E4160000}"/>
    <cellStyle name="20% - Accent4 64 3" xfId="10876" xr:uid="{00000000-0005-0000-0000-0000E5160000}"/>
    <cellStyle name="20% - Accent4 64 3 2" xfId="22164" xr:uid="{00000000-0005-0000-0000-0000E6160000}"/>
    <cellStyle name="20% - Accent4 64 4" xfId="8882" xr:uid="{00000000-0005-0000-0000-0000E7160000}"/>
    <cellStyle name="20% - Accent4 64 4 2" xfId="20170" xr:uid="{00000000-0005-0000-0000-0000E8160000}"/>
    <cellStyle name="20% - Accent4 64 5" xfId="6888" xr:uid="{00000000-0005-0000-0000-0000E9160000}"/>
    <cellStyle name="20% - Accent4 64 5 2" xfId="18176" xr:uid="{00000000-0005-0000-0000-0000EA160000}"/>
    <cellStyle name="20% - Accent4 64 6" xfId="4894" xr:uid="{00000000-0005-0000-0000-0000EB160000}"/>
    <cellStyle name="20% - Accent4 64 6 2" xfId="16182" xr:uid="{00000000-0005-0000-0000-0000EC160000}"/>
    <cellStyle name="20% - Accent4 64 7" xfId="14188" xr:uid="{00000000-0005-0000-0000-0000ED160000}"/>
    <cellStyle name="20% - Accent4 64 8" xfId="12874" xr:uid="{00000000-0005-0000-0000-0000EE160000}"/>
    <cellStyle name="20% - Accent4 65" xfId="939" xr:uid="{00000000-0005-0000-0000-0000EF160000}"/>
    <cellStyle name="20% - Accent4 65 2" xfId="3895" xr:uid="{00000000-0005-0000-0000-0000F0160000}"/>
    <cellStyle name="20% - Accent4 65 2 2" xfId="11874" xr:uid="{00000000-0005-0000-0000-0000F1160000}"/>
    <cellStyle name="20% - Accent4 65 2 2 2" xfId="23162" xr:uid="{00000000-0005-0000-0000-0000F2160000}"/>
    <cellStyle name="20% - Accent4 65 2 3" xfId="9880" xr:uid="{00000000-0005-0000-0000-0000F3160000}"/>
    <cellStyle name="20% - Accent4 65 2 3 2" xfId="21168" xr:uid="{00000000-0005-0000-0000-0000F4160000}"/>
    <cellStyle name="20% - Accent4 65 2 4" xfId="7886" xr:uid="{00000000-0005-0000-0000-0000F5160000}"/>
    <cellStyle name="20% - Accent4 65 2 4 2" xfId="19174" xr:uid="{00000000-0005-0000-0000-0000F6160000}"/>
    <cellStyle name="20% - Accent4 65 2 5" xfId="5892" xr:uid="{00000000-0005-0000-0000-0000F7160000}"/>
    <cellStyle name="20% - Accent4 65 2 5 2" xfId="17180" xr:uid="{00000000-0005-0000-0000-0000F8160000}"/>
    <cellStyle name="20% - Accent4 65 2 6" xfId="15186" xr:uid="{00000000-0005-0000-0000-0000F9160000}"/>
    <cellStyle name="20% - Accent4 65 3" xfId="10877" xr:uid="{00000000-0005-0000-0000-0000FA160000}"/>
    <cellStyle name="20% - Accent4 65 3 2" xfId="22165" xr:uid="{00000000-0005-0000-0000-0000FB160000}"/>
    <cellStyle name="20% - Accent4 65 4" xfId="8883" xr:uid="{00000000-0005-0000-0000-0000FC160000}"/>
    <cellStyle name="20% - Accent4 65 4 2" xfId="20171" xr:uid="{00000000-0005-0000-0000-0000FD160000}"/>
    <cellStyle name="20% - Accent4 65 5" xfId="6889" xr:uid="{00000000-0005-0000-0000-0000FE160000}"/>
    <cellStyle name="20% - Accent4 65 5 2" xfId="18177" xr:uid="{00000000-0005-0000-0000-0000FF160000}"/>
    <cellStyle name="20% - Accent4 65 6" xfId="4895" xr:uid="{00000000-0005-0000-0000-000000170000}"/>
    <cellStyle name="20% - Accent4 65 6 2" xfId="16183" xr:uid="{00000000-0005-0000-0000-000001170000}"/>
    <cellStyle name="20% - Accent4 65 7" xfId="14189" xr:uid="{00000000-0005-0000-0000-000002170000}"/>
    <cellStyle name="20% - Accent4 65 8" xfId="12875" xr:uid="{00000000-0005-0000-0000-000003170000}"/>
    <cellStyle name="20% - Accent4 66" xfId="940" xr:uid="{00000000-0005-0000-0000-000004170000}"/>
    <cellStyle name="20% - Accent4 66 2" xfId="3896" xr:uid="{00000000-0005-0000-0000-000005170000}"/>
    <cellStyle name="20% - Accent4 66 2 2" xfId="11875" xr:uid="{00000000-0005-0000-0000-000006170000}"/>
    <cellStyle name="20% - Accent4 66 2 2 2" xfId="23163" xr:uid="{00000000-0005-0000-0000-000007170000}"/>
    <cellStyle name="20% - Accent4 66 2 3" xfId="9881" xr:uid="{00000000-0005-0000-0000-000008170000}"/>
    <cellStyle name="20% - Accent4 66 2 3 2" xfId="21169" xr:uid="{00000000-0005-0000-0000-000009170000}"/>
    <cellStyle name="20% - Accent4 66 2 4" xfId="7887" xr:uid="{00000000-0005-0000-0000-00000A170000}"/>
    <cellStyle name="20% - Accent4 66 2 4 2" xfId="19175" xr:uid="{00000000-0005-0000-0000-00000B170000}"/>
    <cellStyle name="20% - Accent4 66 2 5" xfId="5893" xr:uid="{00000000-0005-0000-0000-00000C170000}"/>
    <cellStyle name="20% - Accent4 66 2 5 2" xfId="17181" xr:uid="{00000000-0005-0000-0000-00000D170000}"/>
    <cellStyle name="20% - Accent4 66 2 6" xfId="15187" xr:uid="{00000000-0005-0000-0000-00000E170000}"/>
    <cellStyle name="20% - Accent4 66 3" xfId="10878" xr:uid="{00000000-0005-0000-0000-00000F170000}"/>
    <cellStyle name="20% - Accent4 66 3 2" xfId="22166" xr:uid="{00000000-0005-0000-0000-000010170000}"/>
    <cellStyle name="20% - Accent4 66 4" xfId="8884" xr:uid="{00000000-0005-0000-0000-000011170000}"/>
    <cellStyle name="20% - Accent4 66 4 2" xfId="20172" xr:uid="{00000000-0005-0000-0000-000012170000}"/>
    <cellStyle name="20% - Accent4 66 5" xfId="6890" xr:uid="{00000000-0005-0000-0000-000013170000}"/>
    <cellStyle name="20% - Accent4 66 5 2" xfId="18178" xr:uid="{00000000-0005-0000-0000-000014170000}"/>
    <cellStyle name="20% - Accent4 66 6" xfId="4896" xr:uid="{00000000-0005-0000-0000-000015170000}"/>
    <cellStyle name="20% - Accent4 66 6 2" xfId="16184" xr:uid="{00000000-0005-0000-0000-000016170000}"/>
    <cellStyle name="20% - Accent4 66 7" xfId="14190" xr:uid="{00000000-0005-0000-0000-000017170000}"/>
    <cellStyle name="20% - Accent4 66 8" xfId="12876" xr:uid="{00000000-0005-0000-0000-000018170000}"/>
    <cellStyle name="20% - Accent4 67" xfId="941" xr:uid="{00000000-0005-0000-0000-000019170000}"/>
    <cellStyle name="20% - Accent4 67 2" xfId="3897" xr:uid="{00000000-0005-0000-0000-00001A170000}"/>
    <cellStyle name="20% - Accent4 67 2 2" xfId="11876" xr:uid="{00000000-0005-0000-0000-00001B170000}"/>
    <cellStyle name="20% - Accent4 67 2 2 2" xfId="23164" xr:uid="{00000000-0005-0000-0000-00001C170000}"/>
    <cellStyle name="20% - Accent4 67 2 3" xfId="9882" xr:uid="{00000000-0005-0000-0000-00001D170000}"/>
    <cellStyle name="20% - Accent4 67 2 3 2" xfId="21170" xr:uid="{00000000-0005-0000-0000-00001E170000}"/>
    <cellStyle name="20% - Accent4 67 2 4" xfId="7888" xr:uid="{00000000-0005-0000-0000-00001F170000}"/>
    <cellStyle name="20% - Accent4 67 2 4 2" xfId="19176" xr:uid="{00000000-0005-0000-0000-000020170000}"/>
    <cellStyle name="20% - Accent4 67 2 5" xfId="5894" xr:uid="{00000000-0005-0000-0000-000021170000}"/>
    <cellStyle name="20% - Accent4 67 2 5 2" xfId="17182" xr:uid="{00000000-0005-0000-0000-000022170000}"/>
    <cellStyle name="20% - Accent4 67 2 6" xfId="15188" xr:uid="{00000000-0005-0000-0000-000023170000}"/>
    <cellStyle name="20% - Accent4 67 3" xfId="10879" xr:uid="{00000000-0005-0000-0000-000024170000}"/>
    <cellStyle name="20% - Accent4 67 3 2" xfId="22167" xr:uid="{00000000-0005-0000-0000-000025170000}"/>
    <cellStyle name="20% - Accent4 67 4" xfId="8885" xr:uid="{00000000-0005-0000-0000-000026170000}"/>
    <cellStyle name="20% - Accent4 67 4 2" xfId="20173" xr:uid="{00000000-0005-0000-0000-000027170000}"/>
    <cellStyle name="20% - Accent4 67 5" xfId="6891" xr:uid="{00000000-0005-0000-0000-000028170000}"/>
    <cellStyle name="20% - Accent4 67 5 2" xfId="18179" xr:uid="{00000000-0005-0000-0000-000029170000}"/>
    <cellStyle name="20% - Accent4 67 6" xfId="4897" xr:uid="{00000000-0005-0000-0000-00002A170000}"/>
    <cellStyle name="20% - Accent4 67 6 2" xfId="16185" xr:uid="{00000000-0005-0000-0000-00002B170000}"/>
    <cellStyle name="20% - Accent4 67 7" xfId="14191" xr:uid="{00000000-0005-0000-0000-00002C170000}"/>
    <cellStyle name="20% - Accent4 67 8" xfId="12877" xr:uid="{00000000-0005-0000-0000-00002D170000}"/>
    <cellStyle name="20% - Accent4 68" xfId="942" xr:uid="{00000000-0005-0000-0000-00002E170000}"/>
    <cellStyle name="20% - Accent4 68 2" xfId="3898" xr:uid="{00000000-0005-0000-0000-00002F170000}"/>
    <cellStyle name="20% - Accent4 68 2 2" xfId="11877" xr:uid="{00000000-0005-0000-0000-000030170000}"/>
    <cellStyle name="20% - Accent4 68 2 2 2" xfId="23165" xr:uid="{00000000-0005-0000-0000-000031170000}"/>
    <cellStyle name="20% - Accent4 68 2 3" xfId="9883" xr:uid="{00000000-0005-0000-0000-000032170000}"/>
    <cellStyle name="20% - Accent4 68 2 3 2" xfId="21171" xr:uid="{00000000-0005-0000-0000-000033170000}"/>
    <cellStyle name="20% - Accent4 68 2 4" xfId="7889" xr:uid="{00000000-0005-0000-0000-000034170000}"/>
    <cellStyle name="20% - Accent4 68 2 4 2" xfId="19177" xr:uid="{00000000-0005-0000-0000-000035170000}"/>
    <cellStyle name="20% - Accent4 68 2 5" xfId="5895" xr:uid="{00000000-0005-0000-0000-000036170000}"/>
    <cellStyle name="20% - Accent4 68 2 5 2" xfId="17183" xr:uid="{00000000-0005-0000-0000-000037170000}"/>
    <cellStyle name="20% - Accent4 68 2 6" xfId="15189" xr:uid="{00000000-0005-0000-0000-000038170000}"/>
    <cellStyle name="20% - Accent4 68 3" xfId="10880" xr:uid="{00000000-0005-0000-0000-000039170000}"/>
    <cellStyle name="20% - Accent4 68 3 2" xfId="22168" xr:uid="{00000000-0005-0000-0000-00003A170000}"/>
    <cellStyle name="20% - Accent4 68 4" xfId="8886" xr:uid="{00000000-0005-0000-0000-00003B170000}"/>
    <cellStyle name="20% - Accent4 68 4 2" xfId="20174" xr:uid="{00000000-0005-0000-0000-00003C170000}"/>
    <cellStyle name="20% - Accent4 68 5" xfId="6892" xr:uid="{00000000-0005-0000-0000-00003D170000}"/>
    <cellStyle name="20% - Accent4 68 5 2" xfId="18180" xr:uid="{00000000-0005-0000-0000-00003E170000}"/>
    <cellStyle name="20% - Accent4 68 6" xfId="4898" xr:uid="{00000000-0005-0000-0000-00003F170000}"/>
    <cellStyle name="20% - Accent4 68 6 2" xfId="16186" xr:uid="{00000000-0005-0000-0000-000040170000}"/>
    <cellStyle name="20% - Accent4 68 7" xfId="14192" xr:uid="{00000000-0005-0000-0000-000041170000}"/>
    <cellStyle name="20% - Accent4 68 8" xfId="12878" xr:uid="{00000000-0005-0000-0000-000042170000}"/>
    <cellStyle name="20% - Accent4 69" xfId="943" xr:uid="{00000000-0005-0000-0000-000043170000}"/>
    <cellStyle name="20% - Accent4 69 2" xfId="3899" xr:uid="{00000000-0005-0000-0000-000044170000}"/>
    <cellStyle name="20% - Accent4 69 2 2" xfId="11878" xr:uid="{00000000-0005-0000-0000-000045170000}"/>
    <cellStyle name="20% - Accent4 69 2 2 2" xfId="23166" xr:uid="{00000000-0005-0000-0000-000046170000}"/>
    <cellStyle name="20% - Accent4 69 2 3" xfId="9884" xr:uid="{00000000-0005-0000-0000-000047170000}"/>
    <cellStyle name="20% - Accent4 69 2 3 2" xfId="21172" xr:uid="{00000000-0005-0000-0000-000048170000}"/>
    <cellStyle name="20% - Accent4 69 2 4" xfId="7890" xr:uid="{00000000-0005-0000-0000-000049170000}"/>
    <cellStyle name="20% - Accent4 69 2 4 2" xfId="19178" xr:uid="{00000000-0005-0000-0000-00004A170000}"/>
    <cellStyle name="20% - Accent4 69 2 5" xfId="5896" xr:uid="{00000000-0005-0000-0000-00004B170000}"/>
    <cellStyle name="20% - Accent4 69 2 5 2" xfId="17184" xr:uid="{00000000-0005-0000-0000-00004C170000}"/>
    <cellStyle name="20% - Accent4 69 2 6" xfId="15190" xr:uid="{00000000-0005-0000-0000-00004D170000}"/>
    <cellStyle name="20% - Accent4 69 3" xfId="10881" xr:uid="{00000000-0005-0000-0000-00004E170000}"/>
    <cellStyle name="20% - Accent4 69 3 2" xfId="22169" xr:uid="{00000000-0005-0000-0000-00004F170000}"/>
    <cellStyle name="20% - Accent4 69 4" xfId="8887" xr:uid="{00000000-0005-0000-0000-000050170000}"/>
    <cellStyle name="20% - Accent4 69 4 2" xfId="20175" xr:uid="{00000000-0005-0000-0000-000051170000}"/>
    <cellStyle name="20% - Accent4 69 5" xfId="6893" xr:uid="{00000000-0005-0000-0000-000052170000}"/>
    <cellStyle name="20% - Accent4 69 5 2" xfId="18181" xr:uid="{00000000-0005-0000-0000-000053170000}"/>
    <cellStyle name="20% - Accent4 69 6" xfId="4899" xr:uid="{00000000-0005-0000-0000-000054170000}"/>
    <cellStyle name="20% - Accent4 69 6 2" xfId="16187" xr:uid="{00000000-0005-0000-0000-000055170000}"/>
    <cellStyle name="20% - Accent4 69 7" xfId="14193" xr:uid="{00000000-0005-0000-0000-000056170000}"/>
    <cellStyle name="20% - Accent4 69 8" xfId="12879" xr:uid="{00000000-0005-0000-0000-000057170000}"/>
    <cellStyle name="20% - Accent4 7" xfId="944" xr:uid="{00000000-0005-0000-0000-000058170000}"/>
    <cellStyle name="20% - Accent4 7 10" xfId="24582" xr:uid="{00000000-0005-0000-0000-000059170000}"/>
    <cellStyle name="20% - Accent4 7 11" xfId="24972" xr:uid="{00000000-0005-0000-0000-00005A170000}"/>
    <cellStyle name="20% - Accent4 7 2" xfId="3900" xr:uid="{00000000-0005-0000-0000-00005B170000}"/>
    <cellStyle name="20% - Accent4 7 2 2" xfId="11879" xr:uid="{00000000-0005-0000-0000-00005C170000}"/>
    <cellStyle name="20% - Accent4 7 2 2 2" xfId="23167" xr:uid="{00000000-0005-0000-0000-00005D170000}"/>
    <cellStyle name="20% - Accent4 7 2 3" xfId="9885" xr:uid="{00000000-0005-0000-0000-00005E170000}"/>
    <cellStyle name="20% - Accent4 7 2 3 2" xfId="21173" xr:uid="{00000000-0005-0000-0000-00005F170000}"/>
    <cellStyle name="20% - Accent4 7 2 4" xfId="7891" xr:uid="{00000000-0005-0000-0000-000060170000}"/>
    <cellStyle name="20% - Accent4 7 2 4 2" xfId="19179" xr:uid="{00000000-0005-0000-0000-000061170000}"/>
    <cellStyle name="20% - Accent4 7 2 5" xfId="5897" xr:uid="{00000000-0005-0000-0000-000062170000}"/>
    <cellStyle name="20% - Accent4 7 2 5 2" xfId="17185" xr:uid="{00000000-0005-0000-0000-000063170000}"/>
    <cellStyle name="20% - Accent4 7 2 6" xfId="15191" xr:uid="{00000000-0005-0000-0000-000064170000}"/>
    <cellStyle name="20% - Accent4 7 2 7" xfId="24343" xr:uid="{00000000-0005-0000-0000-000065170000}"/>
    <cellStyle name="20% - Accent4 7 2 8" xfId="24807" xr:uid="{00000000-0005-0000-0000-000066170000}"/>
    <cellStyle name="20% - Accent4 7 2 9" xfId="25174" xr:uid="{00000000-0005-0000-0000-000067170000}"/>
    <cellStyle name="20% - Accent4 7 3" xfId="10882" xr:uid="{00000000-0005-0000-0000-000068170000}"/>
    <cellStyle name="20% - Accent4 7 3 2" xfId="22170" xr:uid="{00000000-0005-0000-0000-000069170000}"/>
    <cellStyle name="20% - Accent4 7 4" xfId="8888" xr:uid="{00000000-0005-0000-0000-00006A170000}"/>
    <cellStyle name="20% - Accent4 7 4 2" xfId="20176" xr:uid="{00000000-0005-0000-0000-00006B170000}"/>
    <cellStyle name="20% - Accent4 7 5" xfId="6894" xr:uid="{00000000-0005-0000-0000-00006C170000}"/>
    <cellStyle name="20% - Accent4 7 5 2" xfId="18182" xr:uid="{00000000-0005-0000-0000-00006D170000}"/>
    <cellStyle name="20% - Accent4 7 6" xfId="4900" xr:uid="{00000000-0005-0000-0000-00006E170000}"/>
    <cellStyle name="20% - Accent4 7 6 2" xfId="16188" xr:uid="{00000000-0005-0000-0000-00006F170000}"/>
    <cellStyle name="20% - Accent4 7 7" xfId="14194" xr:uid="{00000000-0005-0000-0000-000070170000}"/>
    <cellStyle name="20% - Accent4 7 8" xfId="12880" xr:uid="{00000000-0005-0000-0000-000071170000}"/>
    <cellStyle name="20% - Accent4 7 9" xfId="23955" xr:uid="{00000000-0005-0000-0000-000072170000}"/>
    <cellStyle name="20% - Accent4 70" xfId="945" xr:uid="{00000000-0005-0000-0000-000073170000}"/>
    <cellStyle name="20% - Accent4 70 2" xfId="3901" xr:uid="{00000000-0005-0000-0000-000074170000}"/>
    <cellStyle name="20% - Accent4 70 2 2" xfId="11880" xr:uid="{00000000-0005-0000-0000-000075170000}"/>
    <cellStyle name="20% - Accent4 70 2 2 2" xfId="23168" xr:uid="{00000000-0005-0000-0000-000076170000}"/>
    <cellStyle name="20% - Accent4 70 2 3" xfId="9886" xr:uid="{00000000-0005-0000-0000-000077170000}"/>
    <cellStyle name="20% - Accent4 70 2 3 2" xfId="21174" xr:uid="{00000000-0005-0000-0000-000078170000}"/>
    <cellStyle name="20% - Accent4 70 2 4" xfId="7892" xr:uid="{00000000-0005-0000-0000-000079170000}"/>
    <cellStyle name="20% - Accent4 70 2 4 2" xfId="19180" xr:uid="{00000000-0005-0000-0000-00007A170000}"/>
    <cellStyle name="20% - Accent4 70 2 5" xfId="5898" xr:uid="{00000000-0005-0000-0000-00007B170000}"/>
    <cellStyle name="20% - Accent4 70 2 5 2" xfId="17186" xr:uid="{00000000-0005-0000-0000-00007C170000}"/>
    <cellStyle name="20% - Accent4 70 2 6" xfId="15192" xr:uid="{00000000-0005-0000-0000-00007D170000}"/>
    <cellStyle name="20% - Accent4 70 3" xfId="10883" xr:uid="{00000000-0005-0000-0000-00007E170000}"/>
    <cellStyle name="20% - Accent4 70 3 2" xfId="22171" xr:uid="{00000000-0005-0000-0000-00007F170000}"/>
    <cellStyle name="20% - Accent4 70 4" xfId="8889" xr:uid="{00000000-0005-0000-0000-000080170000}"/>
    <cellStyle name="20% - Accent4 70 4 2" xfId="20177" xr:uid="{00000000-0005-0000-0000-000081170000}"/>
    <cellStyle name="20% - Accent4 70 5" xfId="6895" xr:uid="{00000000-0005-0000-0000-000082170000}"/>
    <cellStyle name="20% - Accent4 70 5 2" xfId="18183" xr:uid="{00000000-0005-0000-0000-000083170000}"/>
    <cellStyle name="20% - Accent4 70 6" xfId="4901" xr:uid="{00000000-0005-0000-0000-000084170000}"/>
    <cellStyle name="20% - Accent4 70 6 2" xfId="16189" xr:uid="{00000000-0005-0000-0000-000085170000}"/>
    <cellStyle name="20% - Accent4 70 7" xfId="14195" xr:uid="{00000000-0005-0000-0000-000086170000}"/>
    <cellStyle name="20% - Accent4 70 8" xfId="12881" xr:uid="{00000000-0005-0000-0000-000087170000}"/>
    <cellStyle name="20% - Accent4 71" xfId="946" xr:uid="{00000000-0005-0000-0000-000088170000}"/>
    <cellStyle name="20% - Accent4 71 2" xfId="3902" xr:uid="{00000000-0005-0000-0000-000089170000}"/>
    <cellStyle name="20% - Accent4 71 2 2" xfId="11881" xr:uid="{00000000-0005-0000-0000-00008A170000}"/>
    <cellStyle name="20% - Accent4 71 2 2 2" xfId="23169" xr:uid="{00000000-0005-0000-0000-00008B170000}"/>
    <cellStyle name="20% - Accent4 71 2 3" xfId="9887" xr:uid="{00000000-0005-0000-0000-00008C170000}"/>
    <cellStyle name="20% - Accent4 71 2 3 2" xfId="21175" xr:uid="{00000000-0005-0000-0000-00008D170000}"/>
    <cellStyle name="20% - Accent4 71 2 4" xfId="7893" xr:uid="{00000000-0005-0000-0000-00008E170000}"/>
    <cellStyle name="20% - Accent4 71 2 4 2" xfId="19181" xr:uid="{00000000-0005-0000-0000-00008F170000}"/>
    <cellStyle name="20% - Accent4 71 2 5" xfId="5899" xr:uid="{00000000-0005-0000-0000-000090170000}"/>
    <cellStyle name="20% - Accent4 71 2 5 2" xfId="17187" xr:uid="{00000000-0005-0000-0000-000091170000}"/>
    <cellStyle name="20% - Accent4 71 2 6" xfId="15193" xr:uid="{00000000-0005-0000-0000-000092170000}"/>
    <cellStyle name="20% - Accent4 71 3" xfId="10884" xr:uid="{00000000-0005-0000-0000-000093170000}"/>
    <cellStyle name="20% - Accent4 71 3 2" xfId="22172" xr:uid="{00000000-0005-0000-0000-000094170000}"/>
    <cellStyle name="20% - Accent4 71 4" xfId="8890" xr:uid="{00000000-0005-0000-0000-000095170000}"/>
    <cellStyle name="20% - Accent4 71 4 2" xfId="20178" xr:uid="{00000000-0005-0000-0000-000096170000}"/>
    <cellStyle name="20% - Accent4 71 5" xfId="6896" xr:uid="{00000000-0005-0000-0000-000097170000}"/>
    <cellStyle name="20% - Accent4 71 5 2" xfId="18184" xr:uid="{00000000-0005-0000-0000-000098170000}"/>
    <cellStyle name="20% - Accent4 71 6" xfId="4902" xr:uid="{00000000-0005-0000-0000-000099170000}"/>
    <cellStyle name="20% - Accent4 71 6 2" xfId="16190" xr:uid="{00000000-0005-0000-0000-00009A170000}"/>
    <cellStyle name="20% - Accent4 71 7" xfId="14196" xr:uid="{00000000-0005-0000-0000-00009B170000}"/>
    <cellStyle name="20% - Accent4 71 8" xfId="12882" xr:uid="{00000000-0005-0000-0000-00009C170000}"/>
    <cellStyle name="20% - Accent4 72" xfId="947" xr:uid="{00000000-0005-0000-0000-00009D170000}"/>
    <cellStyle name="20% - Accent4 72 2" xfId="3903" xr:uid="{00000000-0005-0000-0000-00009E170000}"/>
    <cellStyle name="20% - Accent4 72 2 2" xfId="11882" xr:uid="{00000000-0005-0000-0000-00009F170000}"/>
    <cellStyle name="20% - Accent4 72 2 2 2" xfId="23170" xr:uid="{00000000-0005-0000-0000-0000A0170000}"/>
    <cellStyle name="20% - Accent4 72 2 3" xfId="9888" xr:uid="{00000000-0005-0000-0000-0000A1170000}"/>
    <cellStyle name="20% - Accent4 72 2 3 2" xfId="21176" xr:uid="{00000000-0005-0000-0000-0000A2170000}"/>
    <cellStyle name="20% - Accent4 72 2 4" xfId="7894" xr:uid="{00000000-0005-0000-0000-0000A3170000}"/>
    <cellStyle name="20% - Accent4 72 2 4 2" xfId="19182" xr:uid="{00000000-0005-0000-0000-0000A4170000}"/>
    <cellStyle name="20% - Accent4 72 2 5" xfId="5900" xr:uid="{00000000-0005-0000-0000-0000A5170000}"/>
    <cellStyle name="20% - Accent4 72 2 5 2" xfId="17188" xr:uid="{00000000-0005-0000-0000-0000A6170000}"/>
    <cellStyle name="20% - Accent4 72 2 6" xfId="15194" xr:uid="{00000000-0005-0000-0000-0000A7170000}"/>
    <cellStyle name="20% - Accent4 72 3" xfId="10885" xr:uid="{00000000-0005-0000-0000-0000A8170000}"/>
    <cellStyle name="20% - Accent4 72 3 2" xfId="22173" xr:uid="{00000000-0005-0000-0000-0000A9170000}"/>
    <cellStyle name="20% - Accent4 72 4" xfId="8891" xr:uid="{00000000-0005-0000-0000-0000AA170000}"/>
    <cellStyle name="20% - Accent4 72 4 2" xfId="20179" xr:uid="{00000000-0005-0000-0000-0000AB170000}"/>
    <cellStyle name="20% - Accent4 72 5" xfId="6897" xr:uid="{00000000-0005-0000-0000-0000AC170000}"/>
    <cellStyle name="20% - Accent4 72 5 2" xfId="18185" xr:uid="{00000000-0005-0000-0000-0000AD170000}"/>
    <cellStyle name="20% - Accent4 72 6" xfId="4903" xr:uid="{00000000-0005-0000-0000-0000AE170000}"/>
    <cellStyle name="20% - Accent4 72 6 2" xfId="16191" xr:uid="{00000000-0005-0000-0000-0000AF170000}"/>
    <cellStyle name="20% - Accent4 72 7" xfId="14197" xr:uid="{00000000-0005-0000-0000-0000B0170000}"/>
    <cellStyle name="20% - Accent4 72 8" xfId="12883" xr:uid="{00000000-0005-0000-0000-0000B1170000}"/>
    <cellStyle name="20% - Accent4 8" xfId="948" xr:uid="{00000000-0005-0000-0000-0000B2170000}"/>
    <cellStyle name="20% - Accent4 8 2" xfId="3904" xr:uid="{00000000-0005-0000-0000-0000B3170000}"/>
    <cellStyle name="20% - Accent4 8 2 2" xfId="11883" xr:uid="{00000000-0005-0000-0000-0000B4170000}"/>
    <cellStyle name="20% - Accent4 8 2 2 2" xfId="23171" xr:uid="{00000000-0005-0000-0000-0000B5170000}"/>
    <cellStyle name="20% - Accent4 8 2 3" xfId="9889" xr:uid="{00000000-0005-0000-0000-0000B6170000}"/>
    <cellStyle name="20% - Accent4 8 2 3 2" xfId="21177" xr:uid="{00000000-0005-0000-0000-0000B7170000}"/>
    <cellStyle name="20% - Accent4 8 2 4" xfId="7895" xr:uid="{00000000-0005-0000-0000-0000B8170000}"/>
    <cellStyle name="20% - Accent4 8 2 4 2" xfId="19183" xr:uid="{00000000-0005-0000-0000-0000B9170000}"/>
    <cellStyle name="20% - Accent4 8 2 5" xfId="5901" xr:uid="{00000000-0005-0000-0000-0000BA170000}"/>
    <cellStyle name="20% - Accent4 8 2 5 2" xfId="17189" xr:uid="{00000000-0005-0000-0000-0000BB170000}"/>
    <cellStyle name="20% - Accent4 8 2 6" xfId="15195" xr:uid="{00000000-0005-0000-0000-0000BC170000}"/>
    <cellStyle name="20% - Accent4 8 3" xfId="10886" xr:uid="{00000000-0005-0000-0000-0000BD170000}"/>
    <cellStyle name="20% - Accent4 8 3 2" xfId="22174" xr:uid="{00000000-0005-0000-0000-0000BE170000}"/>
    <cellStyle name="20% - Accent4 8 4" xfId="8892" xr:uid="{00000000-0005-0000-0000-0000BF170000}"/>
    <cellStyle name="20% - Accent4 8 4 2" xfId="20180" xr:uid="{00000000-0005-0000-0000-0000C0170000}"/>
    <cellStyle name="20% - Accent4 8 5" xfId="6898" xr:uid="{00000000-0005-0000-0000-0000C1170000}"/>
    <cellStyle name="20% - Accent4 8 5 2" xfId="18186" xr:uid="{00000000-0005-0000-0000-0000C2170000}"/>
    <cellStyle name="20% - Accent4 8 6" xfId="4904" xr:uid="{00000000-0005-0000-0000-0000C3170000}"/>
    <cellStyle name="20% - Accent4 8 6 2" xfId="16192" xr:uid="{00000000-0005-0000-0000-0000C4170000}"/>
    <cellStyle name="20% - Accent4 8 7" xfId="14198" xr:uid="{00000000-0005-0000-0000-0000C5170000}"/>
    <cellStyle name="20% - Accent4 8 8" xfId="12884" xr:uid="{00000000-0005-0000-0000-0000C6170000}"/>
    <cellStyle name="20% - Accent4 9" xfId="949" xr:uid="{00000000-0005-0000-0000-0000C7170000}"/>
    <cellStyle name="20% - Accent4 9 2" xfId="3905" xr:uid="{00000000-0005-0000-0000-0000C8170000}"/>
    <cellStyle name="20% - Accent4 9 2 2" xfId="11884" xr:uid="{00000000-0005-0000-0000-0000C9170000}"/>
    <cellStyle name="20% - Accent4 9 2 2 2" xfId="23172" xr:uid="{00000000-0005-0000-0000-0000CA170000}"/>
    <cellStyle name="20% - Accent4 9 2 3" xfId="9890" xr:uid="{00000000-0005-0000-0000-0000CB170000}"/>
    <cellStyle name="20% - Accent4 9 2 3 2" xfId="21178" xr:uid="{00000000-0005-0000-0000-0000CC170000}"/>
    <cellStyle name="20% - Accent4 9 2 4" xfId="7896" xr:uid="{00000000-0005-0000-0000-0000CD170000}"/>
    <cellStyle name="20% - Accent4 9 2 4 2" xfId="19184" xr:uid="{00000000-0005-0000-0000-0000CE170000}"/>
    <cellStyle name="20% - Accent4 9 2 5" xfId="5902" xr:uid="{00000000-0005-0000-0000-0000CF170000}"/>
    <cellStyle name="20% - Accent4 9 2 5 2" xfId="17190" xr:uid="{00000000-0005-0000-0000-0000D0170000}"/>
    <cellStyle name="20% - Accent4 9 2 6" xfId="15196" xr:uid="{00000000-0005-0000-0000-0000D1170000}"/>
    <cellStyle name="20% - Accent4 9 3" xfId="10887" xr:uid="{00000000-0005-0000-0000-0000D2170000}"/>
    <cellStyle name="20% - Accent4 9 3 2" xfId="22175" xr:uid="{00000000-0005-0000-0000-0000D3170000}"/>
    <cellStyle name="20% - Accent4 9 4" xfId="8893" xr:uid="{00000000-0005-0000-0000-0000D4170000}"/>
    <cellStyle name="20% - Accent4 9 4 2" xfId="20181" xr:uid="{00000000-0005-0000-0000-0000D5170000}"/>
    <cellStyle name="20% - Accent4 9 5" xfId="6899" xr:uid="{00000000-0005-0000-0000-0000D6170000}"/>
    <cellStyle name="20% - Accent4 9 5 2" xfId="18187" xr:uid="{00000000-0005-0000-0000-0000D7170000}"/>
    <cellStyle name="20% - Accent4 9 6" xfId="4905" xr:uid="{00000000-0005-0000-0000-0000D8170000}"/>
    <cellStyle name="20% - Accent4 9 6 2" xfId="16193" xr:uid="{00000000-0005-0000-0000-0000D9170000}"/>
    <cellStyle name="20% - Accent4 9 7" xfId="14199" xr:uid="{00000000-0005-0000-0000-0000DA170000}"/>
    <cellStyle name="20% - Accent4 9 8" xfId="12885" xr:uid="{00000000-0005-0000-0000-0000DB170000}"/>
    <cellStyle name="20% - Accent5 10" xfId="950" xr:uid="{00000000-0005-0000-0000-0000DC170000}"/>
    <cellStyle name="20% - Accent5 10 2" xfId="3906" xr:uid="{00000000-0005-0000-0000-0000DD170000}"/>
    <cellStyle name="20% - Accent5 10 2 2" xfId="11885" xr:uid="{00000000-0005-0000-0000-0000DE170000}"/>
    <cellStyle name="20% - Accent5 10 2 2 2" xfId="23173" xr:uid="{00000000-0005-0000-0000-0000DF170000}"/>
    <cellStyle name="20% - Accent5 10 2 3" xfId="9891" xr:uid="{00000000-0005-0000-0000-0000E0170000}"/>
    <cellStyle name="20% - Accent5 10 2 3 2" xfId="21179" xr:uid="{00000000-0005-0000-0000-0000E1170000}"/>
    <cellStyle name="20% - Accent5 10 2 4" xfId="7897" xr:uid="{00000000-0005-0000-0000-0000E2170000}"/>
    <cellStyle name="20% - Accent5 10 2 4 2" xfId="19185" xr:uid="{00000000-0005-0000-0000-0000E3170000}"/>
    <cellStyle name="20% - Accent5 10 2 5" xfId="5903" xr:uid="{00000000-0005-0000-0000-0000E4170000}"/>
    <cellStyle name="20% - Accent5 10 2 5 2" xfId="17191" xr:uid="{00000000-0005-0000-0000-0000E5170000}"/>
    <cellStyle name="20% - Accent5 10 2 6" xfId="15197" xr:uid="{00000000-0005-0000-0000-0000E6170000}"/>
    <cellStyle name="20% - Accent5 10 3" xfId="10888" xr:uid="{00000000-0005-0000-0000-0000E7170000}"/>
    <cellStyle name="20% - Accent5 10 3 2" xfId="22176" xr:uid="{00000000-0005-0000-0000-0000E8170000}"/>
    <cellStyle name="20% - Accent5 10 4" xfId="8894" xr:uid="{00000000-0005-0000-0000-0000E9170000}"/>
    <cellStyle name="20% - Accent5 10 4 2" xfId="20182" xr:uid="{00000000-0005-0000-0000-0000EA170000}"/>
    <cellStyle name="20% - Accent5 10 5" xfId="6900" xr:uid="{00000000-0005-0000-0000-0000EB170000}"/>
    <cellStyle name="20% - Accent5 10 5 2" xfId="18188" xr:uid="{00000000-0005-0000-0000-0000EC170000}"/>
    <cellStyle name="20% - Accent5 10 6" xfId="4906" xr:uid="{00000000-0005-0000-0000-0000ED170000}"/>
    <cellStyle name="20% - Accent5 10 6 2" xfId="16194" xr:uid="{00000000-0005-0000-0000-0000EE170000}"/>
    <cellStyle name="20% - Accent5 10 7" xfId="14200" xr:uid="{00000000-0005-0000-0000-0000EF170000}"/>
    <cellStyle name="20% - Accent5 10 8" xfId="12886" xr:uid="{00000000-0005-0000-0000-0000F0170000}"/>
    <cellStyle name="20% - Accent5 11" xfId="951" xr:uid="{00000000-0005-0000-0000-0000F1170000}"/>
    <cellStyle name="20% - Accent5 11 2" xfId="3907" xr:uid="{00000000-0005-0000-0000-0000F2170000}"/>
    <cellStyle name="20% - Accent5 11 2 2" xfId="11886" xr:uid="{00000000-0005-0000-0000-0000F3170000}"/>
    <cellStyle name="20% - Accent5 11 2 2 2" xfId="23174" xr:uid="{00000000-0005-0000-0000-0000F4170000}"/>
    <cellStyle name="20% - Accent5 11 2 3" xfId="9892" xr:uid="{00000000-0005-0000-0000-0000F5170000}"/>
    <cellStyle name="20% - Accent5 11 2 3 2" xfId="21180" xr:uid="{00000000-0005-0000-0000-0000F6170000}"/>
    <cellStyle name="20% - Accent5 11 2 4" xfId="7898" xr:uid="{00000000-0005-0000-0000-0000F7170000}"/>
    <cellStyle name="20% - Accent5 11 2 4 2" xfId="19186" xr:uid="{00000000-0005-0000-0000-0000F8170000}"/>
    <cellStyle name="20% - Accent5 11 2 5" xfId="5904" xr:uid="{00000000-0005-0000-0000-0000F9170000}"/>
    <cellStyle name="20% - Accent5 11 2 5 2" xfId="17192" xr:uid="{00000000-0005-0000-0000-0000FA170000}"/>
    <cellStyle name="20% - Accent5 11 2 6" xfId="15198" xr:uid="{00000000-0005-0000-0000-0000FB170000}"/>
    <cellStyle name="20% - Accent5 11 3" xfId="10889" xr:uid="{00000000-0005-0000-0000-0000FC170000}"/>
    <cellStyle name="20% - Accent5 11 3 2" xfId="22177" xr:uid="{00000000-0005-0000-0000-0000FD170000}"/>
    <cellStyle name="20% - Accent5 11 4" xfId="8895" xr:uid="{00000000-0005-0000-0000-0000FE170000}"/>
    <cellStyle name="20% - Accent5 11 4 2" xfId="20183" xr:uid="{00000000-0005-0000-0000-0000FF170000}"/>
    <cellStyle name="20% - Accent5 11 5" xfId="6901" xr:uid="{00000000-0005-0000-0000-000000180000}"/>
    <cellStyle name="20% - Accent5 11 5 2" xfId="18189" xr:uid="{00000000-0005-0000-0000-000001180000}"/>
    <cellStyle name="20% - Accent5 11 6" xfId="4907" xr:uid="{00000000-0005-0000-0000-000002180000}"/>
    <cellStyle name="20% - Accent5 11 6 2" xfId="16195" xr:uid="{00000000-0005-0000-0000-000003180000}"/>
    <cellStyle name="20% - Accent5 11 7" xfId="14201" xr:uid="{00000000-0005-0000-0000-000004180000}"/>
    <cellStyle name="20% - Accent5 11 8" xfId="12887" xr:uid="{00000000-0005-0000-0000-000005180000}"/>
    <cellStyle name="20% - Accent5 12" xfId="952" xr:uid="{00000000-0005-0000-0000-000006180000}"/>
    <cellStyle name="20% - Accent5 12 2" xfId="3908" xr:uid="{00000000-0005-0000-0000-000007180000}"/>
    <cellStyle name="20% - Accent5 12 2 2" xfId="11887" xr:uid="{00000000-0005-0000-0000-000008180000}"/>
    <cellStyle name="20% - Accent5 12 2 2 2" xfId="23175" xr:uid="{00000000-0005-0000-0000-000009180000}"/>
    <cellStyle name="20% - Accent5 12 2 3" xfId="9893" xr:uid="{00000000-0005-0000-0000-00000A180000}"/>
    <cellStyle name="20% - Accent5 12 2 3 2" xfId="21181" xr:uid="{00000000-0005-0000-0000-00000B180000}"/>
    <cellStyle name="20% - Accent5 12 2 4" xfId="7899" xr:uid="{00000000-0005-0000-0000-00000C180000}"/>
    <cellStyle name="20% - Accent5 12 2 4 2" xfId="19187" xr:uid="{00000000-0005-0000-0000-00000D180000}"/>
    <cellStyle name="20% - Accent5 12 2 5" xfId="5905" xr:uid="{00000000-0005-0000-0000-00000E180000}"/>
    <cellStyle name="20% - Accent5 12 2 5 2" xfId="17193" xr:uid="{00000000-0005-0000-0000-00000F180000}"/>
    <cellStyle name="20% - Accent5 12 2 6" xfId="15199" xr:uid="{00000000-0005-0000-0000-000010180000}"/>
    <cellStyle name="20% - Accent5 12 3" xfId="10890" xr:uid="{00000000-0005-0000-0000-000011180000}"/>
    <cellStyle name="20% - Accent5 12 3 2" xfId="22178" xr:uid="{00000000-0005-0000-0000-000012180000}"/>
    <cellStyle name="20% - Accent5 12 4" xfId="8896" xr:uid="{00000000-0005-0000-0000-000013180000}"/>
    <cellStyle name="20% - Accent5 12 4 2" xfId="20184" xr:uid="{00000000-0005-0000-0000-000014180000}"/>
    <cellStyle name="20% - Accent5 12 5" xfId="6902" xr:uid="{00000000-0005-0000-0000-000015180000}"/>
    <cellStyle name="20% - Accent5 12 5 2" xfId="18190" xr:uid="{00000000-0005-0000-0000-000016180000}"/>
    <cellStyle name="20% - Accent5 12 6" xfId="4908" xr:uid="{00000000-0005-0000-0000-000017180000}"/>
    <cellStyle name="20% - Accent5 12 6 2" xfId="16196" xr:uid="{00000000-0005-0000-0000-000018180000}"/>
    <cellStyle name="20% - Accent5 12 7" xfId="14202" xr:uid="{00000000-0005-0000-0000-000019180000}"/>
    <cellStyle name="20% - Accent5 12 8" xfId="12888" xr:uid="{00000000-0005-0000-0000-00001A180000}"/>
    <cellStyle name="20% - Accent5 13" xfId="953" xr:uid="{00000000-0005-0000-0000-00001B180000}"/>
    <cellStyle name="20% - Accent5 13 2" xfId="3909" xr:uid="{00000000-0005-0000-0000-00001C180000}"/>
    <cellStyle name="20% - Accent5 13 2 2" xfId="11888" xr:uid="{00000000-0005-0000-0000-00001D180000}"/>
    <cellStyle name="20% - Accent5 13 2 2 2" xfId="23176" xr:uid="{00000000-0005-0000-0000-00001E180000}"/>
    <cellStyle name="20% - Accent5 13 2 3" xfId="9894" xr:uid="{00000000-0005-0000-0000-00001F180000}"/>
    <cellStyle name="20% - Accent5 13 2 3 2" xfId="21182" xr:uid="{00000000-0005-0000-0000-000020180000}"/>
    <cellStyle name="20% - Accent5 13 2 4" xfId="7900" xr:uid="{00000000-0005-0000-0000-000021180000}"/>
    <cellStyle name="20% - Accent5 13 2 4 2" xfId="19188" xr:uid="{00000000-0005-0000-0000-000022180000}"/>
    <cellStyle name="20% - Accent5 13 2 5" xfId="5906" xr:uid="{00000000-0005-0000-0000-000023180000}"/>
    <cellStyle name="20% - Accent5 13 2 5 2" xfId="17194" xr:uid="{00000000-0005-0000-0000-000024180000}"/>
    <cellStyle name="20% - Accent5 13 2 6" xfId="15200" xr:uid="{00000000-0005-0000-0000-000025180000}"/>
    <cellStyle name="20% - Accent5 13 3" xfId="10891" xr:uid="{00000000-0005-0000-0000-000026180000}"/>
    <cellStyle name="20% - Accent5 13 3 2" xfId="22179" xr:uid="{00000000-0005-0000-0000-000027180000}"/>
    <cellStyle name="20% - Accent5 13 4" xfId="8897" xr:uid="{00000000-0005-0000-0000-000028180000}"/>
    <cellStyle name="20% - Accent5 13 4 2" xfId="20185" xr:uid="{00000000-0005-0000-0000-000029180000}"/>
    <cellStyle name="20% - Accent5 13 5" xfId="6903" xr:uid="{00000000-0005-0000-0000-00002A180000}"/>
    <cellStyle name="20% - Accent5 13 5 2" xfId="18191" xr:uid="{00000000-0005-0000-0000-00002B180000}"/>
    <cellStyle name="20% - Accent5 13 6" xfId="4909" xr:uid="{00000000-0005-0000-0000-00002C180000}"/>
    <cellStyle name="20% - Accent5 13 6 2" xfId="16197" xr:uid="{00000000-0005-0000-0000-00002D180000}"/>
    <cellStyle name="20% - Accent5 13 7" xfId="14203" xr:uid="{00000000-0005-0000-0000-00002E180000}"/>
    <cellStyle name="20% - Accent5 13 8" xfId="12889" xr:uid="{00000000-0005-0000-0000-00002F180000}"/>
    <cellStyle name="20% - Accent5 14" xfId="954" xr:uid="{00000000-0005-0000-0000-000030180000}"/>
    <cellStyle name="20% - Accent5 14 2" xfId="3910" xr:uid="{00000000-0005-0000-0000-000031180000}"/>
    <cellStyle name="20% - Accent5 14 2 2" xfId="11889" xr:uid="{00000000-0005-0000-0000-000032180000}"/>
    <cellStyle name="20% - Accent5 14 2 2 2" xfId="23177" xr:uid="{00000000-0005-0000-0000-000033180000}"/>
    <cellStyle name="20% - Accent5 14 2 3" xfId="9895" xr:uid="{00000000-0005-0000-0000-000034180000}"/>
    <cellStyle name="20% - Accent5 14 2 3 2" xfId="21183" xr:uid="{00000000-0005-0000-0000-000035180000}"/>
    <cellStyle name="20% - Accent5 14 2 4" xfId="7901" xr:uid="{00000000-0005-0000-0000-000036180000}"/>
    <cellStyle name="20% - Accent5 14 2 4 2" xfId="19189" xr:uid="{00000000-0005-0000-0000-000037180000}"/>
    <cellStyle name="20% - Accent5 14 2 5" xfId="5907" xr:uid="{00000000-0005-0000-0000-000038180000}"/>
    <cellStyle name="20% - Accent5 14 2 5 2" xfId="17195" xr:uid="{00000000-0005-0000-0000-000039180000}"/>
    <cellStyle name="20% - Accent5 14 2 6" xfId="15201" xr:uid="{00000000-0005-0000-0000-00003A180000}"/>
    <cellStyle name="20% - Accent5 14 3" xfId="10892" xr:uid="{00000000-0005-0000-0000-00003B180000}"/>
    <cellStyle name="20% - Accent5 14 3 2" xfId="22180" xr:uid="{00000000-0005-0000-0000-00003C180000}"/>
    <cellStyle name="20% - Accent5 14 4" xfId="8898" xr:uid="{00000000-0005-0000-0000-00003D180000}"/>
    <cellStyle name="20% - Accent5 14 4 2" xfId="20186" xr:uid="{00000000-0005-0000-0000-00003E180000}"/>
    <cellStyle name="20% - Accent5 14 5" xfId="6904" xr:uid="{00000000-0005-0000-0000-00003F180000}"/>
    <cellStyle name="20% - Accent5 14 5 2" xfId="18192" xr:uid="{00000000-0005-0000-0000-000040180000}"/>
    <cellStyle name="20% - Accent5 14 6" xfId="4910" xr:uid="{00000000-0005-0000-0000-000041180000}"/>
    <cellStyle name="20% - Accent5 14 6 2" xfId="16198" xr:uid="{00000000-0005-0000-0000-000042180000}"/>
    <cellStyle name="20% - Accent5 14 7" xfId="14204" xr:uid="{00000000-0005-0000-0000-000043180000}"/>
    <cellStyle name="20% - Accent5 14 8" xfId="12890" xr:uid="{00000000-0005-0000-0000-000044180000}"/>
    <cellStyle name="20% - Accent5 15" xfId="955" xr:uid="{00000000-0005-0000-0000-000045180000}"/>
    <cellStyle name="20% - Accent5 15 2" xfId="3911" xr:uid="{00000000-0005-0000-0000-000046180000}"/>
    <cellStyle name="20% - Accent5 15 2 2" xfId="11890" xr:uid="{00000000-0005-0000-0000-000047180000}"/>
    <cellStyle name="20% - Accent5 15 2 2 2" xfId="23178" xr:uid="{00000000-0005-0000-0000-000048180000}"/>
    <cellStyle name="20% - Accent5 15 2 3" xfId="9896" xr:uid="{00000000-0005-0000-0000-000049180000}"/>
    <cellStyle name="20% - Accent5 15 2 3 2" xfId="21184" xr:uid="{00000000-0005-0000-0000-00004A180000}"/>
    <cellStyle name="20% - Accent5 15 2 4" xfId="7902" xr:uid="{00000000-0005-0000-0000-00004B180000}"/>
    <cellStyle name="20% - Accent5 15 2 4 2" xfId="19190" xr:uid="{00000000-0005-0000-0000-00004C180000}"/>
    <cellStyle name="20% - Accent5 15 2 5" xfId="5908" xr:uid="{00000000-0005-0000-0000-00004D180000}"/>
    <cellStyle name="20% - Accent5 15 2 5 2" xfId="17196" xr:uid="{00000000-0005-0000-0000-00004E180000}"/>
    <cellStyle name="20% - Accent5 15 2 6" xfId="15202" xr:uid="{00000000-0005-0000-0000-00004F180000}"/>
    <cellStyle name="20% - Accent5 15 3" xfId="10893" xr:uid="{00000000-0005-0000-0000-000050180000}"/>
    <cellStyle name="20% - Accent5 15 3 2" xfId="22181" xr:uid="{00000000-0005-0000-0000-000051180000}"/>
    <cellStyle name="20% - Accent5 15 4" xfId="8899" xr:uid="{00000000-0005-0000-0000-000052180000}"/>
    <cellStyle name="20% - Accent5 15 4 2" xfId="20187" xr:uid="{00000000-0005-0000-0000-000053180000}"/>
    <cellStyle name="20% - Accent5 15 5" xfId="6905" xr:uid="{00000000-0005-0000-0000-000054180000}"/>
    <cellStyle name="20% - Accent5 15 5 2" xfId="18193" xr:uid="{00000000-0005-0000-0000-000055180000}"/>
    <cellStyle name="20% - Accent5 15 6" xfId="4911" xr:uid="{00000000-0005-0000-0000-000056180000}"/>
    <cellStyle name="20% - Accent5 15 6 2" xfId="16199" xr:uid="{00000000-0005-0000-0000-000057180000}"/>
    <cellStyle name="20% - Accent5 15 7" xfId="14205" xr:uid="{00000000-0005-0000-0000-000058180000}"/>
    <cellStyle name="20% - Accent5 15 8" xfId="12891" xr:uid="{00000000-0005-0000-0000-000059180000}"/>
    <cellStyle name="20% - Accent5 16" xfId="956" xr:uid="{00000000-0005-0000-0000-00005A180000}"/>
    <cellStyle name="20% - Accent5 16 2" xfId="3912" xr:uid="{00000000-0005-0000-0000-00005B180000}"/>
    <cellStyle name="20% - Accent5 16 2 2" xfId="11891" xr:uid="{00000000-0005-0000-0000-00005C180000}"/>
    <cellStyle name="20% - Accent5 16 2 2 2" xfId="23179" xr:uid="{00000000-0005-0000-0000-00005D180000}"/>
    <cellStyle name="20% - Accent5 16 2 3" xfId="9897" xr:uid="{00000000-0005-0000-0000-00005E180000}"/>
    <cellStyle name="20% - Accent5 16 2 3 2" xfId="21185" xr:uid="{00000000-0005-0000-0000-00005F180000}"/>
    <cellStyle name="20% - Accent5 16 2 4" xfId="7903" xr:uid="{00000000-0005-0000-0000-000060180000}"/>
    <cellStyle name="20% - Accent5 16 2 4 2" xfId="19191" xr:uid="{00000000-0005-0000-0000-000061180000}"/>
    <cellStyle name="20% - Accent5 16 2 5" xfId="5909" xr:uid="{00000000-0005-0000-0000-000062180000}"/>
    <cellStyle name="20% - Accent5 16 2 5 2" xfId="17197" xr:uid="{00000000-0005-0000-0000-000063180000}"/>
    <cellStyle name="20% - Accent5 16 2 6" xfId="15203" xr:uid="{00000000-0005-0000-0000-000064180000}"/>
    <cellStyle name="20% - Accent5 16 3" xfId="10894" xr:uid="{00000000-0005-0000-0000-000065180000}"/>
    <cellStyle name="20% - Accent5 16 3 2" xfId="22182" xr:uid="{00000000-0005-0000-0000-000066180000}"/>
    <cellStyle name="20% - Accent5 16 4" xfId="8900" xr:uid="{00000000-0005-0000-0000-000067180000}"/>
    <cellStyle name="20% - Accent5 16 4 2" xfId="20188" xr:uid="{00000000-0005-0000-0000-000068180000}"/>
    <cellStyle name="20% - Accent5 16 5" xfId="6906" xr:uid="{00000000-0005-0000-0000-000069180000}"/>
    <cellStyle name="20% - Accent5 16 5 2" xfId="18194" xr:uid="{00000000-0005-0000-0000-00006A180000}"/>
    <cellStyle name="20% - Accent5 16 6" xfId="4912" xr:uid="{00000000-0005-0000-0000-00006B180000}"/>
    <cellStyle name="20% - Accent5 16 6 2" xfId="16200" xr:uid="{00000000-0005-0000-0000-00006C180000}"/>
    <cellStyle name="20% - Accent5 16 7" xfId="14206" xr:uid="{00000000-0005-0000-0000-00006D180000}"/>
    <cellStyle name="20% - Accent5 16 8" xfId="12892" xr:uid="{00000000-0005-0000-0000-00006E180000}"/>
    <cellStyle name="20% - Accent5 17" xfId="957" xr:uid="{00000000-0005-0000-0000-00006F180000}"/>
    <cellStyle name="20% - Accent5 17 2" xfId="3913" xr:uid="{00000000-0005-0000-0000-000070180000}"/>
    <cellStyle name="20% - Accent5 17 2 2" xfId="11892" xr:uid="{00000000-0005-0000-0000-000071180000}"/>
    <cellStyle name="20% - Accent5 17 2 2 2" xfId="23180" xr:uid="{00000000-0005-0000-0000-000072180000}"/>
    <cellStyle name="20% - Accent5 17 2 3" xfId="9898" xr:uid="{00000000-0005-0000-0000-000073180000}"/>
    <cellStyle name="20% - Accent5 17 2 3 2" xfId="21186" xr:uid="{00000000-0005-0000-0000-000074180000}"/>
    <cellStyle name="20% - Accent5 17 2 4" xfId="7904" xr:uid="{00000000-0005-0000-0000-000075180000}"/>
    <cellStyle name="20% - Accent5 17 2 4 2" xfId="19192" xr:uid="{00000000-0005-0000-0000-000076180000}"/>
    <cellStyle name="20% - Accent5 17 2 5" xfId="5910" xr:uid="{00000000-0005-0000-0000-000077180000}"/>
    <cellStyle name="20% - Accent5 17 2 5 2" xfId="17198" xr:uid="{00000000-0005-0000-0000-000078180000}"/>
    <cellStyle name="20% - Accent5 17 2 6" xfId="15204" xr:uid="{00000000-0005-0000-0000-000079180000}"/>
    <cellStyle name="20% - Accent5 17 3" xfId="10895" xr:uid="{00000000-0005-0000-0000-00007A180000}"/>
    <cellStyle name="20% - Accent5 17 3 2" xfId="22183" xr:uid="{00000000-0005-0000-0000-00007B180000}"/>
    <cellStyle name="20% - Accent5 17 4" xfId="8901" xr:uid="{00000000-0005-0000-0000-00007C180000}"/>
    <cellStyle name="20% - Accent5 17 4 2" xfId="20189" xr:uid="{00000000-0005-0000-0000-00007D180000}"/>
    <cellStyle name="20% - Accent5 17 5" xfId="6907" xr:uid="{00000000-0005-0000-0000-00007E180000}"/>
    <cellStyle name="20% - Accent5 17 5 2" xfId="18195" xr:uid="{00000000-0005-0000-0000-00007F180000}"/>
    <cellStyle name="20% - Accent5 17 6" xfId="4913" xr:uid="{00000000-0005-0000-0000-000080180000}"/>
    <cellStyle name="20% - Accent5 17 6 2" xfId="16201" xr:uid="{00000000-0005-0000-0000-000081180000}"/>
    <cellStyle name="20% - Accent5 17 7" xfId="14207" xr:uid="{00000000-0005-0000-0000-000082180000}"/>
    <cellStyle name="20% - Accent5 17 8" xfId="12893" xr:uid="{00000000-0005-0000-0000-000083180000}"/>
    <cellStyle name="20% - Accent5 18" xfId="958" xr:uid="{00000000-0005-0000-0000-000084180000}"/>
    <cellStyle name="20% - Accent5 18 2" xfId="3914" xr:uid="{00000000-0005-0000-0000-000085180000}"/>
    <cellStyle name="20% - Accent5 18 2 2" xfId="11893" xr:uid="{00000000-0005-0000-0000-000086180000}"/>
    <cellStyle name="20% - Accent5 18 2 2 2" xfId="23181" xr:uid="{00000000-0005-0000-0000-000087180000}"/>
    <cellStyle name="20% - Accent5 18 2 3" xfId="9899" xr:uid="{00000000-0005-0000-0000-000088180000}"/>
    <cellStyle name="20% - Accent5 18 2 3 2" xfId="21187" xr:uid="{00000000-0005-0000-0000-000089180000}"/>
    <cellStyle name="20% - Accent5 18 2 4" xfId="7905" xr:uid="{00000000-0005-0000-0000-00008A180000}"/>
    <cellStyle name="20% - Accent5 18 2 4 2" xfId="19193" xr:uid="{00000000-0005-0000-0000-00008B180000}"/>
    <cellStyle name="20% - Accent5 18 2 5" xfId="5911" xr:uid="{00000000-0005-0000-0000-00008C180000}"/>
    <cellStyle name="20% - Accent5 18 2 5 2" xfId="17199" xr:uid="{00000000-0005-0000-0000-00008D180000}"/>
    <cellStyle name="20% - Accent5 18 2 6" xfId="15205" xr:uid="{00000000-0005-0000-0000-00008E180000}"/>
    <cellStyle name="20% - Accent5 18 3" xfId="10896" xr:uid="{00000000-0005-0000-0000-00008F180000}"/>
    <cellStyle name="20% - Accent5 18 3 2" xfId="22184" xr:uid="{00000000-0005-0000-0000-000090180000}"/>
    <cellStyle name="20% - Accent5 18 4" xfId="8902" xr:uid="{00000000-0005-0000-0000-000091180000}"/>
    <cellStyle name="20% - Accent5 18 4 2" xfId="20190" xr:uid="{00000000-0005-0000-0000-000092180000}"/>
    <cellStyle name="20% - Accent5 18 5" xfId="6908" xr:uid="{00000000-0005-0000-0000-000093180000}"/>
    <cellStyle name="20% - Accent5 18 5 2" xfId="18196" xr:uid="{00000000-0005-0000-0000-000094180000}"/>
    <cellStyle name="20% - Accent5 18 6" xfId="4914" xr:uid="{00000000-0005-0000-0000-000095180000}"/>
    <cellStyle name="20% - Accent5 18 6 2" xfId="16202" xr:uid="{00000000-0005-0000-0000-000096180000}"/>
    <cellStyle name="20% - Accent5 18 7" xfId="14208" xr:uid="{00000000-0005-0000-0000-000097180000}"/>
    <cellStyle name="20% - Accent5 18 8" xfId="12894" xr:uid="{00000000-0005-0000-0000-000098180000}"/>
    <cellStyle name="20% - Accent5 19" xfId="959" xr:uid="{00000000-0005-0000-0000-000099180000}"/>
    <cellStyle name="20% - Accent5 19 2" xfId="3915" xr:uid="{00000000-0005-0000-0000-00009A180000}"/>
    <cellStyle name="20% - Accent5 19 2 2" xfId="11894" xr:uid="{00000000-0005-0000-0000-00009B180000}"/>
    <cellStyle name="20% - Accent5 19 2 2 2" xfId="23182" xr:uid="{00000000-0005-0000-0000-00009C180000}"/>
    <cellStyle name="20% - Accent5 19 2 3" xfId="9900" xr:uid="{00000000-0005-0000-0000-00009D180000}"/>
    <cellStyle name="20% - Accent5 19 2 3 2" xfId="21188" xr:uid="{00000000-0005-0000-0000-00009E180000}"/>
    <cellStyle name="20% - Accent5 19 2 4" xfId="7906" xr:uid="{00000000-0005-0000-0000-00009F180000}"/>
    <cellStyle name="20% - Accent5 19 2 4 2" xfId="19194" xr:uid="{00000000-0005-0000-0000-0000A0180000}"/>
    <cellStyle name="20% - Accent5 19 2 5" xfId="5912" xr:uid="{00000000-0005-0000-0000-0000A1180000}"/>
    <cellStyle name="20% - Accent5 19 2 5 2" xfId="17200" xr:uid="{00000000-0005-0000-0000-0000A2180000}"/>
    <cellStyle name="20% - Accent5 19 2 6" xfId="15206" xr:uid="{00000000-0005-0000-0000-0000A3180000}"/>
    <cellStyle name="20% - Accent5 19 3" xfId="10897" xr:uid="{00000000-0005-0000-0000-0000A4180000}"/>
    <cellStyle name="20% - Accent5 19 3 2" xfId="22185" xr:uid="{00000000-0005-0000-0000-0000A5180000}"/>
    <cellStyle name="20% - Accent5 19 4" xfId="8903" xr:uid="{00000000-0005-0000-0000-0000A6180000}"/>
    <cellStyle name="20% - Accent5 19 4 2" xfId="20191" xr:uid="{00000000-0005-0000-0000-0000A7180000}"/>
    <cellStyle name="20% - Accent5 19 5" xfId="6909" xr:uid="{00000000-0005-0000-0000-0000A8180000}"/>
    <cellStyle name="20% - Accent5 19 5 2" xfId="18197" xr:uid="{00000000-0005-0000-0000-0000A9180000}"/>
    <cellStyle name="20% - Accent5 19 6" xfId="4915" xr:uid="{00000000-0005-0000-0000-0000AA180000}"/>
    <cellStyle name="20% - Accent5 19 6 2" xfId="16203" xr:uid="{00000000-0005-0000-0000-0000AB180000}"/>
    <cellStyle name="20% - Accent5 19 7" xfId="14209" xr:uid="{00000000-0005-0000-0000-0000AC180000}"/>
    <cellStyle name="20% - Accent5 19 8" xfId="12895" xr:uid="{00000000-0005-0000-0000-0000AD180000}"/>
    <cellStyle name="20% - Accent5 2" xfId="960" xr:uid="{00000000-0005-0000-0000-0000AE180000}"/>
    <cellStyle name="20% - Accent5 2 10" xfId="24583" xr:uid="{00000000-0005-0000-0000-0000AF180000}"/>
    <cellStyle name="20% - Accent5 2 11" xfId="24973" xr:uid="{00000000-0005-0000-0000-0000B0180000}"/>
    <cellStyle name="20% - Accent5 2 2" xfId="3916" xr:uid="{00000000-0005-0000-0000-0000B1180000}"/>
    <cellStyle name="20% - Accent5 2 2 2" xfId="11895" xr:uid="{00000000-0005-0000-0000-0000B2180000}"/>
    <cellStyle name="20% - Accent5 2 2 2 2" xfId="23183" xr:uid="{00000000-0005-0000-0000-0000B3180000}"/>
    <cellStyle name="20% - Accent5 2 2 3" xfId="9901" xr:uid="{00000000-0005-0000-0000-0000B4180000}"/>
    <cellStyle name="20% - Accent5 2 2 3 2" xfId="21189" xr:uid="{00000000-0005-0000-0000-0000B5180000}"/>
    <cellStyle name="20% - Accent5 2 2 4" xfId="7907" xr:uid="{00000000-0005-0000-0000-0000B6180000}"/>
    <cellStyle name="20% - Accent5 2 2 4 2" xfId="19195" xr:uid="{00000000-0005-0000-0000-0000B7180000}"/>
    <cellStyle name="20% - Accent5 2 2 5" xfId="5913" xr:uid="{00000000-0005-0000-0000-0000B8180000}"/>
    <cellStyle name="20% - Accent5 2 2 5 2" xfId="17201" xr:uid="{00000000-0005-0000-0000-0000B9180000}"/>
    <cellStyle name="20% - Accent5 2 2 6" xfId="15207" xr:uid="{00000000-0005-0000-0000-0000BA180000}"/>
    <cellStyle name="20% - Accent5 2 2 7" xfId="24344" xr:uid="{00000000-0005-0000-0000-0000BB180000}"/>
    <cellStyle name="20% - Accent5 2 2 8" xfId="24808" xr:uid="{00000000-0005-0000-0000-0000BC180000}"/>
    <cellStyle name="20% - Accent5 2 2 9" xfId="25175" xr:uid="{00000000-0005-0000-0000-0000BD180000}"/>
    <cellStyle name="20% - Accent5 2 3" xfId="10898" xr:uid="{00000000-0005-0000-0000-0000BE180000}"/>
    <cellStyle name="20% - Accent5 2 3 2" xfId="22186" xr:uid="{00000000-0005-0000-0000-0000BF180000}"/>
    <cellStyle name="20% - Accent5 2 4" xfId="8904" xr:uid="{00000000-0005-0000-0000-0000C0180000}"/>
    <cellStyle name="20% - Accent5 2 4 2" xfId="20192" xr:uid="{00000000-0005-0000-0000-0000C1180000}"/>
    <cellStyle name="20% - Accent5 2 5" xfId="6910" xr:uid="{00000000-0005-0000-0000-0000C2180000}"/>
    <cellStyle name="20% - Accent5 2 5 2" xfId="18198" xr:uid="{00000000-0005-0000-0000-0000C3180000}"/>
    <cellStyle name="20% - Accent5 2 6" xfId="4916" xr:uid="{00000000-0005-0000-0000-0000C4180000}"/>
    <cellStyle name="20% - Accent5 2 6 2" xfId="16204" xr:uid="{00000000-0005-0000-0000-0000C5180000}"/>
    <cellStyle name="20% - Accent5 2 7" xfId="14210" xr:uid="{00000000-0005-0000-0000-0000C6180000}"/>
    <cellStyle name="20% - Accent5 2 8" xfId="12896" xr:uid="{00000000-0005-0000-0000-0000C7180000}"/>
    <cellStyle name="20% - Accent5 2 9" xfId="23956" xr:uid="{00000000-0005-0000-0000-0000C8180000}"/>
    <cellStyle name="20% - Accent5 20" xfId="961" xr:uid="{00000000-0005-0000-0000-0000C9180000}"/>
    <cellStyle name="20% - Accent5 20 2" xfId="3917" xr:uid="{00000000-0005-0000-0000-0000CA180000}"/>
    <cellStyle name="20% - Accent5 20 2 2" xfId="11896" xr:uid="{00000000-0005-0000-0000-0000CB180000}"/>
    <cellStyle name="20% - Accent5 20 2 2 2" xfId="23184" xr:uid="{00000000-0005-0000-0000-0000CC180000}"/>
    <cellStyle name="20% - Accent5 20 2 3" xfId="9902" xr:uid="{00000000-0005-0000-0000-0000CD180000}"/>
    <cellStyle name="20% - Accent5 20 2 3 2" xfId="21190" xr:uid="{00000000-0005-0000-0000-0000CE180000}"/>
    <cellStyle name="20% - Accent5 20 2 4" xfId="7908" xr:uid="{00000000-0005-0000-0000-0000CF180000}"/>
    <cellStyle name="20% - Accent5 20 2 4 2" xfId="19196" xr:uid="{00000000-0005-0000-0000-0000D0180000}"/>
    <cellStyle name="20% - Accent5 20 2 5" xfId="5914" xr:uid="{00000000-0005-0000-0000-0000D1180000}"/>
    <cellStyle name="20% - Accent5 20 2 5 2" xfId="17202" xr:uid="{00000000-0005-0000-0000-0000D2180000}"/>
    <cellStyle name="20% - Accent5 20 2 6" xfId="15208" xr:uid="{00000000-0005-0000-0000-0000D3180000}"/>
    <cellStyle name="20% - Accent5 20 3" xfId="10899" xr:uid="{00000000-0005-0000-0000-0000D4180000}"/>
    <cellStyle name="20% - Accent5 20 3 2" xfId="22187" xr:uid="{00000000-0005-0000-0000-0000D5180000}"/>
    <cellStyle name="20% - Accent5 20 4" xfId="8905" xr:uid="{00000000-0005-0000-0000-0000D6180000}"/>
    <cellStyle name="20% - Accent5 20 4 2" xfId="20193" xr:uid="{00000000-0005-0000-0000-0000D7180000}"/>
    <cellStyle name="20% - Accent5 20 5" xfId="6911" xr:uid="{00000000-0005-0000-0000-0000D8180000}"/>
    <cellStyle name="20% - Accent5 20 5 2" xfId="18199" xr:uid="{00000000-0005-0000-0000-0000D9180000}"/>
    <cellStyle name="20% - Accent5 20 6" xfId="4917" xr:uid="{00000000-0005-0000-0000-0000DA180000}"/>
    <cellStyle name="20% - Accent5 20 6 2" xfId="16205" xr:uid="{00000000-0005-0000-0000-0000DB180000}"/>
    <cellStyle name="20% - Accent5 20 7" xfId="14211" xr:uid="{00000000-0005-0000-0000-0000DC180000}"/>
    <cellStyle name="20% - Accent5 20 8" xfId="12897" xr:uid="{00000000-0005-0000-0000-0000DD180000}"/>
    <cellStyle name="20% - Accent5 21" xfId="962" xr:uid="{00000000-0005-0000-0000-0000DE180000}"/>
    <cellStyle name="20% - Accent5 21 2" xfId="3918" xr:uid="{00000000-0005-0000-0000-0000DF180000}"/>
    <cellStyle name="20% - Accent5 21 2 2" xfId="11897" xr:uid="{00000000-0005-0000-0000-0000E0180000}"/>
    <cellStyle name="20% - Accent5 21 2 2 2" xfId="23185" xr:uid="{00000000-0005-0000-0000-0000E1180000}"/>
    <cellStyle name="20% - Accent5 21 2 3" xfId="9903" xr:uid="{00000000-0005-0000-0000-0000E2180000}"/>
    <cellStyle name="20% - Accent5 21 2 3 2" xfId="21191" xr:uid="{00000000-0005-0000-0000-0000E3180000}"/>
    <cellStyle name="20% - Accent5 21 2 4" xfId="7909" xr:uid="{00000000-0005-0000-0000-0000E4180000}"/>
    <cellStyle name="20% - Accent5 21 2 4 2" xfId="19197" xr:uid="{00000000-0005-0000-0000-0000E5180000}"/>
    <cellStyle name="20% - Accent5 21 2 5" xfId="5915" xr:uid="{00000000-0005-0000-0000-0000E6180000}"/>
    <cellStyle name="20% - Accent5 21 2 5 2" xfId="17203" xr:uid="{00000000-0005-0000-0000-0000E7180000}"/>
    <cellStyle name="20% - Accent5 21 2 6" xfId="15209" xr:uid="{00000000-0005-0000-0000-0000E8180000}"/>
    <cellStyle name="20% - Accent5 21 3" xfId="10900" xr:uid="{00000000-0005-0000-0000-0000E9180000}"/>
    <cellStyle name="20% - Accent5 21 3 2" xfId="22188" xr:uid="{00000000-0005-0000-0000-0000EA180000}"/>
    <cellStyle name="20% - Accent5 21 4" xfId="8906" xr:uid="{00000000-0005-0000-0000-0000EB180000}"/>
    <cellStyle name="20% - Accent5 21 4 2" xfId="20194" xr:uid="{00000000-0005-0000-0000-0000EC180000}"/>
    <cellStyle name="20% - Accent5 21 5" xfId="6912" xr:uid="{00000000-0005-0000-0000-0000ED180000}"/>
    <cellStyle name="20% - Accent5 21 5 2" xfId="18200" xr:uid="{00000000-0005-0000-0000-0000EE180000}"/>
    <cellStyle name="20% - Accent5 21 6" xfId="4918" xr:uid="{00000000-0005-0000-0000-0000EF180000}"/>
    <cellStyle name="20% - Accent5 21 6 2" xfId="16206" xr:uid="{00000000-0005-0000-0000-0000F0180000}"/>
    <cellStyle name="20% - Accent5 21 7" xfId="14212" xr:uid="{00000000-0005-0000-0000-0000F1180000}"/>
    <cellStyle name="20% - Accent5 21 8" xfId="12898" xr:uid="{00000000-0005-0000-0000-0000F2180000}"/>
    <cellStyle name="20% - Accent5 22" xfId="963" xr:uid="{00000000-0005-0000-0000-0000F3180000}"/>
    <cellStyle name="20% - Accent5 22 2" xfId="3919" xr:uid="{00000000-0005-0000-0000-0000F4180000}"/>
    <cellStyle name="20% - Accent5 22 2 2" xfId="11898" xr:uid="{00000000-0005-0000-0000-0000F5180000}"/>
    <cellStyle name="20% - Accent5 22 2 2 2" xfId="23186" xr:uid="{00000000-0005-0000-0000-0000F6180000}"/>
    <cellStyle name="20% - Accent5 22 2 3" xfId="9904" xr:uid="{00000000-0005-0000-0000-0000F7180000}"/>
    <cellStyle name="20% - Accent5 22 2 3 2" xfId="21192" xr:uid="{00000000-0005-0000-0000-0000F8180000}"/>
    <cellStyle name="20% - Accent5 22 2 4" xfId="7910" xr:uid="{00000000-0005-0000-0000-0000F9180000}"/>
    <cellStyle name="20% - Accent5 22 2 4 2" xfId="19198" xr:uid="{00000000-0005-0000-0000-0000FA180000}"/>
    <cellStyle name="20% - Accent5 22 2 5" xfId="5916" xr:uid="{00000000-0005-0000-0000-0000FB180000}"/>
    <cellStyle name="20% - Accent5 22 2 5 2" xfId="17204" xr:uid="{00000000-0005-0000-0000-0000FC180000}"/>
    <cellStyle name="20% - Accent5 22 2 6" xfId="15210" xr:uid="{00000000-0005-0000-0000-0000FD180000}"/>
    <cellStyle name="20% - Accent5 22 3" xfId="10901" xr:uid="{00000000-0005-0000-0000-0000FE180000}"/>
    <cellStyle name="20% - Accent5 22 3 2" xfId="22189" xr:uid="{00000000-0005-0000-0000-0000FF180000}"/>
    <cellStyle name="20% - Accent5 22 4" xfId="8907" xr:uid="{00000000-0005-0000-0000-000000190000}"/>
    <cellStyle name="20% - Accent5 22 4 2" xfId="20195" xr:uid="{00000000-0005-0000-0000-000001190000}"/>
    <cellStyle name="20% - Accent5 22 5" xfId="6913" xr:uid="{00000000-0005-0000-0000-000002190000}"/>
    <cellStyle name="20% - Accent5 22 5 2" xfId="18201" xr:uid="{00000000-0005-0000-0000-000003190000}"/>
    <cellStyle name="20% - Accent5 22 6" xfId="4919" xr:uid="{00000000-0005-0000-0000-000004190000}"/>
    <cellStyle name="20% - Accent5 22 6 2" xfId="16207" xr:uid="{00000000-0005-0000-0000-000005190000}"/>
    <cellStyle name="20% - Accent5 22 7" xfId="14213" xr:uid="{00000000-0005-0000-0000-000006190000}"/>
    <cellStyle name="20% - Accent5 22 8" xfId="12899" xr:uid="{00000000-0005-0000-0000-000007190000}"/>
    <cellStyle name="20% - Accent5 23" xfId="964" xr:uid="{00000000-0005-0000-0000-000008190000}"/>
    <cellStyle name="20% - Accent5 23 2" xfId="3920" xr:uid="{00000000-0005-0000-0000-000009190000}"/>
    <cellStyle name="20% - Accent5 23 2 2" xfId="11899" xr:uid="{00000000-0005-0000-0000-00000A190000}"/>
    <cellStyle name="20% - Accent5 23 2 2 2" xfId="23187" xr:uid="{00000000-0005-0000-0000-00000B190000}"/>
    <cellStyle name="20% - Accent5 23 2 3" xfId="9905" xr:uid="{00000000-0005-0000-0000-00000C190000}"/>
    <cellStyle name="20% - Accent5 23 2 3 2" xfId="21193" xr:uid="{00000000-0005-0000-0000-00000D190000}"/>
    <cellStyle name="20% - Accent5 23 2 4" xfId="7911" xr:uid="{00000000-0005-0000-0000-00000E190000}"/>
    <cellStyle name="20% - Accent5 23 2 4 2" xfId="19199" xr:uid="{00000000-0005-0000-0000-00000F190000}"/>
    <cellStyle name="20% - Accent5 23 2 5" xfId="5917" xr:uid="{00000000-0005-0000-0000-000010190000}"/>
    <cellStyle name="20% - Accent5 23 2 5 2" xfId="17205" xr:uid="{00000000-0005-0000-0000-000011190000}"/>
    <cellStyle name="20% - Accent5 23 2 6" xfId="15211" xr:uid="{00000000-0005-0000-0000-000012190000}"/>
    <cellStyle name="20% - Accent5 23 3" xfId="10902" xr:uid="{00000000-0005-0000-0000-000013190000}"/>
    <cellStyle name="20% - Accent5 23 3 2" xfId="22190" xr:uid="{00000000-0005-0000-0000-000014190000}"/>
    <cellStyle name="20% - Accent5 23 4" xfId="8908" xr:uid="{00000000-0005-0000-0000-000015190000}"/>
    <cellStyle name="20% - Accent5 23 4 2" xfId="20196" xr:uid="{00000000-0005-0000-0000-000016190000}"/>
    <cellStyle name="20% - Accent5 23 5" xfId="6914" xr:uid="{00000000-0005-0000-0000-000017190000}"/>
    <cellStyle name="20% - Accent5 23 5 2" xfId="18202" xr:uid="{00000000-0005-0000-0000-000018190000}"/>
    <cellStyle name="20% - Accent5 23 6" xfId="4920" xr:uid="{00000000-0005-0000-0000-000019190000}"/>
    <cellStyle name="20% - Accent5 23 6 2" xfId="16208" xr:uid="{00000000-0005-0000-0000-00001A190000}"/>
    <cellStyle name="20% - Accent5 23 7" xfId="14214" xr:uid="{00000000-0005-0000-0000-00001B190000}"/>
    <cellStyle name="20% - Accent5 23 8" xfId="12900" xr:uid="{00000000-0005-0000-0000-00001C190000}"/>
    <cellStyle name="20% - Accent5 24" xfId="965" xr:uid="{00000000-0005-0000-0000-00001D190000}"/>
    <cellStyle name="20% - Accent5 24 2" xfId="3921" xr:uid="{00000000-0005-0000-0000-00001E190000}"/>
    <cellStyle name="20% - Accent5 24 2 2" xfId="11900" xr:uid="{00000000-0005-0000-0000-00001F190000}"/>
    <cellStyle name="20% - Accent5 24 2 2 2" xfId="23188" xr:uid="{00000000-0005-0000-0000-000020190000}"/>
    <cellStyle name="20% - Accent5 24 2 3" xfId="9906" xr:uid="{00000000-0005-0000-0000-000021190000}"/>
    <cellStyle name="20% - Accent5 24 2 3 2" xfId="21194" xr:uid="{00000000-0005-0000-0000-000022190000}"/>
    <cellStyle name="20% - Accent5 24 2 4" xfId="7912" xr:uid="{00000000-0005-0000-0000-000023190000}"/>
    <cellStyle name="20% - Accent5 24 2 4 2" xfId="19200" xr:uid="{00000000-0005-0000-0000-000024190000}"/>
    <cellStyle name="20% - Accent5 24 2 5" xfId="5918" xr:uid="{00000000-0005-0000-0000-000025190000}"/>
    <cellStyle name="20% - Accent5 24 2 5 2" xfId="17206" xr:uid="{00000000-0005-0000-0000-000026190000}"/>
    <cellStyle name="20% - Accent5 24 2 6" xfId="15212" xr:uid="{00000000-0005-0000-0000-000027190000}"/>
    <cellStyle name="20% - Accent5 24 3" xfId="10903" xr:uid="{00000000-0005-0000-0000-000028190000}"/>
    <cellStyle name="20% - Accent5 24 3 2" xfId="22191" xr:uid="{00000000-0005-0000-0000-000029190000}"/>
    <cellStyle name="20% - Accent5 24 4" xfId="8909" xr:uid="{00000000-0005-0000-0000-00002A190000}"/>
    <cellStyle name="20% - Accent5 24 4 2" xfId="20197" xr:uid="{00000000-0005-0000-0000-00002B190000}"/>
    <cellStyle name="20% - Accent5 24 5" xfId="6915" xr:uid="{00000000-0005-0000-0000-00002C190000}"/>
    <cellStyle name="20% - Accent5 24 5 2" xfId="18203" xr:uid="{00000000-0005-0000-0000-00002D190000}"/>
    <cellStyle name="20% - Accent5 24 6" xfId="4921" xr:uid="{00000000-0005-0000-0000-00002E190000}"/>
    <cellStyle name="20% - Accent5 24 6 2" xfId="16209" xr:uid="{00000000-0005-0000-0000-00002F190000}"/>
    <cellStyle name="20% - Accent5 24 7" xfId="14215" xr:uid="{00000000-0005-0000-0000-000030190000}"/>
    <cellStyle name="20% - Accent5 24 8" xfId="12901" xr:uid="{00000000-0005-0000-0000-000031190000}"/>
    <cellStyle name="20% - Accent5 25" xfId="966" xr:uid="{00000000-0005-0000-0000-000032190000}"/>
    <cellStyle name="20% - Accent5 25 2" xfId="3922" xr:uid="{00000000-0005-0000-0000-000033190000}"/>
    <cellStyle name="20% - Accent5 25 2 2" xfId="11901" xr:uid="{00000000-0005-0000-0000-000034190000}"/>
    <cellStyle name="20% - Accent5 25 2 2 2" xfId="23189" xr:uid="{00000000-0005-0000-0000-000035190000}"/>
    <cellStyle name="20% - Accent5 25 2 3" xfId="9907" xr:uid="{00000000-0005-0000-0000-000036190000}"/>
    <cellStyle name="20% - Accent5 25 2 3 2" xfId="21195" xr:uid="{00000000-0005-0000-0000-000037190000}"/>
    <cellStyle name="20% - Accent5 25 2 4" xfId="7913" xr:uid="{00000000-0005-0000-0000-000038190000}"/>
    <cellStyle name="20% - Accent5 25 2 4 2" xfId="19201" xr:uid="{00000000-0005-0000-0000-000039190000}"/>
    <cellStyle name="20% - Accent5 25 2 5" xfId="5919" xr:uid="{00000000-0005-0000-0000-00003A190000}"/>
    <cellStyle name="20% - Accent5 25 2 5 2" xfId="17207" xr:uid="{00000000-0005-0000-0000-00003B190000}"/>
    <cellStyle name="20% - Accent5 25 2 6" xfId="15213" xr:uid="{00000000-0005-0000-0000-00003C190000}"/>
    <cellStyle name="20% - Accent5 25 3" xfId="10904" xr:uid="{00000000-0005-0000-0000-00003D190000}"/>
    <cellStyle name="20% - Accent5 25 3 2" xfId="22192" xr:uid="{00000000-0005-0000-0000-00003E190000}"/>
    <cellStyle name="20% - Accent5 25 4" xfId="8910" xr:uid="{00000000-0005-0000-0000-00003F190000}"/>
    <cellStyle name="20% - Accent5 25 4 2" xfId="20198" xr:uid="{00000000-0005-0000-0000-000040190000}"/>
    <cellStyle name="20% - Accent5 25 5" xfId="6916" xr:uid="{00000000-0005-0000-0000-000041190000}"/>
    <cellStyle name="20% - Accent5 25 5 2" xfId="18204" xr:uid="{00000000-0005-0000-0000-000042190000}"/>
    <cellStyle name="20% - Accent5 25 6" xfId="4922" xr:uid="{00000000-0005-0000-0000-000043190000}"/>
    <cellStyle name="20% - Accent5 25 6 2" xfId="16210" xr:uid="{00000000-0005-0000-0000-000044190000}"/>
    <cellStyle name="20% - Accent5 25 7" xfId="14216" xr:uid="{00000000-0005-0000-0000-000045190000}"/>
    <cellStyle name="20% - Accent5 25 8" xfId="12902" xr:uid="{00000000-0005-0000-0000-000046190000}"/>
    <cellStyle name="20% - Accent5 26" xfId="967" xr:uid="{00000000-0005-0000-0000-000047190000}"/>
    <cellStyle name="20% - Accent5 26 2" xfId="3923" xr:uid="{00000000-0005-0000-0000-000048190000}"/>
    <cellStyle name="20% - Accent5 26 2 2" xfId="11902" xr:uid="{00000000-0005-0000-0000-000049190000}"/>
    <cellStyle name="20% - Accent5 26 2 2 2" xfId="23190" xr:uid="{00000000-0005-0000-0000-00004A190000}"/>
    <cellStyle name="20% - Accent5 26 2 3" xfId="9908" xr:uid="{00000000-0005-0000-0000-00004B190000}"/>
    <cellStyle name="20% - Accent5 26 2 3 2" xfId="21196" xr:uid="{00000000-0005-0000-0000-00004C190000}"/>
    <cellStyle name="20% - Accent5 26 2 4" xfId="7914" xr:uid="{00000000-0005-0000-0000-00004D190000}"/>
    <cellStyle name="20% - Accent5 26 2 4 2" xfId="19202" xr:uid="{00000000-0005-0000-0000-00004E190000}"/>
    <cellStyle name="20% - Accent5 26 2 5" xfId="5920" xr:uid="{00000000-0005-0000-0000-00004F190000}"/>
    <cellStyle name="20% - Accent5 26 2 5 2" xfId="17208" xr:uid="{00000000-0005-0000-0000-000050190000}"/>
    <cellStyle name="20% - Accent5 26 2 6" xfId="15214" xr:uid="{00000000-0005-0000-0000-000051190000}"/>
    <cellStyle name="20% - Accent5 26 3" xfId="10905" xr:uid="{00000000-0005-0000-0000-000052190000}"/>
    <cellStyle name="20% - Accent5 26 3 2" xfId="22193" xr:uid="{00000000-0005-0000-0000-000053190000}"/>
    <cellStyle name="20% - Accent5 26 4" xfId="8911" xr:uid="{00000000-0005-0000-0000-000054190000}"/>
    <cellStyle name="20% - Accent5 26 4 2" xfId="20199" xr:uid="{00000000-0005-0000-0000-000055190000}"/>
    <cellStyle name="20% - Accent5 26 5" xfId="6917" xr:uid="{00000000-0005-0000-0000-000056190000}"/>
    <cellStyle name="20% - Accent5 26 5 2" xfId="18205" xr:uid="{00000000-0005-0000-0000-000057190000}"/>
    <cellStyle name="20% - Accent5 26 6" xfId="4923" xr:uid="{00000000-0005-0000-0000-000058190000}"/>
    <cellStyle name="20% - Accent5 26 6 2" xfId="16211" xr:uid="{00000000-0005-0000-0000-000059190000}"/>
    <cellStyle name="20% - Accent5 26 7" xfId="14217" xr:uid="{00000000-0005-0000-0000-00005A190000}"/>
    <cellStyle name="20% - Accent5 26 8" xfId="12903" xr:uid="{00000000-0005-0000-0000-00005B190000}"/>
    <cellStyle name="20% - Accent5 27" xfId="968" xr:uid="{00000000-0005-0000-0000-00005C190000}"/>
    <cellStyle name="20% - Accent5 27 2" xfId="3924" xr:uid="{00000000-0005-0000-0000-00005D190000}"/>
    <cellStyle name="20% - Accent5 27 2 2" xfId="11903" xr:uid="{00000000-0005-0000-0000-00005E190000}"/>
    <cellStyle name="20% - Accent5 27 2 2 2" xfId="23191" xr:uid="{00000000-0005-0000-0000-00005F190000}"/>
    <cellStyle name="20% - Accent5 27 2 3" xfId="9909" xr:uid="{00000000-0005-0000-0000-000060190000}"/>
    <cellStyle name="20% - Accent5 27 2 3 2" xfId="21197" xr:uid="{00000000-0005-0000-0000-000061190000}"/>
    <cellStyle name="20% - Accent5 27 2 4" xfId="7915" xr:uid="{00000000-0005-0000-0000-000062190000}"/>
    <cellStyle name="20% - Accent5 27 2 4 2" xfId="19203" xr:uid="{00000000-0005-0000-0000-000063190000}"/>
    <cellStyle name="20% - Accent5 27 2 5" xfId="5921" xr:uid="{00000000-0005-0000-0000-000064190000}"/>
    <cellStyle name="20% - Accent5 27 2 5 2" xfId="17209" xr:uid="{00000000-0005-0000-0000-000065190000}"/>
    <cellStyle name="20% - Accent5 27 2 6" xfId="15215" xr:uid="{00000000-0005-0000-0000-000066190000}"/>
    <cellStyle name="20% - Accent5 27 3" xfId="10906" xr:uid="{00000000-0005-0000-0000-000067190000}"/>
    <cellStyle name="20% - Accent5 27 3 2" xfId="22194" xr:uid="{00000000-0005-0000-0000-000068190000}"/>
    <cellStyle name="20% - Accent5 27 4" xfId="8912" xr:uid="{00000000-0005-0000-0000-000069190000}"/>
    <cellStyle name="20% - Accent5 27 4 2" xfId="20200" xr:uid="{00000000-0005-0000-0000-00006A190000}"/>
    <cellStyle name="20% - Accent5 27 5" xfId="6918" xr:uid="{00000000-0005-0000-0000-00006B190000}"/>
    <cellStyle name="20% - Accent5 27 5 2" xfId="18206" xr:uid="{00000000-0005-0000-0000-00006C190000}"/>
    <cellStyle name="20% - Accent5 27 6" xfId="4924" xr:uid="{00000000-0005-0000-0000-00006D190000}"/>
    <cellStyle name="20% - Accent5 27 6 2" xfId="16212" xr:uid="{00000000-0005-0000-0000-00006E190000}"/>
    <cellStyle name="20% - Accent5 27 7" xfId="14218" xr:uid="{00000000-0005-0000-0000-00006F190000}"/>
    <cellStyle name="20% - Accent5 27 8" xfId="12904" xr:uid="{00000000-0005-0000-0000-000070190000}"/>
    <cellStyle name="20% - Accent5 28" xfId="969" xr:uid="{00000000-0005-0000-0000-000071190000}"/>
    <cellStyle name="20% - Accent5 28 2" xfId="3925" xr:uid="{00000000-0005-0000-0000-000072190000}"/>
    <cellStyle name="20% - Accent5 28 2 2" xfId="11904" xr:uid="{00000000-0005-0000-0000-000073190000}"/>
    <cellStyle name="20% - Accent5 28 2 2 2" xfId="23192" xr:uid="{00000000-0005-0000-0000-000074190000}"/>
    <cellStyle name="20% - Accent5 28 2 3" xfId="9910" xr:uid="{00000000-0005-0000-0000-000075190000}"/>
    <cellStyle name="20% - Accent5 28 2 3 2" xfId="21198" xr:uid="{00000000-0005-0000-0000-000076190000}"/>
    <cellStyle name="20% - Accent5 28 2 4" xfId="7916" xr:uid="{00000000-0005-0000-0000-000077190000}"/>
    <cellStyle name="20% - Accent5 28 2 4 2" xfId="19204" xr:uid="{00000000-0005-0000-0000-000078190000}"/>
    <cellStyle name="20% - Accent5 28 2 5" xfId="5922" xr:uid="{00000000-0005-0000-0000-000079190000}"/>
    <cellStyle name="20% - Accent5 28 2 5 2" xfId="17210" xr:uid="{00000000-0005-0000-0000-00007A190000}"/>
    <cellStyle name="20% - Accent5 28 2 6" xfId="15216" xr:uid="{00000000-0005-0000-0000-00007B190000}"/>
    <cellStyle name="20% - Accent5 28 3" xfId="10907" xr:uid="{00000000-0005-0000-0000-00007C190000}"/>
    <cellStyle name="20% - Accent5 28 3 2" xfId="22195" xr:uid="{00000000-0005-0000-0000-00007D190000}"/>
    <cellStyle name="20% - Accent5 28 4" xfId="8913" xr:uid="{00000000-0005-0000-0000-00007E190000}"/>
    <cellStyle name="20% - Accent5 28 4 2" xfId="20201" xr:uid="{00000000-0005-0000-0000-00007F190000}"/>
    <cellStyle name="20% - Accent5 28 5" xfId="6919" xr:uid="{00000000-0005-0000-0000-000080190000}"/>
    <cellStyle name="20% - Accent5 28 5 2" xfId="18207" xr:uid="{00000000-0005-0000-0000-000081190000}"/>
    <cellStyle name="20% - Accent5 28 6" xfId="4925" xr:uid="{00000000-0005-0000-0000-000082190000}"/>
    <cellStyle name="20% - Accent5 28 6 2" xfId="16213" xr:uid="{00000000-0005-0000-0000-000083190000}"/>
    <cellStyle name="20% - Accent5 28 7" xfId="14219" xr:uid="{00000000-0005-0000-0000-000084190000}"/>
    <cellStyle name="20% - Accent5 28 8" xfId="12905" xr:uid="{00000000-0005-0000-0000-000085190000}"/>
    <cellStyle name="20% - Accent5 29" xfId="970" xr:uid="{00000000-0005-0000-0000-000086190000}"/>
    <cellStyle name="20% - Accent5 29 2" xfId="3926" xr:uid="{00000000-0005-0000-0000-000087190000}"/>
    <cellStyle name="20% - Accent5 29 2 2" xfId="11905" xr:uid="{00000000-0005-0000-0000-000088190000}"/>
    <cellStyle name="20% - Accent5 29 2 2 2" xfId="23193" xr:uid="{00000000-0005-0000-0000-000089190000}"/>
    <cellStyle name="20% - Accent5 29 2 3" xfId="9911" xr:uid="{00000000-0005-0000-0000-00008A190000}"/>
    <cellStyle name="20% - Accent5 29 2 3 2" xfId="21199" xr:uid="{00000000-0005-0000-0000-00008B190000}"/>
    <cellStyle name="20% - Accent5 29 2 4" xfId="7917" xr:uid="{00000000-0005-0000-0000-00008C190000}"/>
    <cellStyle name="20% - Accent5 29 2 4 2" xfId="19205" xr:uid="{00000000-0005-0000-0000-00008D190000}"/>
    <cellStyle name="20% - Accent5 29 2 5" xfId="5923" xr:uid="{00000000-0005-0000-0000-00008E190000}"/>
    <cellStyle name="20% - Accent5 29 2 5 2" xfId="17211" xr:uid="{00000000-0005-0000-0000-00008F190000}"/>
    <cellStyle name="20% - Accent5 29 2 6" xfId="15217" xr:uid="{00000000-0005-0000-0000-000090190000}"/>
    <cellStyle name="20% - Accent5 29 3" xfId="10908" xr:uid="{00000000-0005-0000-0000-000091190000}"/>
    <cellStyle name="20% - Accent5 29 3 2" xfId="22196" xr:uid="{00000000-0005-0000-0000-000092190000}"/>
    <cellStyle name="20% - Accent5 29 4" xfId="8914" xr:uid="{00000000-0005-0000-0000-000093190000}"/>
    <cellStyle name="20% - Accent5 29 4 2" xfId="20202" xr:uid="{00000000-0005-0000-0000-000094190000}"/>
    <cellStyle name="20% - Accent5 29 5" xfId="6920" xr:uid="{00000000-0005-0000-0000-000095190000}"/>
    <cellStyle name="20% - Accent5 29 5 2" xfId="18208" xr:uid="{00000000-0005-0000-0000-000096190000}"/>
    <cellStyle name="20% - Accent5 29 6" xfId="4926" xr:uid="{00000000-0005-0000-0000-000097190000}"/>
    <cellStyle name="20% - Accent5 29 6 2" xfId="16214" xr:uid="{00000000-0005-0000-0000-000098190000}"/>
    <cellStyle name="20% - Accent5 29 7" xfId="14220" xr:uid="{00000000-0005-0000-0000-000099190000}"/>
    <cellStyle name="20% - Accent5 29 8" xfId="12906" xr:uid="{00000000-0005-0000-0000-00009A190000}"/>
    <cellStyle name="20% - Accent5 3" xfId="971" xr:uid="{00000000-0005-0000-0000-00009B190000}"/>
    <cellStyle name="20% - Accent5 3 10" xfId="24584" xr:uid="{00000000-0005-0000-0000-00009C190000}"/>
    <cellStyle name="20% - Accent5 3 11" xfId="24974" xr:uid="{00000000-0005-0000-0000-00009D190000}"/>
    <cellStyle name="20% - Accent5 3 2" xfId="3927" xr:uid="{00000000-0005-0000-0000-00009E190000}"/>
    <cellStyle name="20% - Accent5 3 2 2" xfId="11906" xr:uid="{00000000-0005-0000-0000-00009F190000}"/>
    <cellStyle name="20% - Accent5 3 2 2 2" xfId="23194" xr:uid="{00000000-0005-0000-0000-0000A0190000}"/>
    <cellStyle name="20% - Accent5 3 2 3" xfId="9912" xr:uid="{00000000-0005-0000-0000-0000A1190000}"/>
    <cellStyle name="20% - Accent5 3 2 3 2" xfId="21200" xr:uid="{00000000-0005-0000-0000-0000A2190000}"/>
    <cellStyle name="20% - Accent5 3 2 4" xfId="7918" xr:uid="{00000000-0005-0000-0000-0000A3190000}"/>
    <cellStyle name="20% - Accent5 3 2 4 2" xfId="19206" xr:uid="{00000000-0005-0000-0000-0000A4190000}"/>
    <cellStyle name="20% - Accent5 3 2 5" xfId="5924" xr:uid="{00000000-0005-0000-0000-0000A5190000}"/>
    <cellStyle name="20% - Accent5 3 2 5 2" xfId="17212" xr:uid="{00000000-0005-0000-0000-0000A6190000}"/>
    <cellStyle name="20% - Accent5 3 2 6" xfId="15218" xr:uid="{00000000-0005-0000-0000-0000A7190000}"/>
    <cellStyle name="20% - Accent5 3 2 7" xfId="24345" xr:uid="{00000000-0005-0000-0000-0000A8190000}"/>
    <cellStyle name="20% - Accent5 3 2 8" xfId="24809" xr:uid="{00000000-0005-0000-0000-0000A9190000}"/>
    <cellStyle name="20% - Accent5 3 2 9" xfId="25176" xr:uid="{00000000-0005-0000-0000-0000AA190000}"/>
    <cellStyle name="20% - Accent5 3 3" xfId="10909" xr:uid="{00000000-0005-0000-0000-0000AB190000}"/>
    <cellStyle name="20% - Accent5 3 3 2" xfId="22197" xr:uid="{00000000-0005-0000-0000-0000AC190000}"/>
    <cellStyle name="20% - Accent5 3 4" xfId="8915" xr:uid="{00000000-0005-0000-0000-0000AD190000}"/>
    <cellStyle name="20% - Accent5 3 4 2" xfId="20203" xr:uid="{00000000-0005-0000-0000-0000AE190000}"/>
    <cellStyle name="20% - Accent5 3 5" xfId="6921" xr:uid="{00000000-0005-0000-0000-0000AF190000}"/>
    <cellStyle name="20% - Accent5 3 5 2" xfId="18209" xr:uid="{00000000-0005-0000-0000-0000B0190000}"/>
    <cellStyle name="20% - Accent5 3 6" xfId="4927" xr:uid="{00000000-0005-0000-0000-0000B1190000}"/>
    <cellStyle name="20% - Accent5 3 6 2" xfId="16215" xr:uid="{00000000-0005-0000-0000-0000B2190000}"/>
    <cellStyle name="20% - Accent5 3 7" xfId="14221" xr:uid="{00000000-0005-0000-0000-0000B3190000}"/>
    <cellStyle name="20% - Accent5 3 8" xfId="12907" xr:uid="{00000000-0005-0000-0000-0000B4190000}"/>
    <cellStyle name="20% - Accent5 3 9" xfId="23957" xr:uid="{00000000-0005-0000-0000-0000B5190000}"/>
    <cellStyle name="20% - Accent5 30" xfId="972" xr:uid="{00000000-0005-0000-0000-0000B6190000}"/>
    <cellStyle name="20% - Accent5 30 2" xfId="3928" xr:uid="{00000000-0005-0000-0000-0000B7190000}"/>
    <cellStyle name="20% - Accent5 30 2 2" xfId="11907" xr:uid="{00000000-0005-0000-0000-0000B8190000}"/>
    <cellStyle name="20% - Accent5 30 2 2 2" xfId="23195" xr:uid="{00000000-0005-0000-0000-0000B9190000}"/>
    <cellStyle name="20% - Accent5 30 2 3" xfId="9913" xr:uid="{00000000-0005-0000-0000-0000BA190000}"/>
    <cellStyle name="20% - Accent5 30 2 3 2" xfId="21201" xr:uid="{00000000-0005-0000-0000-0000BB190000}"/>
    <cellStyle name="20% - Accent5 30 2 4" xfId="7919" xr:uid="{00000000-0005-0000-0000-0000BC190000}"/>
    <cellStyle name="20% - Accent5 30 2 4 2" xfId="19207" xr:uid="{00000000-0005-0000-0000-0000BD190000}"/>
    <cellStyle name="20% - Accent5 30 2 5" xfId="5925" xr:uid="{00000000-0005-0000-0000-0000BE190000}"/>
    <cellStyle name="20% - Accent5 30 2 5 2" xfId="17213" xr:uid="{00000000-0005-0000-0000-0000BF190000}"/>
    <cellStyle name="20% - Accent5 30 2 6" xfId="15219" xr:uid="{00000000-0005-0000-0000-0000C0190000}"/>
    <cellStyle name="20% - Accent5 30 3" xfId="10910" xr:uid="{00000000-0005-0000-0000-0000C1190000}"/>
    <cellStyle name="20% - Accent5 30 3 2" xfId="22198" xr:uid="{00000000-0005-0000-0000-0000C2190000}"/>
    <cellStyle name="20% - Accent5 30 4" xfId="8916" xr:uid="{00000000-0005-0000-0000-0000C3190000}"/>
    <cellStyle name="20% - Accent5 30 4 2" xfId="20204" xr:uid="{00000000-0005-0000-0000-0000C4190000}"/>
    <cellStyle name="20% - Accent5 30 5" xfId="6922" xr:uid="{00000000-0005-0000-0000-0000C5190000}"/>
    <cellStyle name="20% - Accent5 30 5 2" xfId="18210" xr:uid="{00000000-0005-0000-0000-0000C6190000}"/>
    <cellStyle name="20% - Accent5 30 6" xfId="4928" xr:uid="{00000000-0005-0000-0000-0000C7190000}"/>
    <cellStyle name="20% - Accent5 30 6 2" xfId="16216" xr:uid="{00000000-0005-0000-0000-0000C8190000}"/>
    <cellStyle name="20% - Accent5 30 7" xfId="14222" xr:uid="{00000000-0005-0000-0000-0000C9190000}"/>
    <cellStyle name="20% - Accent5 30 8" xfId="12908" xr:uid="{00000000-0005-0000-0000-0000CA190000}"/>
    <cellStyle name="20% - Accent5 31" xfId="973" xr:uid="{00000000-0005-0000-0000-0000CB190000}"/>
    <cellStyle name="20% - Accent5 31 2" xfId="3929" xr:uid="{00000000-0005-0000-0000-0000CC190000}"/>
    <cellStyle name="20% - Accent5 31 2 2" xfId="11908" xr:uid="{00000000-0005-0000-0000-0000CD190000}"/>
    <cellStyle name="20% - Accent5 31 2 2 2" xfId="23196" xr:uid="{00000000-0005-0000-0000-0000CE190000}"/>
    <cellStyle name="20% - Accent5 31 2 3" xfId="9914" xr:uid="{00000000-0005-0000-0000-0000CF190000}"/>
    <cellStyle name="20% - Accent5 31 2 3 2" xfId="21202" xr:uid="{00000000-0005-0000-0000-0000D0190000}"/>
    <cellStyle name="20% - Accent5 31 2 4" xfId="7920" xr:uid="{00000000-0005-0000-0000-0000D1190000}"/>
    <cellStyle name="20% - Accent5 31 2 4 2" xfId="19208" xr:uid="{00000000-0005-0000-0000-0000D2190000}"/>
    <cellStyle name="20% - Accent5 31 2 5" xfId="5926" xr:uid="{00000000-0005-0000-0000-0000D3190000}"/>
    <cellStyle name="20% - Accent5 31 2 5 2" xfId="17214" xr:uid="{00000000-0005-0000-0000-0000D4190000}"/>
    <cellStyle name="20% - Accent5 31 2 6" xfId="15220" xr:uid="{00000000-0005-0000-0000-0000D5190000}"/>
    <cellStyle name="20% - Accent5 31 3" xfId="10911" xr:uid="{00000000-0005-0000-0000-0000D6190000}"/>
    <cellStyle name="20% - Accent5 31 3 2" xfId="22199" xr:uid="{00000000-0005-0000-0000-0000D7190000}"/>
    <cellStyle name="20% - Accent5 31 4" xfId="8917" xr:uid="{00000000-0005-0000-0000-0000D8190000}"/>
    <cellStyle name="20% - Accent5 31 4 2" xfId="20205" xr:uid="{00000000-0005-0000-0000-0000D9190000}"/>
    <cellStyle name="20% - Accent5 31 5" xfId="6923" xr:uid="{00000000-0005-0000-0000-0000DA190000}"/>
    <cellStyle name="20% - Accent5 31 5 2" xfId="18211" xr:uid="{00000000-0005-0000-0000-0000DB190000}"/>
    <cellStyle name="20% - Accent5 31 6" xfId="4929" xr:uid="{00000000-0005-0000-0000-0000DC190000}"/>
    <cellStyle name="20% - Accent5 31 6 2" xfId="16217" xr:uid="{00000000-0005-0000-0000-0000DD190000}"/>
    <cellStyle name="20% - Accent5 31 7" xfId="14223" xr:uid="{00000000-0005-0000-0000-0000DE190000}"/>
    <cellStyle name="20% - Accent5 31 8" xfId="12909" xr:uid="{00000000-0005-0000-0000-0000DF190000}"/>
    <cellStyle name="20% - Accent5 32" xfId="974" xr:uid="{00000000-0005-0000-0000-0000E0190000}"/>
    <cellStyle name="20% - Accent5 32 2" xfId="3930" xr:uid="{00000000-0005-0000-0000-0000E1190000}"/>
    <cellStyle name="20% - Accent5 32 2 2" xfId="11909" xr:uid="{00000000-0005-0000-0000-0000E2190000}"/>
    <cellStyle name="20% - Accent5 32 2 2 2" xfId="23197" xr:uid="{00000000-0005-0000-0000-0000E3190000}"/>
    <cellStyle name="20% - Accent5 32 2 3" xfId="9915" xr:uid="{00000000-0005-0000-0000-0000E4190000}"/>
    <cellStyle name="20% - Accent5 32 2 3 2" xfId="21203" xr:uid="{00000000-0005-0000-0000-0000E5190000}"/>
    <cellStyle name="20% - Accent5 32 2 4" xfId="7921" xr:uid="{00000000-0005-0000-0000-0000E6190000}"/>
    <cellStyle name="20% - Accent5 32 2 4 2" xfId="19209" xr:uid="{00000000-0005-0000-0000-0000E7190000}"/>
    <cellStyle name="20% - Accent5 32 2 5" xfId="5927" xr:uid="{00000000-0005-0000-0000-0000E8190000}"/>
    <cellStyle name="20% - Accent5 32 2 5 2" xfId="17215" xr:uid="{00000000-0005-0000-0000-0000E9190000}"/>
    <cellStyle name="20% - Accent5 32 2 6" xfId="15221" xr:uid="{00000000-0005-0000-0000-0000EA190000}"/>
    <cellStyle name="20% - Accent5 32 3" xfId="10912" xr:uid="{00000000-0005-0000-0000-0000EB190000}"/>
    <cellStyle name="20% - Accent5 32 3 2" xfId="22200" xr:uid="{00000000-0005-0000-0000-0000EC190000}"/>
    <cellStyle name="20% - Accent5 32 4" xfId="8918" xr:uid="{00000000-0005-0000-0000-0000ED190000}"/>
    <cellStyle name="20% - Accent5 32 4 2" xfId="20206" xr:uid="{00000000-0005-0000-0000-0000EE190000}"/>
    <cellStyle name="20% - Accent5 32 5" xfId="6924" xr:uid="{00000000-0005-0000-0000-0000EF190000}"/>
    <cellStyle name="20% - Accent5 32 5 2" xfId="18212" xr:uid="{00000000-0005-0000-0000-0000F0190000}"/>
    <cellStyle name="20% - Accent5 32 6" xfId="4930" xr:uid="{00000000-0005-0000-0000-0000F1190000}"/>
    <cellStyle name="20% - Accent5 32 6 2" xfId="16218" xr:uid="{00000000-0005-0000-0000-0000F2190000}"/>
    <cellStyle name="20% - Accent5 32 7" xfId="14224" xr:uid="{00000000-0005-0000-0000-0000F3190000}"/>
    <cellStyle name="20% - Accent5 32 8" xfId="12910" xr:uid="{00000000-0005-0000-0000-0000F4190000}"/>
    <cellStyle name="20% - Accent5 33" xfId="975" xr:uid="{00000000-0005-0000-0000-0000F5190000}"/>
    <cellStyle name="20% - Accent5 33 2" xfId="3931" xr:uid="{00000000-0005-0000-0000-0000F6190000}"/>
    <cellStyle name="20% - Accent5 33 2 2" xfId="11910" xr:uid="{00000000-0005-0000-0000-0000F7190000}"/>
    <cellStyle name="20% - Accent5 33 2 2 2" xfId="23198" xr:uid="{00000000-0005-0000-0000-0000F8190000}"/>
    <cellStyle name="20% - Accent5 33 2 3" xfId="9916" xr:uid="{00000000-0005-0000-0000-0000F9190000}"/>
    <cellStyle name="20% - Accent5 33 2 3 2" xfId="21204" xr:uid="{00000000-0005-0000-0000-0000FA190000}"/>
    <cellStyle name="20% - Accent5 33 2 4" xfId="7922" xr:uid="{00000000-0005-0000-0000-0000FB190000}"/>
    <cellStyle name="20% - Accent5 33 2 4 2" xfId="19210" xr:uid="{00000000-0005-0000-0000-0000FC190000}"/>
    <cellStyle name="20% - Accent5 33 2 5" xfId="5928" xr:uid="{00000000-0005-0000-0000-0000FD190000}"/>
    <cellStyle name="20% - Accent5 33 2 5 2" xfId="17216" xr:uid="{00000000-0005-0000-0000-0000FE190000}"/>
    <cellStyle name="20% - Accent5 33 2 6" xfId="15222" xr:uid="{00000000-0005-0000-0000-0000FF190000}"/>
    <cellStyle name="20% - Accent5 33 3" xfId="10913" xr:uid="{00000000-0005-0000-0000-0000001A0000}"/>
    <cellStyle name="20% - Accent5 33 3 2" xfId="22201" xr:uid="{00000000-0005-0000-0000-0000011A0000}"/>
    <cellStyle name="20% - Accent5 33 4" xfId="8919" xr:uid="{00000000-0005-0000-0000-0000021A0000}"/>
    <cellStyle name="20% - Accent5 33 4 2" xfId="20207" xr:uid="{00000000-0005-0000-0000-0000031A0000}"/>
    <cellStyle name="20% - Accent5 33 5" xfId="6925" xr:uid="{00000000-0005-0000-0000-0000041A0000}"/>
    <cellStyle name="20% - Accent5 33 5 2" xfId="18213" xr:uid="{00000000-0005-0000-0000-0000051A0000}"/>
    <cellStyle name="20% - Accent5 33 6" xfId="4931" xr:uid="{00000000-0005-0000-0000-0000061A0000}"/>
    <cellStyle name="20% - Accent5 33 6 2" xfId="16219" xr:uid="{00000000-0005-0000-0000-0000071A0000}"/>
    <cellStyle name="20% - Accent5 33 7" xfId="14225" xr:uid="{00000000-0005-0000-0000-0000081A0000}"/>
    <cellStyle name="20% - Accent5 33 8" xfId="12911" xr:uid="{00000000-0005-0000-0000-0000091A0000}"/>
    <cellStyle name="20% - Accent5 34" xfId="976" xr:uid="{00000000-0005-0000-0000-00000A1A0000}"/>
    <cellStyle name="20% - Accent5 34 2" xfId="3932" xr:uid="{00000000-0005-0000-0000-00000B1A0000}"/>
    <cellStyle name="20% - Accent5 34 2 2" xfId="11911" xr:uid="{00000000-0005-0000-0000-00000C1A0000}"/>
    <cellStyle name="20% - Accent5 34 2 2 2" xfId="23199" xr:uid="{00000000-0005-0000-0000-00000D1A0000}"/>
    <cellStyle name="20% - Accent5 34 2 3" xfId="9917" xr:uid="{00000000-0005-0000-0000-00000E1A0000}"/>
    <cellStyle name="20% - Accent5 34 2 3 2" xfId="21205" xr:uid="{00000000-0005-0000-0000-00000F1A0000}"/>
    <cellStyle name="20% - Accent5 34 2 4" xfId="7923" xr:uid="{00000000-0005-0000-0000-0000101A0000}"/>
    <cellStyle name="20% - Accent5 34 2 4 2" xfId="19211" xr:uid="{00000000-0005-0000-0000-0000111A0000}"/>
    <cellStyle name="20% - Accent5 34 2 5" xfId="5929" xr:uid="{00000000-0005-0000-0000-0000121A0000}"/>
    <cellStyle name="20% - Accent5 34 2 5 2" xfId="17217" xr:uid="{00000000-0005-0000-0000-0000131A0000}"/>
    <cellStyle name="20% - Accent5 34 2 6" xfId="15223" xr:uid="{00000000-0005-0000-0000-0000141A0000}"/>
    <cellStyle name="20% - Accent5 34 3" xfId="10914" xr:uid="{00000000-0005-0000-0000-0000151A0000}"/>
    <cellStyle name="20% - Accent5 34 3 2" xfId="22202" xr:uid="{00000000-0005-0000-0000-0000161A0000}"/>
    <cellStyle name="20% - Accent5 34 4" xfId="8920" xr:uid="{00000000-0005-0000-0000-0000171A0000}"/>
    <cellStyle name="20% - Accent5 34 4 2" xfId="20208" xr:uid="{00000000-0005-0000-0000-0000181A0000}"/>
    <cellStyle name="20% - Accent5 34 5" xfId="6926" xr:uid="{00000000-0005-0000-0000-0000191A0000}"/>
    <cellStyle name="20% - Accent5 34 5 2" xfId="18214" xr:uid="{00000000-0005-0000-0000-00001A1A0000}"/>
    <cellStyle name="20% - Accent5 34 6" xfId="4932" xr:uid="{00000000-0005-0000-0000-00001B1A0000}"/>
    <cellStyle name="20% - Accent5 34 6 2" xfId="16220" xr:uid="{00000000-0005-0000-0000-00001C1A0000}"/>
    <cellStyle name="20% - Accent5 34 7" xfId="14226" xr:uid="{00000000-0005-0000-0000-00001D1A0000}"/>
    <cellStyle name="20% - Accent5 34 8" xfId="12912" xr:uid="{00000000-0005-0000-0000-00001E1A0000}"/>
    <cellStyle name="20% - Accent5 35" xfId="977" xr:uid="{00000000-0005-0000-0000-00001F1A0000}"/>
    <cellStyle name="20% - Accent5 35 2" xfId="3933" xr:uid="{00000000-0005-0000-0000-0000201A0000}"/>
    <cellStyle name="20% - Accent5 35 2 2" xfId="11912" xr:uid="{00000000-0005-0000-0000-0000211A0000}"/>
    <cellStyle name="20% - Accent5 35 2 2 2" xfId="23200" xr:uid="{00000000-0005-0000-0000-0000221A0000}"/>
    <cellStyle name="20% - Accent5 35 2 3" xfId="9918" xr:uid="{00000000-0005-0000-0000-0000231A0000}"/>
    <cellStyle name="20% - Accent5 35 2 3 2" xfId="21206" xr:uid="{00000000-0005-0000-0000-0000241A0000}"/>
    <cellStyle name="20% - Accent5 35 2 4" xfId="7924" xr:uid="{00000000-0005-0000-0000-0000251A0000}"/>
    <cellStyle name="20% - Accent5 35 2 4 2" xfId="19212" xr:uid="{00000000-0005-0000-0000-0000261A0000}"/>
    <cellStyle name="20% - Accent5 35 2 5" xfId="5930" xr:uid="{00000000-0005-0000-0000-0000271A0000}"/>
    <cellStyle name="20% - Accent5 35 2 5 2" xfId="17218" xr:uid="{00000000-0005-0000-0000-0000281A0000}"/>
    <cellStyle name="20% - Accent5 35 2 6" xfId="15224" xr:uid="{00000000-0005-0000-0000-0000291A0000}"/>
    <cellStyle name="20% - Accent5 35 3" xfId="10915" xr:uid="{00000000-0005-0000-0000-00002A1A0000}"/>
    <cellStyle name="20% - Accent5 35 3 2" xfId="22203" xr:uid="{00000000-0005-0000-0000-00002B1A0000}"/>
    <cellStyle name="20% - Accent5 35 4" xfId="8921" xr:uid="{00000000-0005-0000-0000-00002C1A0000}"/>
    <cellStyle name="20% - Accent5 35 4 2" xfId="20209" xr:uid="{00000000-0005-0000-0000-00002D1A0000}"/>
    <cellStyle name="20% - Accent5 35 5" xfId="6927" xr:uid="{00000000-0005-0000-0000-00002E1A0000}"/>
    <cellStyle name="20% - Accent5 35 5 2" xfId="18215" xr:uid="{00000000-0005-0000-0000-00002F1A0000}"/>
    <cellStyle name="20% - Accent5 35 6" xfId="4933" xr:uid="{00000000-0005-0000-0000-0000301A0000}"/>
    <cellStyle name="20% - Accent5 35 6 2" xfId="16221" xr:uid="{00000000-0005-0000-0000-0000311A0000}"/>
    <cellStyle name="20% - Accent5 35 7" xfId="14227" xr:uid="{00000000-0005-0000-0000-0000321A0000}"/>
    <cellStyle name="20% - Accent5 35 8" xfId="12913" xr:uid="{00000000-0005-0000-0000-0000331A0000}"/>
    <cellStyle name="20% - Accent5 36" xfId="978" xr:uid="{00000000-0005-0000-0000-0000341A0000}"/>
    <cellStyle name="20% - Accent5 36 2" xfId="3934" xr:uid="{00000000-0005-0000-0000-0000351A0000}"/>
    <cellStyle name="20% - Accent5 36 2 2" xfId="11913" xr:uid="{00000000-0005-0000-0000-0000361A0000}"/>
    <cellStyle name="20% - Accent5 36 2 2 2" xfId="23201" xr:uid="{00000000-0005-0000-0000-0000371A0000}"/>
    <cellStyle name="20% - Accent5 36 2 3" xfId="9919" xr:uid="{00000000-0005-0000-0000-0000381A0000}"/>
    <cellStyle name="20% - Accent5 36 2 3 2" xfId="21207" xr:uid="{00000000-0005-0000-0000-0000391A0000}"/>
    <cellStyle name="20% - Accent5 36 2 4" xfId="7925" xr:uid="{00000000-0005-0000-0000-00003A1A0000}"/>
    <cellStyle name="20% - Accent5 36 2 4 2" xfId="19213" xr:uid="{00000000-0005-0000-0000-00003B1A0000}"/>
    <cellStyle name="20% - Accent5 36 2 5" xfId="5931" xr:uid="{00000000-0005-0000-0000-00003C1A0000}"/>
    <cellStyle name="20% - Accent5 36 2 5 2" xfId="17219" xr:uid="{00000000-0005-0000-0000-00003D1A0000}"/>
    <cellStyle name="20% - Accent5 36 2 6" xfId="15225" xr:uid="{00000000-0005-0000-0000-00003E1A0000}"/>
    <cellStyle name="20% - Accent5 36 3" xfId="10916" xr:uid="{00000000-0005-0000-0000-00003F1A0000}"/>
    <cellStyle name="20% - Accent5 36 3 2" xfId="22204" xr:uid="{00000000-0005-0000-0000-0000401A0000}"/>
    <cellStyle name="20% - Accent5 36 4" xfId="8922" xr:uid="{00000000-0005-0000-0000-0000411A0000}"/>
    <cellStyle name="20% - Accent5 36 4 2" xfId="20210" xr:uid="{00000000-0005-0000-0000-0000421A0000}"/>
    <cellStyle name="20% - Accent5 36 5" xfId="6928" xr:uid="{00000000-0005-0000-0000-0000431A0000}"/>
    <cellStyle name="20% - Accent5 36 5 2" xfId="18216" xr:uid="{00000000-0005-0000-0000-0000441A0000}"/>
    <cellStyle name="20% - Accent5 36 6" xfId="4934" xr:uid="{00000000-0005-0000-0000-0000451A0000}"/>
    <cellStyle name="20% - Accent5 36 6 2" xfId="16222" xr:uid="{00000000-0005-0000-0000-0000461A0000}"/>
    <cellStyle name="20% - Accent5 36 7" xfId="14228" xr:uid="{00000000-0005-0000-0000-0000471A0000}"/>
    <cellStyle name="20% - Accent5 36 8" xfId="12914" xr:uid="{00000000-0005-0000-0000-0000481A0000}"/>
    <cellStyle name="20% - Accent5 37" xfId="979" xr:uid="{00000000-0005-0000-0000-0000491A0000}"/>
    <cellStyle name="20% - Accent5 37 2" xfId="3935" xr:uid="{00000000-0005-0000-0000-00004A1A0000}"/>
    <cellStyle name="20% - Accent5 37 2 2" xfId="11914" xr:uid="{00000000-0005-0000-0000-00004B1A0000}"/>
    <cellStyle name="20% - Accent5 37 2 2 2" xfId="23202" xr:uid="{00000000-0005-0000-0000-00004C1A0000}"/>
    <cellStyle name="20% - Accent5 37 2 3" xfId="9920" xr:uid="{00000000-0005-0000-0000-00004D1A0000}"/>
    <cellStyle name="20% - Accent5 37 2 3 2" xfId="21208" xr:uid="{00000000-0005-0000-0000-00004E1A0000}"/>
    <cellStyle name="20% - Accent5 37 2 4" xfId="7926" xr:uid="{00000000-0005-0000-0000-00004F1A0000}"/>
    <cellStyle name="20% - Accent5 37 2 4 2" xfId="19214" xr:uid="{00000000-0005-0000-0000-0000501A0000}"/>
    <cellStyle name="20% - Accent5 37 2 5" xfId="5932" xr:uid="{00000000-0005-0000-0000-0000511A0000}"/>
    <cellStyle name="20% - Accent5 37 2 5 2" xfId="17220" xr:uid="{00000000-0005-0000-0000-0000521A0000}"/>
    <cellStyle name="20% - Accent5 37 2 6" xfId="15226" xr:uid="{00000000-0005-0000-0000-0000531A0000}"/>
    <cellStyle name="20% - Accent5 37 3" xfId="10917" xr:uid="{00000000-0005-0000-0000-0000541A0000}"/>
    <cellStyle name="20% - Accent5 37 3 2" xfId="22205" xr:uid="{00000000-0005-0000-0000-0000551A0000}"/>
    <cellStyle name="20% - Accent5 37 4" xfId="8923" xr:uid="{00000000-0005-0000-0000-0000561A0000}"/>
    <cellStyle name="20% - Accent5 37 4 2" xfId="20211" xr:uid="{00000000-0005-0000-0000-0000571A0000}"/>
    <cellStyle name="20% - Accent5 37 5" xfId="6929" xr:uid="{00000000-0005-0000-0000-0000581A0000}"/>
    <cellStyle name="20% - Accent5 37 5 2" xfId="18217" xr:uid="{00000000-0005-0000-0000-0000591A0000}"/>
    <cellStyle name="20% - Accent5 37 6" xfId="4935" xr:uid="{00000000-0005-0000-0000-00005A1A0000}"/>
    <cellStyle name="20% - Accent5 37 6 2" xfId="16223" xr:uid="{00000000-0005-0000-0000-00005B1A0000}"/>
    <cellStyle name="20% - Accent5 37 7" xfId="14229" xr:uid="{00000000-0005-0000-0000-00005C1A0000}"/>
    <cellStyle name="20% - Accent5 37 8" xfId="12915" xr:uid="{00000000-0005-0000-0000-00005D1A0000}"/>
    <cellStyle name="20% - Accent5 38" xfId="980" xr:uid="{00000000-0005-0000-0000-00005E1A0000}"/>
    <cellStyle name="20% - Accent5 38 2" xfId="3936" xr:uid="{00000000-0005-0000-0000-00005F1A0000}"/>
    <cellStyle name="20% - Accent5 38 2 2" xfId="11915" xr:uid="{00000000-0005-0000-0000-0000601A0000}"/>
    <cellStyle name="20% - Accent5 38 2 2 2" xfId="23203" xr:uid="{00000000-0005-0000-0000-0000611A0000}"/>
    <cellStyle name="20% - Accent5 38 2 3" xfId="9921" xr:uid="{00000000-0005-0000-0000-0000621A0000}"/>
    <cellStyle name="20% - Accent5 38 2 3 2" xfId="21209" xr:uid="{00000000-0005-0000-0000-0000631A0000}"/>
    <cellStyle name="20% - Accent5 38 2 4" xfId="7927" xr:uid="{00000000-0005-0000-0000-0000641A0000}"/>
    <cellStyle name="20% - Accent5 38 2 4 2" xfId="19215" xr:uid="{00000000-0005-0000-0000-0000651A0000}"/>
    <cellStyle name="20% - Accent5 38 2 5" xfId="5933" xr:uid="{00000000-0005-0000-0000-0000661A0000}"/>
    <cellStyle name="20% - Accent5 38 2 5 2" xfId="17221" xr:uid="{00000000-0005-0000-0000-0000671A0000}"/>
    <cellStyle name="20% - Accent5 38 2 6" xfId="15227" xr:uid="{00000000-0005-0000-0000-0000681A0000}"/>
    <cellStyle name="20% - Accent5 38 3" xfId="10918" xr:uid="{00000000-0005-0000-0000-0000691A0000}"/>
    <cellStyle name="20% - Accent5 38 3 2" xfId="22206" xr:uid="{00000000-0005-0000-0000-00006A1A0000}"/>
    <cellStyle name="20% - Accent5 38 4" xfId="8924" xr:uid="{00000000-0005-0000-0000-00006B1A0000}"/>
    <cellStyle name="20% - Accent5 38 4 2" xfId="20212" xr:uid="{00000000-0005-0000-0000-00006C1A0000}"/>
    <cellStyle name="20% - Accent5 38 5" xfId="6930" xr:uid="{00000000-0005-0000-0000-00006D1A0000}"/>
    <cellStyle name="20% - Accent5 38 5 2" xfId="18218" xr:uid="{00000000-0005-0000-0000-00006E1A0000}"/>
    <cellStyle name="20% - Accent5 38 6" xfId="4936" xr:uid="{00000000-0005-0000-0000-00006F1A0000}"/>
    <cellStyle name="20% - Accent5 38 6 2" xfId="16224" xr:uid="{00000000-0005-0000-0000-0000701A0000}"/>
    <cellStyle name="20% - Accent5 38 7" xfId="14230" xr:uid="{00000000-0005-0000-0000-0000711A0000}"/>
    <cellStyle name="20% - Accent5 38 8" xfId="12916" xr:uid="{00000000-0005-0000-0000-0000721A0000}"/>
    <cellStyle name="20% - Accent5 39" xfId="981" xr:uid="{00000000-0005-0000-0000-0000731A0000}"/>
    <cellStyle name="20% - Accent5 39 2" xfId="3937" xr:uid="{00000000-0005-0000-0000-0000741A0000}"/>
    <cellStyle name="20% - Accent5 39 2 2" xfId="11916" xr:uid="{00000000-0005-0000-0000-0000751A0000}"/>
    <cellStyle name="20% - Accent5 39 2 2 2" xfId="23204" xr:uid="{00000000-0005-0000-0000-0000761A0000}"/>
    <cellStyle name="20% - Accent5 39 2 3" xfId="9922" xr:uid="{00000000-0005-0000-0000-0000771A0000}"/>
    <cellStyle name="20% - Accent5 39 2 3 2" xfId="21210" xr:uid="{00000000-0005-0000-0000-0000781A0000}"/>
    <cellStyle name="20% - Accent5 39 2 4" xfId="7928" xr:uid="{00000000-0005-0000-0000-0000791A0000}"/>
    <cellStyle name="20% - Accent5 39 2 4 2" xfId="19216" xr:uid="{00000000-0005-0000-0000-00007A1A0000}"/>
    <cellStyle name="20% - Accent5 39 2 5" xfId="5934" xr:uid="{00000000-0005-0000-0000-00007B1A0000}"/>
    <cellStyle name="20% - Accent5 39 2 5 2" xfId="17222" xr:uid="{00000000-0005-0000-0000-00007C1A0000}"/>
    <cellStyle name="20% - Accent5 39 2 6" xfId="15228" xr:uid="{00000000-0005-0000-0000-00007D1A0000}"/>
    <cellStyle name="20% - Accent5 39 3" xfId="10919" xr:uid="{00000000-0005-0000-0000-00007E1A0000}"/>
    <cellStyle name="20% - Accent5 39 3 2" xfId="22207" xr:uid="{00000000-0005-0000-0000-00007F1A0000}"/>
    <cellStyle name="20% - Accent5 39 4" xfId="8925" xr:uid="{00000000-0005-0000-0000-0000801A0000}"/>
    <cellStyle name="20% - Accent5 39 4 2" xfId="20213" xr:uid="{00000000-0005-0000-0000-0000811A0000}"/>
    <cellStyle name="20% - Accent5 39 5" xfId="6931" xr:uid="{00000000-0005-0000-0000-0000821A0000}"/>
    <cellStyle name="20% - Accent5 39 5 2" xfId="18219" xr:uid="{00000000-0005-0000-0000-0000831A0000}"/>
    <cellStyle name="20% - Accent5 39 6" xfId="4937" xr:uid="{00000000-0005-0000-0000-0000841A0000}"/>
    <cellStyle name="20% - Accent5 39 6 2" xfId="16225" xr:uid="{00000000-0005-0000-0000-0000851A0000}"/>
    <cellStyle name="20% - Accent5 39 7" xfId="14231" xr:uid="{00000000-0005-0000-0000-0000861A0000}"/>
    <cellStyle name="20% - Accent5 39 8" xfId="12917" xr:uid="{00000000-0005-0000-0000-0000871A0000}"/>
    <cellStyle name="20% - Accent5 4" xfId="982" xr:uid="{00000000-0005-0000-0000-0000881A0000}"/>
    <cellStyle name="20% - Accent5 4 10" xfId="24585" xr:uid="{00000000-0005-0000-0000-0000891A0000}"/>
    <cellStyle name="20% - Accent5 4 11" xfId="24975" xr:uid="{00000000-0005-0000-0000-00008A1A0000}"/>
    <cellStyle name="20% - Accent5 4 2" xfId="3938" xr:uid="{00000000-0005-0000-0000-00008B1A0000}"/>
    <cellStyle name="20% - Accent5 4 2 2" xfId="11917" xr:uid="{00000000-0005-0000-0000-00008C1A0000}"/>
    <cellStyle name="20% - Accent5 4 2 2 2" xfId="23205" xr:uid="{00000000-0005-0000-0000-00008D1A0000}"/>
    <cellStyle name="20% - Accent5 4 2 3" xfId="9923" xr:uid="{00000000-0005-0000-0000-00008E1A0000}"/>
    <cellStyle name="20% - Accent5 4 2 3 2" xfId="21211" xr:uid="{00000000-0005-0000-0000-00008F1A0000}"/>
    <cellStyle name="20% - Accent5 4 2 4" xfId="7929" xr:uid="{00000000-0005-0000-0000-0000901A0000}"/>
    <cellStyle name="20% - Accent5 4 2 4 2" xfId="19217" xr:uid="{00000000-0005-0000-0000-0000911A0000}"/>
    <cellStyle name="20% - Accent5 4 2 5" xfId="5935" xr:uid="{00000000-0005-0000-0000-0000921A0000}"/>
    <cellStyle name="20% - Accent5 4 2 5 2" xfId="17223" xr:uid="{00000000-0005-0000-0000-0000931A0000}"/>
    <cellStyle name="20% - Accent5 4 2 6" xfId="15229" xr:uid="{00000000-0005-0000-0000-0000941A0000}"/>
    <cellStyle name="20% - Accent5 4 2 7" xfId="24346" xr:uid="{00000000-0005-0000-0000-0000951A0000}"/>
    <cellStyle name="20% - Accent5 4 2 8" xfId="24810" xr:uid="{00000000-0005-0000-0000-0000961A0000}"/>
    <cellStyle name="20% - Accent5 4 2 9" xfId="25177" xr:uid="{00000000-0005-0000-0000-0000971A0000}"/>
    <cellStyle name="20% - Accent5 4 3" xfId="10920" xr:uid="{00000000-0005-0000-0000-0000981A0000}"/>
    <cellStyle name="20% - Accent5 4 3 2" xfId="22208" xr:uid="{00000000-0005-0000-0000-0000991A0000}"/>
    <cellStyle name="20% - Accent5 4 4" xfId="8926" xr:uid="{00000000-0005-0000-0000-00009A1A0000}"/>
    <cellStyle name="20% - Accent5 4 4 2" xfId="20214" xr:uid="{00000000-0005-0000-0000-00009B1A0000}"/>
    <cellStyle name="20% - Accent5 4 5" xfId="6932" xr:uid="{00000000-0005-0000-0000-00009C1A0000}"/>
    <cellStyle name="20% - Accent5 4 5 2" xfId="18220" xr:uid="{00000000-0005-0000-0000-00009D1A0000}"/>
    <cellStyle name="20% - Accent5 4 6" xfId="4938" xr:uid="{00000000-0005-0000-0000-00009E1A0000}"/>
    <cellStyle name="20% - Accent5 4 6 2" xfId="16226" xr:uid="{00000000-0005-0000-0000-00009F1A0000}"/>
    <cellStyle name="20% - Accent5 4 7" xfId="14232" xr:uid="{00000000-0005-0000-0000-0000A01A0000}"/>
    <cellStyle name="20% - Accent5 4 8" xfId="12918" xr:uid="{00000000-0005-0000-0000-0000A11A0000}"/>
    <cellStyle name="20% - Accent5 4 9" xfId="23958" xr:uid="{00000000-0005-0000-0000-0000A21A0000}"/>
    <cellStyle name="20% - Accent5 40" xfId="983" xr:uid="{00000000-0005-0000-0000-0000A31A0000}"/>
    <cellStyle name="20% - Accent5 40 2" xfId="3939" xr:uid="{00000000-0005-0000-0000-0000A41A0000}"/>
    <cellStyle name="20% - Accent5 40 2 2" xfId="11918" xr:uid="{00000000-0005-0000-0000-0000A51A0000}"/>
    <cellStyle name="20% - Accent5 40 2 2 2" xfId="23206" xr:uid="{00000000-0005-0000-0000-0000A61A0000}"/>
    <cellStyle name="20% - Accent5 40 2 3" xfId="9924" xr:uid="{00000000-0005-0000-0000-0000A71A0000}"/>
    <cellStyle name="20% - Accent5 40 2 3 2" xfId="21212" xr:uid="{00000000-0005-0000-0000-0000A81A0000}"/>
    <cellStyle name="20% - Accent5 40 2 4" xfId="7930" xr:uid="{00000000-0005-0000-0000-0000A91A0000}"/>
    <cellStyle name="20% - Accent5 40 2 4 2" xfId="19218" xr:uid="{00000000-0005-0000-0000-0000AA1A0000}"/>
    <cellStyle name="20% - Accent5 40 2 5" xfId="5936" xr:uid="{00000000-0005-0000-0000-0000AB1A0000}"/>
    <cellStyle name="20% - Accent5 40 2 5 2" xfId="17224" xr:uid="{00000000-0005-0000-0000-0000AC1A0000}"/>
    <cellStyle name="20% - Accent5 40 2 6" xfId="15230" xr:uid="{00000000-0005-0000-0000-0000AD1A0000}"/>
    <cellStyle name="20% - Accent5 40 3" xfId="10921" xr:uid="{00000000-0005-0000-0000-0000AE1A0000}"/>
    <cellStyle name="20% - Accent5 40 3 2" xfId="22209" xr:uid="{00000000-0005-0000-0000-0000AF1A0000}"/>
    <cellStyle name="20% - Accent5 40 4" xfId="8927" xr:uid="{00000000-0005-0000-0000-0000B01A0000}"/>
    <cellStyle name="20% - Accent5 40 4 2" xfId="20215" xr:uid="{00000000-0005-0000-0000-0000B11A0000}"/>
    <cellStyle name="20% - Accent5 40 5" xfId="6933" xr:uid="{00000000-0005-0000-0000-0000B21A0000}"/>
    <cellStyle name="20% - Accent5 40 5 2" xfId="18221" xr:uid="{00000000-0005-0000-0000-0000B31A0000}"/>
    <cellStyle name="20% - Accent5 40 6" xfId="4939" xr:uid="{00000000-0005-0000-0000-0000B41A0000}"/>
    <cellStyle name="20% - Accent5 40 6 2" xfId="16227" xr:uid="{00000000-0005-0000-0000-0000B51A0000}"/>
    <cellStyle name="20% - Accent5 40 7" xfId="14233" xr:uid="{00000000-0005-0000-0000-0000B61A0000}"/>
    <cellStyle name="20% - Accent5 40 8" xfId="12919" xr:uid="{00000000-0005-0000-0000-0000B71A0000}"/>
    <cellStyle name="20% - Accent5 41" xfId="984" xr:uid="{00000000-0005-0000-0000-0000B81A0000}"/>
    <cellStyle name="20% - Accent5 41 2" xfId="3940" xr:uid="{00000000-0005-0000-0000-0000B91A0000}"/>
    <cellStyle name="20% - Accent5 41 2 2" xfId="11919" xr:uid="{00000000-0005-0000-0000-0000BA1A0000}"/>
    <cellStyle name="20% - Accent5 41 2 2 2" xfId="23207" xr:uid="{00000000-0005-0000-0000-0000BB1A0000}"/>
    <cellStyle name="20% - Accent5 41 2 3" xfId="9925" xr:uid="{00000000-0005-0000-0000-0000BC1A0000}"/>
    <cellStyle name="20% - Accent5 41 2 3 2" xfId="21213" xr:uid="{00000000-0005-0000-0000-0000BD1A0000}"/>
    <cellStyle name="20% - Accent5 41 2 4" xfId="7931" xr:uid="{00000000-0005-0000-0000-0000BE1A0000}"/>
    <cellStyle name="20% - Accent5 41 2 4 2" xfId="19219" xr:uid="{00000000-0005-0000-0000-0000BF1A0000}"/>
    <cellStyle name="20% - Accent5 41 2 5" xfId="5937" xr:uid="{00000000-0005-0000-0000-0000C01A0000}"/>
    <cellStyle name="20% - Accent5 41 2 5 2" xfId="17225" xr:uid="{00000000-0005-0000-0000-0000C11A0000}"/>
    <cellStyle name="20% - Accent5 41 2 6" xfId="15231" xr:uid="{00000000-0005-0000-0000-0000C21A0000}"/>
    <cellStyle name="20% - Accent5 41 3" xfId="10922" xr:uid="{00000000-0005-0000-0000-0000C31A0000}"/>
    <cellStyle name="20% - Accent5 41 3 2" xfId="22210" xr:uid="{00000000-0005-0000-0000-0000C41A0000}"/>
    <cellStyle name="20% - Accent5 41 4" xfId="8928" xr:uid="{00000000-0005-0000-0000-0000C51A0000}"/>
    <cellStyle name="20% - Accent5 41 4 2" xfId="20216" xr:uid="{00000000-0005-0000-0000-0000C61A0000}"/>
    <cellStyle name="20% - Accent5 41 5" xfId="6934" xr:uid="{00000000-0005-0000-0000-0000C71A0000}"/>
    <cellStyle name="20% - Accent5 41 5 2" xfId="18222" xr:uid="{00000000-0005-0000-0000-0000C81A0000}"/>
    <cellStyle name="20% - Accent5 41 6" xfId="4940" xr:uid="{00000000-0005-0000-0000-0000C91A0000}"/>
    <cellStyle name="20% - Accent5 41 6 2" xfId="16228" xr:uid="{00000000-0005-0000-0000-0000CA1A0000}"/>
    <cellStyle name="20% - Accent5 41 7" xfId="14234" xr:uid="{00000000-0005-0000-0000-0000CB1A0000}"/>
    <cellStyle name="20% - Accent5 41 8" xfId="12920" xr:uid="{00000000-0005-0000-0000-0000CC1A0000}"/>
    <cellStyle name="20% - Accent5 42" xfId="985" xr:uid="{00000000-0005-0000-0000-0000CD1A0000}"/>
    <cellStyle name="20% - Accent5 42 2" xfId="3941" xr:uid="{00000000-0005-0000-0000-0000CE1A0000}"/>
    <cellStyle name="20% - Accent5 42 2 2" xfId="11920" xr:uid="{00000000-0005-0000-0000-0000CF1A0000}"/>
    <cellStyle name="20% - Accent5 42 2 2 2" xfId="23208" xr:uid="{00000000-0005-0000-0000-0000D01A0000}"/>
    <cellStyle name="20% - Accent5 42 2 3" xfId="9926" xr:uid="{00000000-0005-0000-0000-0000D11A0000}"/>
    <cellStyle name="20% - Accent5 42 2 3 2" xfId="21214" xr:uid="{00000000-0005-0000-0000-0000D21A0000}"/>
    <cellStyle name="20% - Accent5 42 2 4" xfId="7932" xr:uid="{00000000-0005-0000-0000-0000D31A0000}"/>
    <cellStyle name="20% - Accent5 42 2 4 2" xfId="19220" xr:uid="{00000000-0005-0000-0000-0000D41A0000}"/>
    <cellStyle name="20% - Accent5 42 2 5" xfId="5938" xr:uid="{00000000-0005-0000-0000-0000D51A0000}"/>
    <cellStyle name="20% - Accent5 42 2 5 2" xfId="17226" xr:uid="{00000000-0005-0000-0000-0000D61A0000}"/>
    <cellStyle name="20% - Accent5 42 2 6" xfId="15232" xr:uid="{00000000-0005-0000-0000-0000D71A0000}"/>
    <cellStyle name="20% - Accent5 42 3" xfId="10923" xr:uid="{00000000-0005-0000-0000-0000D81A0000}"/>
    <cellStyle name="20% - Accent5 42 3 2" xfId="22211" xr:uid="{00000000-0005-0000-0000-0000D91A0000}"/>
    <cellStyle name="20% - Accent5 42 4" xfId="8929" xr:uid="{00000000-0005-0000-0000-0000DA1A0000}"/>
    <cellStyle name="20% - Accent5 42 4 2" xfId="20217" xr:uid="{00000000-0005-0000-0000-0000DB1A0000}"/>
    <cellStyle name="20% - Accent5 42 5" xfId="6935" xr:uid="{00000000-0005-0000-0000-0000DC1A0000}"/>
    <cellStyle name="20% - Accent5 42 5 2" xfId="18223" xr:uid="{00000000-0005-0000-0000-0000DD1A0000}"/>
    <cellStyle name="20% - Accent5 42 6" xfId="4941" xr:uid="{00000000-0005-0000-0000-0000DE1A0000}"/>
    <cellStyle name="20% - Accent5 42 6 2" xfId="16229" xr:uid="{00000000-0005-0000-0000-0000DF1A0000}"/>
    <cellStyle name="20% - Accent5 42 7" xfId="14235" xr:uid="{00000000-0005-0000-0000-0000E01A0000}"/>
    <cellStyle name="20% - Accent5 42 8" xfId="12921" xr:uid="{00000000-0005-0000-0000-0000E11A0000}"/>
    <cellStyle name="20% - Accent5 43" xfId="986" xr:uid="{00000000-0005-0000-0000-0000E21A0000}"/>
    <cellStyle name="20% - Accent5 43 2" xfId="3942" xr:uid="{00000000-0005-0000-0000-0000E31A0000}"/>
    <cellStyle name="20% - Accent5 43 2 2" xfId="11921" xr:uid="{00000000-0005-0000-0000-0000E41A0000}"/>
    <cellStyle name="20% - Accent5 43 2 2 2" xfId="23209" xr:uid="{00000000-0005-0000-0000-0000E51A0000}"/>
    <cellStyle name="20% - Accent5 43 2 3" xfId="9927" xr:uid="{00000000-0005-0000-0000-0000E61A0000}"/>
    <cellStyle name="20% - Accent5 43 2 3 2" xfId="21215" xr:uid="{00000000-0005-0000-0000-0000E71A0000}"/>
    <cellStyle name="20% - Accent5 43 2 4" xfId="7933" xr:uid="{00000000-0005-0000-0000-0000E81A0000}"/>
    <cellStyle name="20% - Accent5 43 2 4 2" xfId="19221" xr:uid="{00000000-0005-0000-0000-0000E91A0000}"/>
    <cellStyle name="20% - Accent5 43 2 5" xfId="5939" xr:uid="{00000000-0005-0000-0000-0000EA1A0000}"/>
    <cellStyle name="20% - Accent5 43 2 5 2" xfId="17227" xr:uid="{00000000-0005-0000-0000-0000EB1A0000}"/>
    <cellStyle name="20% - Accent5 43 2 6" xfId="15233" xr:uid="{00000000-0005-0000-0000-0000EC1A0000}"/>
    <cellStyle name="20% - Accent5 43 3" xfId="10924" xr:uid="{00000000-0005-0000-0000-0000ED1A0000}"/>
    <cellStyle name="20% - Accent5 43 3 2" xfId="22212" xr:uid="{00000000-0005-0000-0000-0000EE1A0000}"/>
    <cellStyle name="20% - Accent5 43 4" xfId="8930" xr:uid="{00000000-0005-0000-0000-0000EF1A0000}"/>
    <cellStyle name="20% - Accent5 43 4 2" xfId="20218" xr:uid="{00000000-0005-0000-0000-0000F01A0000}"/>
    <cellStyle name="20% - Accent5 43 5" xfId="6936" xr:uid="{00000000-0005-0000-0000-0000F11A0000}"/>
    <cellStyle name="20% - Accent5 43 5 2" xfId="18224" xr:uid="{00000000-0005-0000-0000-0000F21A0000}"/>
    <cellStyle name="20% - Accent5 43 6" xfId="4942" xr:uid="{00000000-0005-0000-0000-0000F31A0000}"/>
    <cellStyle name="20% - Accent5 43 6 2" xfId="16230" xr:uid="{00000000-0005-0000-0000-0000F41A0000}"/>
    <cellStyle name="20% - Accent5 43 7" xfId="14236" xr:uid="{00000000-0005-0000-0000-0000F51A0000}"/>
    <cellStyle name="20% - Accent5 43 8" xfId="12922" xr:uid="{00000000-0005-0000-0000-0000F61A0000}"/>
    <cellStyle name="20% - Accent5 44" xfId="987" xr:uid="{00000000-0005-0000-0000-0000F71A0000}"/>
    <cellStyle name="20% - Accent5 44 2" xfId="3943" xr:uid="{00000000-0005-0000-0000-0000F81A0000}"/>
    <cellStyle name="20% - Accent5 44 2 2" xfId="11922" xr:uid="{00000000-0005-0000-0000-0000F91A0000}"/>
    <cellStyle name="20% - Accent5 44 2 2 2" xfId="23210" xr:uid="{00000000-0005-0000-0000-0000FA1A0000}"/>
    <cellStyle name="20% - Accent5 44 2 3" xfId="9928" xr:uid="{00000000-0005-0000-0000-0000FB1A0000}"/>
    <cellStyle name="20% - Accent5 44 2 3 2" xfId="21216" xr:uid="{00000000-0005-0000-0000-0000FC1A0000}"/>
    <cellStyle name="20% - Accent5 44 2 4" xfId="7934" xr:uid="{00000000-0005-0000-0000-0000FD1A0000}"/>
    <cellStyle name="20% - Accent5 44 2 4 2" xfId="19222" xr:uid="{00000000-0005-0000-0000-0000FE1A0000}"/>
    <cellStyle name="20% - Accent5 44 2 5" xfId="5940" xr:uid="{00000000-0005-0000-0000-0000FF1A0000}"/>
    <cellStyle name="20% - Accent5 44 2 5 2" xfId="17228" xr:uid="{00000000-0005-0000-0000-0000001B0000}"/>
    <cellStyle name="20% - Accent5 44 2 6" xfId="15234" xr:uid="{00000000-0005-0000-0000-0000011B0000}"/>
    <cellStyle name="20% - Accent5 44 3" xfId="10925" xr:uid="{00000000-0005-0000-0000-0000021B0000}"/>
    <cellStyle name="20% - Accent5 44 3 2" xfId="22213" xr:uid="{00000000-0005-0000-0000-0000031B0000}"/>
    <cellStyle name="20% - Accent5 44 4" xfId="8931" xr:uid="{00000000-0005-0000-0000-0000041B0000}"/>
    <cellStyle name="20% - Accent5 44 4 2" xfId="20219" xr:uid="{00000000-0005-0000-0000-0000051B0000}"/>
    <cellStyle name="20% - Accent5 44 5" xfId="6937" xr:uid="{00000000-0005-0000-0000-0000061B0000}"/>
    <cellStyle name="20% - Accent5 44 5 2" xfId="18225" xr:uid="{00000000-0005-0000-0000-0000071B0000}"/>
    <cellStyle name="20% - Accent5 44 6" xfId="4943" xr:uid="{00000000-0005-0000-0000-0000081B0000}"/>
    <cellStyle name="20% - Accent5 44 6 2" xfId="16231" xr:uid="{00000000-0005-0000-0000-0000091B0000}"/>
    <cellStyle name="20% - Accent5 44 7" xfId="14237" xr:uid="{00000000-0005-0000-0000-00000A1B0000}"/>
    <cellStyle name="20% - Accent5 44 8" xfId="12923" xr:uid="{00000000-0005-0000-0000-00000B1B0000}"/>
    <cellStyle name="20% - Accent5 45" xfId="988" xr:uid="{00000000-0005-0000-0000-00000C1B0000}"/>
    <cellStyle name="20% - Accent5 45 2" xfId="3944" xr:uid="{00000000-0005-0000-0000-00000D1B0000}"/>
    <cellStyle name="20% - Accent5 45 2 2" xfId="11923" xr:uid="{00000000-0005-0000-0000-00000E1B0000}"/>
    <cellStyle name="20% - Accent5 45 2 2 2" xfId="23211" xr:uid="{00000000-0005-0000-0000-00000F1B0000}"/>
    <cellStyle name="20% - Accent5 45 2 3" xfId="9929" xr:uid="{00000000-0005-0000-0000-0000101B0000}"/>
    <cellStyle name="20% - Accent5 45 2 3 2" xfId="21217" xr:uid="{00000000-0005-0000-0000-0000111B0000}"/>
    <cellStyle name="20% - Accent5 45 2 4" xfId="7935" xr:uid="{00000000-0005-0000-0000-0000121B0000}"/>
    <cellStyle name="20% - Accent5 45 2 4 2" xfId="19223" xr:uid="{00000000-0005-0000-0000-0000131B0000}"/>
    <cellStyle name="20% - Accent5 45 2 5" xfId="5941" xr:uid="{00000000-0005-0000-0000-0000141B0000}"/>
    <cellStyle name="20% - Accent5 45 2 5 2" xfId="17229" xr:uid="{00000000-0005-0000-0000-0000151B0000}"/>
    <cellStyle name="20% - Accent5 45 2 6" xfId="15235" xr:uid="{00000000-0005-0000-0000-0000161B0000}"/>
    <cellStyle name="20% - Accent5 45 3" xfId="10926" xr:uid="{00000000-0005-0000-0000-0000171B0000}"/>
    <cellStyle name="20% - Accent5 45 3 2" xfId="22214" xr:uid="{00000000-0005-0000-0000-0000181B0000}"/>
    <cellStyle name="20% - Accent5 45 4" xfId="8932" xr:uid="{00000000-0005-0000-0000-0000191B0000}"/>
    <cellStyle name="20% - Accent5 45 4 2" xfId="20220" xr:uid="{00000000-0005-0000-0000-00001A1B0000}"/>
    <cellStyle name="20% - Accent5 45 5" xfId="6938" xr:uid="{00000000-0005-0000-0000-00001B1B0000}"/>
    <cellStyle name="20% - Accent5 45 5 2" xfId="18226" xr:uid="{00000000-0005-0000-0000-00001C1B0000}"/>
    <cellStyle name="20% - Accent5 45 6" xfId="4944" xr:uid="{00000000-0005-0000-0000-00001D1B0000}"/>
    <cellStyle name="20% - Accent5 45 6 2" xfId="16232" xr:uid="{00000000-0005-0000-0000-00001E1B0000}"/>
    <cellStyle name="20% - Accent5 45 7" xfId="14238" xr:uid="{00000000-0005-0000-0000-00001F1B0000}"/>
    <cellStyle name="20% - Accent5 45 8" xfId="12924" xr:uid="{00000000-0005-0000-0000-0000201B0000}"/>
    <cellStyle name="20% - Accent5 46" xfId="989" xr:uid="{00000000-0005-0000-0000-0000211B0000}"/>
    <cellStyle name="20% - Accent5 46 2" xfId="3945" xr:uid="{00000000-0005-0000-0000-0000221B0000}"/>
    <cellStyle name="20% - Accent5 46 2 2" xfId="11924" xr:uid="{00000000-0005-0000-0000-0000231B0000}"/>
    <cellStyle name="20% - Accent5 46 2 2 2" xfId="23212" xr:uid="{00000000-0005-0000-0000-0000241B0000}"/>
    <cellStyle name="20% - Accent5 46 2 3" xfId="9930" xr:uid="{00000000-0005-0000-0000-0000251B0000}"/>
    <cellStyle name="20% - Accent5 46 2 3 2" xfId="21218" xr:uid="{00000000-0005-0000-0000-0000261B0000}"/>
    <cellStyle name="20% - Accent5 46 2 4" xfId="7936" xr:uid="{00000000-0005-0000-0000-0000271B0000}"/>
    <cellStyle name="20% - Accent5 46 2 4 2" xfId="19224" xr:uid="{00000000-0005-0000-0000-0000281B0000}"/>
    <cellStyle name="20% - Accent5 46 2 5" xfId="5942" xr:uid="{00000000-0005-0000-0000-0000291B0000}"/>
    <cellStyle name="20% - Accent5 46 2 5 2" xfId="17230" xr:uid="{00000000-0005-0000-0000-00002A1B0000}"/>
    <cellStyle name="20% - Accent5 46 2 6" xfId="15236" xr:uid="{00000000-0005-0000-0000-00002B1B0000}"/>
    <cellStyle name="20% - Accent5 46 3" xfId="10927" xr:uid="{00000000-0005-0000-0000-00002C1B0000}"/>
    <cellStyle name="20% - Accent5 46 3 2" xfId="22215" xr:uid="{00000000-0005-0000-0000-00002D1B0000}"/>
    <cellStyle name="20% - Accent5 46 4" xfId="8933" xr:uid="{00000000-0005-0000-0000-00002E1B0000}"/>
    <cellStyle name="20% - Accent5 46 4 2" xfId="20221" xr:uid="{00000000-0005-0000-0000-00002F1B0000}"/>
    <cellStyle name="20% - Accent5 46 5" xfId="6939" xr:uid="{00000000-0005-0000-0000-0000301B0000}"/>
    <cellStyle name="20% - Accent5 46 5 2" xfId="18227" xr:uid="{00000000-0005-0000-0000-0000311B0000}"/>
    <cellStyle name="20% - Accent5 46 6" xfId="4945" xr:uid="{00000000-0005-0000-0000-0000321B0000}"/>
    <cellStyle name="20% - Accent5 46 6 2" xfId="16233" xr:uid="{00000000-0005-0000-0000-0000331B0000}"/>
    <cellStyle name="20% - Accent5 46 7" xfId="14239" xr:uid="{00000000-0005-0000-0000-0000341B0000}"/>
    <cellStyle name="20% - Accent5 46 8" xfId="12925" xr:uid="{00000000-0005-0000-0000-0000351B0000}"/>
    <cellStyle name="20% - Accent5 47" xfId="990" xr:uid="{00000000-0005-0000-0000-0000361B0000}"/>
    <cellStyle name="20% - Accent5 47 2" xfId="3946" xr:uid="{00000000-0005-0000-0000-0000371B0000}"/>
    <cellStyle name="20% - Accent5 47 2 2" xfId="11925" xr:uid="{00000000-0005-0000-0000-0000381B0000}"/>
    <cellStyle name="20% - Accent5 47 2 2 2" xfId="23213" xr:uid="{00000000-0005-0000-0000-0000391B0000}"/>
    <cellStyle name="20% - Accent5 47 2 3" xfId="9931" xr:uid="{00000000-0005-0000-0000-00003A1B0000}"/>
    <cellStyle name="20% - Accent5 47 2 3 2" xfId="21219" xr:uid="{00000000-0005-0000-0000-00003B1B0000}"/>
    <cellStyle name="20% - Accent5 47 2 4" xfId="7937" xr:uid="{00000000-0005-0000-0000-00003C1B0000}"/>
    <cellStyle name="20% - Accent5 47 2 4 2" xfId="19225" xr:uid="{00000000-0005-0000-0000-00003D1B0000}"/>
    <cellStyle name="20% - Accent5 47 2 5" xfId="5943" xr:uid="{00000000-0005-0000-0000-00003E1B0000}"/>
    <cellStyle name="20% - Accent5 47 2 5 2" xfId="17231" xr:uid="{00000000-0005-0000-0000-00003F1B0000}"/>
    <cellStyle name="20% - Accent5 47 2 6" xfId="15237" xr:uid="{00000000-0005-0000-0000-0000401B0000}"/>
    <cellStyle name="20% - Accent5 47 3" xfId="10928" xr:uid="{00000000-0005-0000-0000-0000411B0000}"/>
    <cellStyle name="20% - Accent5 47 3 2" xfId="22216" xr:uid="{00000000-0005-0000-0000-0000421B0000}"/>
    <cellStyle name="20% - Accent5 47 4" xfId="8934" xr:uid="{00000000-0005-0000-0000-0000431B0000}"/>
    <cellStyle name="20% - Accent5 47 4 2" xfId="20222" xr:uid="{00000000-0005-0000-0000-0000441B0000}"/>
    <cellStyle name="20% - Accent5 47 5" xfId="6940" xr:uid="{00000000-0005-0000-0000-0000451B0000}"/>
    <cellStyle name="20% - Accent5 47 5 2" xfId="18228" xr:uid="{00000000-0005-0000-0000-0000461B0000}"/>
    <cellStyle name="20% - Accent5 47 6" xfId="4946" xr:uid="{00000000-0005-0000-0000-0000471B0000}"/>
    <cellStyle name="20% - Accent5 47 6 2" xfId="16234" xr:uid="{00000000-0005-0000-0000-0000481B0000}"/>
    <cellStyle name="20% - Accent5 47 7" xfId="14240" xr:uid="{00000000-0005-0000-0000-0000491B0000}"/>
    <cellStyle name="20% - Accent5 47 8" xfId="12926" xr:uid="{00000000-0005-0000-0000-00004A1B0000}"/>
    <cellStyle name="20% - Accent5 48" xfId="991" xr:uid="{00000000-0005-0000-0000-00004B1B0000}"/>
    <cellStyle name="20% - Accent5 48 2" xfId="3947" xr:uid="{00000000-0005-0000-0000-00004C1B0000}"/>
    <cellStyle name="20% - Accent5 48 2 2" xfId="11926" xr:uid="{00000000-0005-0000-0000-00004D1B0000}"/>
    <cellStyle name="20% - Accent5 48 2 2 2" xfId="23214" xr:uid="{00000000-0005-0000-0000-00004E1B0000}"/>
    <cellStyle name="20% - Accent5 48 2 3" xfId="9932" xr:uid="{00000000-0005-0000-0000-00004F1B0000}"/>
    <cellStyle name="20% - Accent5 48 2 3 2" xfId="21220" xr:uid="{00000000-0005-0000-0000-0000501B0000}"/>
    <cellStyle name="20% - Accent5 48 2 4" xfId="7938" xr:uid="{00000000-0005-0000-0000-0000511B0000}"/>
    <cellStyle name="20% - Accent5 48 2 4 2" xfId="19226" xr:uid="{00000000-0005-0000-0000-0000521B0000}"/>
    <cellStyle name="20% - Accent5 48 2 5" xfId="5944" xr:uid="{00000000-0005-0000-0000-0000531B0000}"/>
    <cellStyle name="20% - Accent5 48 2 5 2" xfId="17232" xr:uid="{00000000-0005-0000-0000-0000541B0000}"/>
    <cellStyle name="20% - Accent5 48 2 6" xfId="15238" xr:uid="{00000000-0005-0000-0000-0000551B0000}"/>
    <cellStyle name="20% - Accent5 48 3" xfId="10929" xr:uid="{00000000-0005-0000-0000-0000561B0000}"/>
    <cellStyle name="20% - Accent5 48 3 2" xfId="22217" xr:uid="{00000000-0005-0000-0000-0000571B0000}"/>
    <cellStyle name="20% - Accent5 48 4" xfId="8935" xr:uid="{00000000-0005-0000-0000-0000581B0000}"/>
    <cellStyle name="20% - Accent5 48 4 2" xfId="20223" xr:uid="{00000000-0005-0000-0000-0000591B0000}"/>
    <cellStyle name="20% - Accent5 48 5" xfId="6941" xr:uid="{00000000-0005-0000-0000-00005A1B0000}"/>
    <cellStyle name="20% - Accent5 48 5 2" xfId="18229" xr:uid="{00000000-0005-0000-0000-00005B1B0000}"/>
    <cellStyle name="20% - Accent5 48 6" xfId="4947" xr:uid="{00000000-0005-0000-0000-00005C1B0000}"/>
    <cellStyle name="20% - Accent5 48 6 2" xfId="16235" xr:uid="{00000000-0005-0000-0000-00005D1B0000}"/>
    <cellStyle name="20% - Accent5 48 7" xfId="14241" xr:uid="{00000000-0005-0000-0000-00005E1B0000}"/>
    <cellStyle name="20% - Accent5 48 8" xfId="12927" xr:uid="{00000000-0005-0000-0000-00005F1B0000}"/>
    <cellStyle name="20% - Accent5 49" xfId="992" xr:uid="{00000000-0005-0000-0000-0000601B0000}"/>
    <cellStyle name="20% - Accent5 49 2" xfId="3948" xr:uid="{00000000-0005-0000-0000-0000611B0000}"/>
    <cellStyle name="20% - Accent5 49 2 2" xfId="11927" xr:uid="{00000000-0005-0000-0000-0000621B0000}"/>
    <cellStyle name="20% - Accent5 49 2 2 2" xfId="23215" xr:uid="{00000000-0005-0000-0000-0000631B0000}"/>
    <cellStyle name="20% - Accent5 49 2 3" xfId="9933" xr:uid="{00000000-0005-0000-0000-0000641B0000}"/>
    <cellStyle name="20% - Accent5 49 2 3 2" xfId="21221" xr:uid="{00000000-0005-0000-0000-0000651B0000}"/>
    <cellStyle name="20% - Accent5 49 2 4" xfId="7939" xr:uid="{00000000-0005-0000-0000-0000661B0000}"/>
    <cellStyle name="20% - Accent5 49 2 4 2" xfId="19227" xr:uid="{00000000-0005-0000-0000-0000671B0000}"/>
    <cellStyle name="20% - Accent5 49 2 5" xfId="5945" xr:uid="{00000000-0005-0000-0000-0000681B0000}"/>
    <cellStyle name="20% - Accent5 49 2 5 2" xfId="17233" xr:uid="{00000000-0005-0000-0000-0000691B0000}"/>
    <cellStyle name="20% - Accent5 49 2 6" xfId="15239" xr:uid="{00000000-0005-0000-0000-00006A1B0000}"/>
    <cellStyle name="20% - Accent5 49 3" xfId="10930" xr:uid="{00000000-0005-0000-0000-00006B1B0000}"/>
    <cellStyle name="20% - Accent5 49 3 2" xfId="22218" xr:uid="{00000000-0005-0000-0000-00006C1B0000}"/>
    <cellStyle name="20% - Accent5 49 4" xfId="8936" xr:uid="{00000000-0005-0000-0000-00006D1B0000}"/>
    <cellStyle name="20% - Accent5 49 4 2" xfId="20224" xr:uid="{00000000-0005-0000-0000-00006E1B0000}"/>
    <cellStyle name="20% - Accent5 49 5" xfId="6942" xr:uid="{00000000-0005-0000-0000-00006F1B0000}"/>
    <cellStyle name="20% - Accent5 49 5 2" xfId="18230" xr:uid="{00000000-0005-0000-0000-0000701B0000}"/>
    <cellStyle name="20% - Accent5 49 6" xfId="4948" xr:uid="{00000000-0005-0000-0000-0000711B0000}"/>
    <cellStyle name="20% - Accent5 49 6 2" xfId="16236" xr:uid="{00000000-0005-0000-0000-0000721B0000}"/>
    <cellStyle name="20% - Accent5 49 7" xfId="14242" xr:uid="{00000000-0005-0000-0000-0000731B0000}"/>
    <cellStyle name="20% - Accent5 49 8" xfId="12928" xr:uid="{00000000-0005-0000-0000-0000741B0000}"/>
    <cellStyle name="20% - Accent5 5" xfId="993" xr:uid="{00000000-0005-0000-0000-0000751B0000}"/>
    <cellStyle name="20% - Accent5 5 10" xfId="24586" xr:uid="{00000000-0005-0000-0000-0000761B0000}"/>
    <cellStyle name="20% - Accent5 5 11" xfId="24976" xr:uid="{00000000-0005-0000-0000-0000771B0000}"/>
    <cellStyle name="20% - Accent5 5 2" xfId="3949" xr:uid="{00000000-0005-0000-0000-0000781B0000}"/>
    <cellStyle name="20% - Accent5 5 2 2" xfId="11928" xr:uid="{00000000-0005-0000-0000-0000791B0000}"/>
    <cellStyle name="20% - Accent5 5 2 2 2" xfId="23216" xr:uid="{00000000-0005-0000-0000-00007A1B0000}"/>
    <cellStyle name="20% - Accent5 5 2 3" xfId="9934" xr:uid="{00000000-0005-0000-0000-00007B1B0000}"/>
    <cellStyle name="20% - Accent5 5 2 3 2" xfId="21222" xr:uid="{00000000-0005-0000-0000-00007C1B0000}"/>
    <cellStyle name="20% - Accent5 5 2 4" xfId="7940" xr:uid="{00000000-0005-0000-0000-00007D1B0000}"/>
    <cellStyle name="20% - Accent5 5 2 4 2" xfId="19228" xr:uid="{00000000-0005-0000-0000-00007E1B0000}"/>
    <cellStyle name="20% - Accent5 5 2 5" xfId="5946" xr:uid="{00000000-0005-0000-0000-00007F1B0000}"/>
    <cellStyle name="20% - Accent5 5 2 5 2" xfId="17234" xr:uid="{00000000-0005-0000-0000-0000801B0000}"/>
    <cellStyle name="20% - Accent5 5 2 6" xfId="15240" xr:uid="{00000000-0005-0000-0000-0000811B0000}"/>
    <cellStyle name="20% - Accent5 5 2 7" xfId="24347" xr:uid="{00000000-0005-0000-0000-0000821B0000}"/>
    <cellStyle name="20% - Accent5 5 2 8" xfId="24811" xr:uid="{00000000-0005-0000-0000-0000831B0000}"/>
    <cellStyle name="20% - Accent5 5 2 9" xfId="25178" xr:uid="{00000000-0005-0000-0000-0000841B0000}"/>
    <cellStyle name="20% - Accent5 5 3" xfId="10931" xr:uid="{00000000-0005-0000-0000-0000851B0000}"/>
    <cellStyle name="20% - Accent5 5 3 2" xfId="22219" xr:uid="{00000000-0005-0000-0000-0000861B0000}"/>
    <cellStyle name="20% - Accent5 5 4" xfId="8937" xr:uid="{00000000-0005-0000-0000-0000871B0000}"/>
    <cellStyle name="20% - Accent5 5 4 2" xfId="20225" xr:uid="{00000000-0005-0000-0000-0000881B0000}"/>
    <cellStyle name="20% - Accent5 5 5" xfId="6943" xr:uid="{00000000-0005-0000-0000-0000891B0000}"/>
    <cellStyle name="20% - Accent5 5 5 2" xfId="18231" xr:uid="{00000000-0005-0000-0000-00008A1B0000}"/>
    <cellStyle name="20% - Accent5 5 6" xfId="4949" xr:uid="{00000000-0005-0000-0000-00008B1B0000}"/>
    <cellStyle name="20% - Accent5 5 6 2" xfId="16237" xr:uid="{00000000-0005-0000-0000-00008C1B0000}"/>
    <cellStyle name="20% - Accent5 5 7" xfId="14243" xr:uid="{00000000-0005-0000-0000-00008D1B0000}"/>
    <cellStyle name="20% - Accent5 5 8" xfId="12929" xr:uid="{00000000-0005-0000-0000-00008E1B0000}"/>
    <cellStyle name="20% - Accent5 5 9" xfId="23959" xr:uid="{00000000-0005-0000-0000-00008F1B0000}"/>
    <cellStyle name="20% - Accent5 50" xfId="994" xr:uid="{00000000-0005-0000-0000-0000901B0000}"/>
    <cellStyle name="20% - Accent5 50 2" xfId="3950" xr:uid="{00000000-0005-0000-0000-0000911B0000}"/>
    <cellStyle name="20% - Accent5 50 2 2" xfId="11929" xr:uid="{00000000-0005-0000-0000-0000921B0000}"/>
    <cellStyle name="20% - Accent5 50 2 2 2" xfId="23217" xr:uid="{00000000-0005-0000-0000-0000931B0000}"/>
    <cellStyle name="20% - Accent5 50 2 3" xfId="9935" xr:uid="{00000000-0005-0000-0000-0000941B0000}"/>
    <cellStyle name="20% - Accent5 50 2 3 2" xfId="21223" xr:uid="{00000000-0005-0000-0000-0000951B0000}"/>
    <cellStyle name="20% - Accent5 50 2 4" xfId="7941" xr:uid="{00000000-0005-0000-0000-0000961B0000}"/>
    <cellStyle name="20% - Accent5 50 2 4 2" xfId="19229" xr:uid="{00000000-0005-0000-0000-0000971B0000}"/>
    <cellStyle name="20% - Accent5 50 2 5" xfId="5947" xr:uid="{00000000-0005-0000-0000-0000981B0000}"/>
    <cellStyle name="20% - Accent5 50 2 5 2" xfId="17235" xr:uid="{00000000-0005-0000-0000-0000991B0000}"/>
    <cellStyle name="20% - Accent5 50 2 6" xfId="15241" xr:uid="{00000000-0005-0000-0000-00009A1B0000}"/>
    <cellStyle name="20% - Accent5 50 3" xfId="10932" xr:uid="{00000000-0005-0000-0000-00009B1B0000}"/>
    <cellStyle name="20% - Accent5 50 3 2" xfId="22220" xr:uid="{00000000-0005-0000-0000-00009C1B0000}"/>
    <cellStyle name="20% - Accent5 50 4" xfId="8938" xr:uid="{00000000-0005-0000-0000-00009D1B0000}"/>
    <cellStyle name="20% - Accent5 50 4 2" xfId="20226" xr:uid="{00000000-0005-0000-0000-00009E1B0000}"/>
    <cellStyle name="20% - Accent5 50 5" xfId="6944" xr:uid="{00000000-0005-0000-0000-00009F1B0000}"/>
    <cellStyle name="20% - Accent5 50 5 2" xfId="18232" xr:uid="{00000000-0005-0000-0000-0000A01B0000}"/>
    <cellStyle name="20% - Accent5 50 6" xfId="4950" xr:uid="{00000000-0005-0000-0000-0000A11B0000}"/>
    <cellStyle name="20% - Accent5 50 6 2" xfId="16238" xr:uid="{00000000-0005-0000-0000-0000A21B0000}"/>
    <cellStyle name="20% - Accent5 50 7" xfId="14244" xr:uid="{00000000-0005-0000-0000-0000A31B0000}"/>
    <cellStyle name="20% - Accent5 50 8" xfId="12930" xr:uid="{00000000-0005-0000-0000-0000A41B0000}"/>
    <cellStyle name="20% - Accent5 51" xfId="995" xr:uid="{00000000-0005-0000-0000-0000A51B0000}"/>
    <cellStyle name="20% - Accent5 51 2" xfId="3951" xr:uid="{00000000-0005-0000-0000-0000A61B0000}"/>
    <cellStyle name="20% - Accent5 51 2 2" xfId="11930" xr:uid="{00000000-0005-0000-0000-0000A71B0000}"/>
    <cellStyle name="20% - Accent5 51 2 2 2" xfId="23218" xr:uid="{00000000-0005-0000-0000-0000A81B0000}"/>
    <cellStyle name="20% - Accent5 51 2 3" xfId="9936" xr:uid="{00000000-0005-0000-0000-0000A91B0000}"/>
    <cellStyle name="20% - Accent5 51 2 3 2" xfId="21224" xr:uid="{00000000-0005-0000-0000-0000AA1B0000}"/>
    <cellStyle name="20% - Accent5 51 2 4" xfId="7942" xr:uid="{00000000-0005-0000-0000-0000AB1B0000}"/>
    <cellStyle name="20% - Accent5 51 2 4 2" xfId="19230" xr:uid="{00000000-0005-0000-0000-0000AC1B0000}"/>
    <cellStyle name="20% - Accent5 51 2 5" xfId="5948" xr:uid="{00000000-0005-0000-0000-0000AD1B0000}"/>
    <cellStyle name="20% - Accent5 51 2 5 2" xfId="17236" xr:uid="{00000000-0005-0000-0000-0000AE1B0000}"/>
    <cellStyle name="20% - Accent5 51 2 6" xfId="15242" xr:uid="{00000000-0005-0000-0000-0000AF1B0000}"/>
    <cellStyle name="20% - Accent5 51 3" xfId="10933" xr:uid="{00000000-0005-0000-0000-0000B01B0000}"/>
    <cellStyle name="20% - Accent5 51 3 2" xfId="22221" xr:uid="{00000000-0005-0000-0000-0000B11B0000}"/>
    <cellStyle name="20% - Accent5 51 4" xfId="8939" xr:uid="{00000000-0005-0000-0000-0000B21B0000}"/>
    <cellStyle name="20% - Accent5 51 4 2" xfId="20227" xr:uid="{00000000-0005-0000-0000-0000B31B0000}"/>
    <cellStyle name="20% - Accent5 51 5" xfId="6945" xr:uid="{00000000-0005-0000-0000-0000B41B0000}"/>
    <cellStyle name="20% - Accent5 51 5 2" xfId="18233" xr:uid="{00000000-0005-0000-0000-0000B51B0000}"/>
    <cellStyle name="20% - Accent5 51 6" xfId="4951" xr:uid="{00000000-0005-0000-0000-0000B61B0000}"/>
    <cellStyle name="20% - Accent5 51 6 2" xfId="16239" xr:uid="{00000000-0005-0000-0000-0000B71B0000}"/>
    <cellStyle name="20% - Accent5 51 7" xfId="14245" xr:uid="{00000000-0005-0000-0000-0000B81B0000}"/>
    <cellStyle name="20% - Accent5 51 8" xfId="12931" xr:uid="{00000000-0005-0000-0000-0000B91B0000}"/>
    <cellStyle name="20% - Accent5 52" xfId="996" xr:uid="{00000000-0005-0000-0000-0000BA1B0000}"/>
    <cellStyle name="20% - Accent5 52 2" xfId="3952" xr:uid="{00000000-0005-0000-0000-0000BB1B0000}"/>
    <cellStyle name="20% - Accent5 52 2 2" xfId="11931" xr:uid="{00000000-0005-0000-0000-0000BC1B0000}"/>
    <cellStyle name="20% - Accent5 52 2 2 2" xfId="23219" xr:uid="{00000000-0005-0000-0000-0000BD1B0000}"/>
    <cellStyle name="20% - Accent5 52 2 3" xfId="9937" xr:uid="{00000000-0005-0000-0000-0000BE1B0000}"/>
    <cellStyle name="20% - Accent5 52 2 3 2" xfId="21225" xr:uid="{00000000-0005-0000-0000-0000BF1B0000}"/>
    <cellStyle name="20% - Accent5 52 2 4" xfId="7943" xr:uid="{00000000-0005-0000-0000-0000C01B0000}"/>
    <cellStyle name="20% - Accent5 52 2 4 2" xfId="19231" xr:uid="{00000000-0005-0000-0000-0000C11B0000}"/>
    <cellStyle name="20% - Accent5 52 2 5" xfId="5949" xr:uid="{00000000-0005-0000-0000-0000C21B0000}"/>
    <cellStyle name="20% - Accent5 52 2 5 2" xfId="17237" xr:uid="{00000000-0005-0000-0000-0000C31B0000}"/>
    <cellStyle name="20% - Accent5 52 2 6" xfId="15243" xr:uid="{00000000-0005-0000-0000-0000C41B0000}"/>
    <cellStyle name="20% - Accent5 52 3" xfId="10934" xr:uid="{00000000-0005-0000-0000-0000C51B0000}"/>
    <cellStyle name="20% - Accent5 52 3 2" xfId="22222" xr:uid="{00000000-0005-0000-0000-0000C61B0000}"/>
    <cellStyle name="20% - Accent5 52 4" xfId="8940" xr:uid="{00000000-0005-0000-0000-0000C71B0000}"/>
    <cellStyle name="20% - Accent5 52 4 2" xfId="20228" xr:uid="{00000000-0005-0000-0000-0000C81B0000}"/>
    <cellStyle name="20% - Accent5 52 5" xfId="6946" xr:uid="{00000000-0005-0000-0000-0000C91B0000}"/>
    <cellStyle name="20% - Accent5 52 5 2" xfId="18234" xr:uid="{00000000-0005-0000-0000-0000CA1B0000}"/>
    <cellStyle name="20% - Accent5 52 6" xfId="4952" xr:uid="{00000000-0005-0000-0000-0000CB1B0000}"/>
    <cellStyle name="20% - Accent5 52 6 2" xfId="16240" xr:uid="{00000000-0005-0000-0000-0000CC1B0000}"/>
    <cellStyle name="20% - Accent5 52 7" xfId="14246" xr:uid="{00000000-0005-0000-0000-0000CD1B0000}"/>
    <cellStyle name="20% - Accent5 52 8" xfId="12932" xr:uid="{00000000-0005-0000-0000-0000CE1B0000}"/>
    <cellStyle name="20% - Accent5 53" xfId="997" xr:uid="{00000000-0005-0000-0000-0000CF1B0000}"/>
    <cellStyle name="20% - Accent5 53 2" xfId="3953" xr:uid="{00000000-0005-0000-0000-0000D01B0000}"/>
    <cellStyle name="20% - Accent5 53 2 2" xfId="11932" xr:uid="{00000000-0005-0000-0000-0000D11B0000}"/>
    <cellStyle name="20% - Accent5 53 2 2 2" xfId="23220" xr:uid="{00000000-0005-0000-0000-0000D21B0000}"/>
    <cellStyle name="20% - Accent5 53 2 3" xfId="9938" xr:uid="{00000000-0005-0000-0000-0000D31B0000}"/>
    <cellStyle name="20% - Accent5 53 2 3 2" xfId="21226" xr:uid="{00000000-0005-0000-0000-0000D41B0000}"/>
    <cellStyle name="20% - Accent5 53 2 4" xfId="7944" xr:uid="{00000000-0005-0000-0000-0000D51B0000}"/>
    <cellStyle name="20% - Accent5 53 2 4 2" xfId="19232" xr:uid="{00000000-0005-0000-0000-0000D61B0000}"/>
    <cellStyle name="20% - Accent5 53 2 5" xfId="5950" xr:uid="{00000000-0005-0000-0000-0000D71B0000}"/>
    <cellStyle name="20% - Accent5 53 2 5 2" xfId="17238" xr:uid="{00000000-0005-0000-0000-0000D81B0000}"/>
    <cellStyle name="20% - Accent5 53 2 6" xfId="15244" xr:uid="{00000000-0005-0000-0000-0000D91B0000}"/>
    <cellStyle name="20% - Accent5 53 3" xfId="10935" xr:uid="{00000000-0005-0000-0000-0000DA1B0000}"/>
    <cellStyle name="20% - Accent5 53 3 2" xfId="22223" xr:uid="{00000000-0005-0000-0000-0000DB1B0000}"/>
    <cellStyle name="20% - Accent5 53 4" xfId="8941" xr:uid="{00000000-0005-0000-0000-0000DC1B0000}"/>
    <cellStyle name="20% - Accent5 53 4 2" xfId="20229" xr:uid="{00000000-0005-0000-0000-0000DD1B0000}"/>
    <cellStyle name="20% - Accent5 53 5" xfId="6947" xr:uid="{00000000-0005-0000-0000-0000DE1B0000}"/>
    <cellStyle name="20% - Accent5 53 5 2" xfId="18235" xr:uid="{00000000-0005-0000-0000-0000DF1B0000}"/>
    <cellStyle name="20% - Accent5 53 6" xfId="4953" xr:uid="{00000000-0005-0000-0000-0000E01B0000}"/>
    <cellStyle name="20% - Accent5 53 6 2" xfId="16241" xr:uid="{00000000-0005-0000-0000-0000E11B0000}"/>
    <cellStyle name="20% - Accent5 53 7" xfId="14247" xr:uid="{00000000-0005-0000-0000-0000E21B0000}"/>
    <cellStyle name="20% - Accent5 53 8" xfId="12933" xr:uid="{00000000-0005-0000-0000-0000E31B0000}"/>
    <cellStyle name="20% - Accent5 54" xfId="998" xr:uid="{00000000-0005-0000-0000-0000E41B0000}"/>
    <cellStyle name="20% - Accent5 54 2" xfId="3954" xr:uid="{00000000-0005-0000-0000-0000E51B0000}"/>
    <cellStyle name="20% - Accent5 54 2 2" xfId="11933" xr:uid="{00000000-0005-0000-0000-0000E61B0000}"/>
    <cellStyle name="20% - Accent5 54 2 2 2" xfId="23221" xr:uid="{00000000-0005-0000-0000-0000E71B0000}"/>
    <cellStyle name="20% - Accent5 54 2 3" xfId="9939" xr:uid="{00000000-0005-0000-0000-0000E81B0000}"/>
    <cellStyle name="20% - Accent5 54 2 3 2" xfId="21227" xr:uid="{00000000-0005-0000-0000-0000E91B0000}"/>
    <cellStyle name="20% - Accent5 54 2 4" xfId="7945" xr:uid="{00000000-0005-0000-0000-0000EA1B0000}"/>
    <cellStyle name="20% - Accent5 54 2 4 2" xfId="19233" xr:uid="{00000000-0005-0000-0000-0000EB1B0000}"/>
    <cellStyle name="20% - Accent5 54 2 5" xfId="5951" xr:uid="{00000000-0005-0000-0000-0000EC1B0000}"/>
    <cellStyle name="20% - Accent5 54 2 5 2" xfId="17239" xr:uid="{00000000-0005-0000-0000-0000ED1B0000}"/>
    <cellStyle name="20% - Accent5 54 2 6" xfId="15245" xr:uid="{00000000-0005-0000-0000-0000EE1B0000}"/>
    <cellStyle name="20% - Accent5 54 3" xfId="10936" xr:uid="{00000000-0005-0000-0000-0000EF1B0000}"/>
    <cellStyle name="20% - Accent5 54 3 2" xfId="22224" xr:uid="{00000000-0005-0000-0000-0000F01B0000}"/>
    <cellStyle name="20% - Accent5 54 4" xfId="8942" xr:uid="{00000000-0005-0000-0000-0000F11B0000}"/>
    <cellStyle name="20% - Accent5 54 4 2" xfId="20230" xr:uid="{00000000-0005-0000-0000-0000F21B0000}"/>
    <cellStyle name="20% - Accent5 54 5" xfId="6948" xr:uid="{00000000-0005-0000-0000-0000F31B0000}"/>
    <cellStyle name="20% - Accent5 54 5 2" xfId="18236" xr:uid="{00000000-0005-0000-0000-0000F41B0000}"/>
    <cellStyle name="20% - Accent5 54 6" xfId="4954" xr:uid="{00000000-0005-0000-0000-0000F51B0000}"/>
    <cellStyle name="20% - Accent5 54 6 2" xfId="16242" xr:uid="{00000000-0005-0000-0000-0000F61B0000}"/>
    <cellStyle name="20% - Accent5 54 7" xfId="14248" xr:uid="{00000000-0005-0000-0000-0000F71B0000}"/>
    <cellStyle name="20% - Accent5 54 8" xfId="12934" xr:uid="{00000000-0005-0000-0000-0000F81B0000}"/>
    <cellStyle name="20% - Accent5 55" xfId="999" xr:uid="{00000000-0005-0000-0000-0000F91B0000}"/>
    <cellStyle name="20% - Accent5 55 2" xfId="3955" xr:uid="{00000000-0005-0000-0000-0000FA1B0000}"/>
    <cellStyle name="20% - Accent5 55 2 2" xfId="11934" xr:uid="{00000000-0005-0000-0000-0000FB1B0000}"/>
    <cellStyle name="20% - Accent5 55 2 2 2" xfId="23222" xr:uid="{00000000-0005-0000-0000-0000FC1B0000}"/>
    <cellStyle name="20% - Accent5 55 2 3" xfId="9940" xr:uid="{00000000-0005-0000-0000-0000FD1B0000}"/>
    <cellStyle name="20% - Accent5 55 2 3 2" xfId="21228" xr:uid="{00000000-0005-0000-0000-0000FE1B0000}"/>
    <cellStyle name="20% - Accent5 55 2 4" xfId="7946" xr:uid="{00000000-0005-0000-0000-0000FF1B0000}"/>
    <cellStyle name="20% - Accent5 55 2 4 2" xfId="19234" xr:uid="{00000000-0005-0000-0000-0000001C0000}"/>
    <cellStyle name="20% - Accent5 55 2 5" xfId="5952" xr:uid="{00000000-0005-0000-0000-0000011C0000}"/>
    <cellStyle name="20% - Accent5 55 2 5 2" xfId="17240" xr:uid="{00000000-0005-0000-0000-0000021C0000}"/>
    <cellStyle name="20% - Accent5 55 2 6" xfId="15246" xr:uid="{00000000-0005-0000-0000-0000031C0000}"/>
    <cellStyle name="20% - Accent5 55 3" xfId="10937" xr:uid="{00000000-0005-0000-0000-0000041C0000}"/>
    <cellStyle name="20% - Accent5 55 3 2" xfId="22225" xr:uid="{00000000-0005-0000-0000-0000051C0000}"/>
    <cellStyle name="20% - Accent5 55 4" xfId="8943" xr:uid="{00000000-0005-0000-0000-0000061C0000}"/>
    <cellStyle name="20% - Accent5 55 4 2" xfId="20231" xr:uid="{00000000-0005-0000-0000-0000071C0000}"/>
    <cellStyle name="20% - Accent5 55 5" xfId="6949" xr:uid="{00000000-0005-0000-0000-0000081C0000}"/>
    <cellStyle name="20% - Accent5 55 5 2" xfId="18237" xr:uid="{00000000-0005-0000-0000-0000091C0000}"/>
    <cellStyle name="20% - Accent5 55 6" xfId="4955" xr:uid="{00000000-0005-0000-0000-00000A1C0000}"/>
    <cellStyle name="20% - Accent5 55 6 2" xfId="16243" xr:uid="{00000000-0005-0000-0000-00000B1C0000}"/>
    <cellStyle name="20% - Accent5 55 7" xfId="14249" xr:uid="{00000000-0005-0000-0000-00000C1C0000}"/>
    <cellStyle name="20% - Accent5 55 8" xfId="12935" xr:uid="{00000000-0005-0000-0000-00000D1C0000}"/>
    <cellStyle name="20% - Accent5 56" xfId="1000" xr:uid="{00000000-0005-0000-0000-00000E1C0000}"/>
    <cellStyle name="20% - Accent5 56 2" xfId="3956" xr:uid="{00000000-0005-0000-0000-00000F1C0000}"/>
    <cellStyle name="20% - Accent5 56 2 2" xfId="11935" xr:uid="{00000000-0005-0000-0000-0000101C0000}"/>
    <cellStyle name="20% - Accent5 56 2 2 2" xfId="23223" xr:uid="{00000000-0005-0000-0000-0000111C0000}"/>
    <cellStyle name="20% - Accent5 56 2 3" xfId="9941" xr:uid="{00000000-0005-0000-0000-0000121C0000}"/>
    <cellStyle name="20% - Accent5 56 2 3 2" xfId="21229" xr:uid="{00000000-0005-0000-0000-0000131C0000}"/>
    <cellStyle name="20% - Accent5 56 2 4" xfId="7947" xr:uid="{00000000-0005-0000-0000-0000141C0000}"/>
    <cellStyle name="20% - Accent5 56 2 4 2" xfId="19235" xr:uid="{00000000-0005-0000-0000-0000151C0000}"/>
    <cellStyle name="20% - Accent5 56 2 5" xfId="5953" xr:uid="{00000000-0005-0000-0000-0000161C0000}"/>
    <cellStyle name="20% - Accent5 56 2 5 2" xfId="17241" xr:uid="{00000000-0005-0000-0000-0000171C0000}"/>
    <cellStyle name="20% - Accent5 56 2 6" xfId="15247" xr:uid="{00000000-0005-0000-0000-0000181C0000}"/>
    <cellStyle name="20% - Accent5 56 3" xfId="10938" xr:uid="{00000000-0005-0000-0000-0000191C0000}"/>
    <cellStyle name="20% - Accent5 56 3 2" xfId="22226" xr:uid="{00000000-0005-0000-0000-00001A1C0000}"/>
    <cellStyle name="20% - Accent5 56 4" xfId="8944" xr:uid="{00000000-0005-0000-0000-00001B1C0000}"/>
    <cellStyle name="20% - Accent5 56 4 2" xfId="20232" xr:uid="{00000000-0005-0000-0000-00001C1C0000}"/>
    <cellStyle name="20% - Accent5 56 5" xfId="6950" xr:uid="{00000000-0005-0000-0000-00001D1C0000}"/>
    <cellStyle name="20% - Accent5 56 5 2" xfId="18238" xr:uid="{00000000-0005-0000-0000-00001E1C0000}"/>
    <cellStyle name="20% - Accent5 56 6" xfId="4956" xr:uid="{00000000-0005-0000-0000-00001F1C0000}"/>
    <cellStyle name="20% - Accent5 56 6 2" xfId="16244" xr:uid="{00000000-0005-0000-0000-0000201C0000}"/>
    <cellStyle name="20% - Accent5 56 7" xfId="14250" xr:uid="{00000000-0005-0000-0000-0000211C0000}"/>
    <cellStyle name="20% - Accent5 56 8" xfId="12936" xr:uid="{00000000-0005-0000-0000-0000221C0000}"/>
    <cellStyle name="20% - Accent5 57" xfId="1001" xr:uid="{00000000-0005-0000-0000-0000231C0000}"/>
    <cellStyle name="20% - Accent5 57 2" xfId="3957" xr:uid="{00000000-0005-0000-0000-0000241C0000}"/>
    <cellStyle name="20% - Accent5 57 2 2" xfId="11936" xr:uid="{00000000-0005-0000-0000-0000251C0000}"/>
    <cellStyle name="20% - Accent5 57 2 2 2" xfId="23224" xr:uid="{00000000-0005-0000-0000-0000261C0000}"/>
    <cellStyle name="20% - Accent5 57 2 3" xfId="9942" xr:uid="{00000000-0005-0000-0000-0000271C0000}"/>
    <cellStyle name="20% - Accent5 57 2 3 2" xfId="21230" xr:uid="{00000000-0005-0000-0000-0000281C0000}"/>
    <cellStyle name="20% - Accent5 57 2 4" xfId="7948" xr:uid="{00000000-0005-0000-0000-0000291C0000}"/>
    <cellStyle name="20% - Accent5 57 2 4 2" xfId="19236" xr:uid="{00000000-0005-0000-0000-00002A1C0000}"/>
    <cellStyle name="20% - Accent5 57 2 5" xfId="5954" xr:uid="{00000000-0005-0000-0000-00002B1C0000}"/>
    <cellStyle name="20% - Accent5 57 2 5 2" xfId="17242" xr:uid="{00000000-0005-0000-0000-00002C1C0000}"/>
    <cellStyle name="20% - Accent5 57 2 6" xfId="15248" xr:uid="{00000000-0005-0000-0000-00002D1C0000}"/>
    <cellStyle name="20% - Accent5 57 3" xfId="10939" xr:uid="{00000000-0005-0000-0000-00002E1C0000}"/>
    <cellStyle name="20% - Accent5 57 3 2" xfId="22227" xr:uid="{00000000-0005-0000-0000-00002F1C0000}"/>
    <cellStyle name="20% - Accent5 57 4" xfId="8945" xr:uid="{00000000-0005-0000-0000-0000301C0000}"/>
    <cellStyle name="20% - Accent5 57 4 2" xfId="20233" xr:uid="{00000000-0005-0000-0000-0000311C0000}"/>
    <cellStyle name="20% - Accent5 57 5" xfId="6951" xr:uid="{00000000-0005-0000-0000-0000321C0000}"/>
    <cellStyle name="20% - Accent5 57 5 2" xfId="18239" xr:uid="{00000000-0005-0000-0000-0000331C0000}"/>
    <cellStyle name="20% - Accent5 57 6" xfId="4957" xr:uid="{00000000-0005-0000-0000-0000341C0000}"/>
    <cellStyle name="20% - Accent5 57 6 2" xfId="16245" xr:uid="{00000000-0005-0000-0000-0000351C0000}"/>
    <cellStyle name="20% - Accent5 57 7" xfId="14251" xr:uid="{00000000-0005-0000-0000-0000361C0000}"/>
    <cellStyle name="20% - Accent5 57 8" xfId="12937" xr:uid="{00000000-0005-0000-0000-0000371C0000}"/>
    <cellStyle name="20% - Accent5 58" xfId="1002" xr:uid="{00000000-0005-0000-0000-0000381C0000}"/>
    <cellStyle name="20% - Accent5 58 2" xfId="3958" xr:uid="{00000000-0005-0000-0000-0000391C0000}"/>
    <cellStyle name="20% - Accent5 58 2 2" xfId="11937" xr:uid="{00000000-0005-0000-0000-00003A1C0000}"/>
    <cellStyle name="20% - Accent5 58 2 2 2" xfId="23225" xr:uid="{00000000-0005-0000-0000-00003B1C0000}"/>
    <cellStyle name="20% - Accent5 58 2 3" xfId="9943" xr:uid="{00000000-0005-0000-0000-00003C1C0000}"/>
    <cellStyle name="20% - Accent5 58 2 3 2" xfId="21231" xr:uid="{00000000-0005-0000-0000-00003D1C0000}"/>
    <cellStyle name="20% - Accent5 58 2 4" xfId="7949" xr:uid="{00000000-0005-0000-0000-00003E1C0000}"/>
    <cellStyle name="20% - Accent5 58 2 4 2" xfId="19237" xr:uid="{00000000-0005-0000-0000-00003F1C0000}"/>
    <cellStyle name="20% - Accent5 58 2 5" xfId="5955" xr:uid="{00000000-0005-0000-0000-0000401C0000}"/>
    <cellStyle name="20% - Accent5 58 2 5 2" xfId="17243" xr:uid="{00000000-0005-0000-0000-0000411C0000}"/>
    <cellStyle name="20% - Accent5 58 2 6" xfId="15249" xr:uid="{00000000-0005-0000-0000-0000421C0000}"/>
    <cellStyle name="20% - Accent5 58 3" xfId="10940" xr:uid="{00000000-0005-0000-0000-0000431C0000}"/>
    <cellStyle name="20% - Accent5 58 3 2" xfId="22228" xr:uid="{00000000-0005-0000-0000-0000441C0000}"/>
    <cellStyle name="20% - Accent5 58 4" xfId="8946" xr:uid="{00000000-0005-0000-0000-0000451C0000}"/>
    <cellStyle name="20% - Accent5 58 4 2" xfId="20234" xr:uid="{00000000-0005-0000-0000-0000461C0000}"/>
    <cellStyle name="20% - Accent5 58 5" xfId="6952" xr:uid="{00000000-0005-0000-0000-0000471C0000}"/>
    <cellStyle name="20% - Accent5 58 5 2" xfId="18240" xr:uid="{00000000-0005-0000-0000-0000481C0000}"/>
    <cellStyle name="20% - Accent5 58 6" xfId="4958" xr:uid="{00000000-0005-0000-0000-0000491C0000}"/>
    <cellStyle name="20% - Accent5 58 6 2" xfId="16246" xr:uid="{00000000-0005-0000-0000-00004A1C0000}"/>
    <cellStyle name="20% - Accent5 58 7" xfId="14252" xr:uid="{00000000-0005-0000-0000-00004B1C0000}"/>
    <cellStyle name="20% - Accent5 58 8" xfId="12938" xr:uid="{00000000-0005-0000-0000-00004C1C0000}"/>
    <cellStyle name="20% - Accent5 59" xfId="1003" xr:uid="{00000000-0005-0000-0000-00004D1C0000}"/>
    <cellStyle name="20% - Accent5 59 2" xfId="3959" xr:uid="{00000000-0005-0000-0000-00004E1C0000}"/>
    <cellStyle name="20% - Accent5 59 2 2" xfId="11938" xr:uid="{00000000-0005-0000-0000-00004F1C0000}"/>
    <cellStyle name="20% - Accent5 59 2 2 2" xfId="23226" xr:uid="{00000000-0005-0000-0000-0000501C0000}"/>
    <cellStyle name="20% - Accent5 59 2 3" xfId="9944" xr:uid="{00000000-0005-0000-0000-0000511C0000}"/>
    <cellStyle name="20% - Accent5 59 2 3 2" xfId="21232" xr:uid="{00000000-0005-0000-0000-0000521C0000}"/>
    <cellStyle name="20% - Accent5 59 2 4" xfId="7950" xr:uid="{00000000-0005-0000-0000-0000531C0000}"/>
    <cellStyle name="20% - Accent5 59 2 4 2" xfId="19238" xr:uid="{00000000-0005-0000-0000-0000541C0000}"/>
    <cellStyle name="20% - Accent5 59 2 5" xfId="5956" xr:uid="{00000000-0005-0000-0000-0000551C0000}"/>
    <cellStyle name="20% - Accent5 59 2 5 2" xfId="17244" xr:uid="{00000000-0005-0000-0000-0000561C0000}"/>
    <cellStyle name="20% - Accent5 59 2 6" xfId="15250" xr:uid="{00000000-0005-0000-0000-0000571C0000}"/>
    <cellStyle name="20% - Accent5 59 3" xfId="10941" xr:uid="{00000000-0005-0000-0000-0000581C0000}"/>
    <cellStyle name="20% - Accent5 59 3 2" xfId="22229" xr:uid="{00000000-0005-0000-0000-0000591C0000}"/>
    <cellStyle name="20% - Accent5 59 4" xfId="8947" xr:uid="{00000000-0005-0000-0000-00005A1C0000}"/>
    <cellStyle name="20% - Accent5 59 4 2" xfId="20235" xr:uid="{00000000-0005-0000-0000-00005B1C0000}"/>
    <cellStyle name="20% - Accent5 59 5" xfId="6953" xr:uid="{00000000-0005-0000-0000-00005C1C0000}"/>
    <cellStyle name="20% - Accent5 59 5 2" xfId="18241" xr:uid="{00000000-0005-0000-0000-00005D1C0000}"/>
    <cellStyle name="20% - Accent5 59 6" xfId="4959" xr:uid="{00000000-0005-0000-0000-00005E1C0000}"/>
    <cellStyle name="20% - Accent5 59 6 2" xfId="16247" xr:uid="{00000000-0005-0000-0000-00005F1C0000}"/>
    <cellStyle name="20% - Accent5 59 7" xfId="14253" xr:uid="{00000000-0005-0000-0000-0000601C0000}"/>
    <cellStyle name="20% - Accent5 59 8" xfId="12939" xr:uid="{00000000-0005-0000-0000-0000611C0000}"/>
    <cellStyle name="20% - Accent5 6" xfId="1004" xr:uid="{00000000-0005-0000-0000-0000621C0000}"/>
    <cellStyle name="20% - Accent5 6 10" xfId="24587" xr:uid="{00000000-0005-0000-0000-0000631C0000}"/>
    <cellStyle name="20% - Accent5 6 11" xfId="24977" xr:uid="{00000000-0005-0000-0000-0000641C0000}"/>
    <cellStyle name="20% - Accent5 6 2" xfId="3960" xr:uid="{00000000-0005-0000-0000-0000651C0000}"/>
    <cellStyle name="20% - Accent5 6 2 2" xfId="11939" xr:uid="{00000000-0005-0000-0000-0000661C0000}"/>
    <cellStyle name="20% - Accent5 6 2 2 2" xfId="23227" xr:uid="{00000000-0005-0000-0000-0000671C0000}"/>
    <cellStyle name="20% - Accent5 6 2 3" xfId="9945" xr:uid="{00000000-0005-0000-0000-0000681C0000}"/>
    <cellStyle name="20% - Accent5 6 2 3 2" xfId="21233" xr:uid="{00000000-0005-0000-0000-0000691C0000}"/>
    <cellStyle name="20% - Accent5 6 2 4" xfId="7951" xr:uid="{00000000-0005-0000-0000-00006A1C0000}"/>
    <cellStyle name="20% - Accent5 6 2 4 2" xfId="19239" xr:uid="{00000000-0005-0000-0000-00006B1C0000}"/>
    <cellStyle name="20% - Accent5 6 2 5" xfId="5957" xr:uid="{00000000-0005-0000-0000-00006C1C0000}"/>
    <cellStyle name="20% - Accent5 6 2 5 2" xfId="17245" xr:uid="{00000000-0005-0000-0000-00006D1C0000}"/>
    <cellStyle name="20% - Accent5 6 2 6" xfId="15251" xr:uid="{00000000-0005-0000-0000-00006E1C0000}"/>
    <cellStyle name="20% - Accent5 6 2 7" xfId="24348" xr:uid="{00000000-0005-0000-0000-00006F1C0000}"/>
    <cellStyle name="20% - Accent5 6 2 8" xfId="24812" xr:uid="{00000000-0005-0000-0000-0000701C0000}"/>
    <cellStyle name="20% - Accent5 6 2 9" xfId="25179" xr:uid="{00000000-0005-0000-0000-0000711C0000}"/>
    <cellStyle name="20% - Accent5 6 3" xfId="10942" xr:uid="{00000000-0005-0000-0000-0000721C0000}"/>
    <cellStyle name="20% - Accent5 6 3 2" xfId="22230" xr:uid="{00000000-0005-0000-0000-0000731C0000}"/>
    <cellStyle name="20% - Accent5 6 4" xfId="8948" xr:uid="{00000000-0005-0000-0000-0000741C0000}"/>
    <cellStyle name="20% - Accent5 6 4 2" xfId="20236" xr:uid="{00000000-0005-0000-0000-0000751C0000}"/>
    <cellStyle name="20% - Accent5 6 5" xfId="6954" xr:uid="{00000000-0005-0000-0000-0000761C0000}"/>
    <cellStyle name="20% - Accent5 6 5 2" xfId="18242" xr:uid="{00000000-0005-0000-0000-0000771C0000}"/>
    <cellStyle name="20% - Accent5 6 6" xfId="4960" xr:uid="{00000000-0005-0000-0000-0000781C0000}"/>
    <cellStyle name="20% - Accent5 6 6 2" xfId="16248" xr:uid="{00000000-0005-0000-0000-0000791C0000}"/>
    <cellStyle name="20% - Accent5 6 7" xfId="14254" xr:uid="{00000000-0005-0000-0000-00007A1C0000}"/>
    <cellStyle name="20% - Accent5 6 8" xfId="12940" xr:uid="{00000000-0005-0000-0000-00007B1C0000}"/>
    <cellStyle name="20% - Accent5 6 9" xfId="23960" xr:uid="{00000000-0005-0000-0000-00007C1C0000}"/>
    <cellStyle name="20% - Accent5 60" xfId="1005" xr:uid="{00000000-0005-0000-0000-00007D1C0000}"/>
    <cellStyle name="20% - Accent5 60 2" xfId="3961" xr:uid="{00000000-0005-0000-0000-00007E1C0000}"/>
    <cellStyle name="20% - Accent5 60 2 2" xfId="11940" xr:uid="{00000000-0005-0000-0000-00007F1C0000}"/>
    <cellStyle name="20% - Accent5 60 2 2 2" xfId="23228" xr:uid="{00000000-0005-0000-0000-0000801C0000}"/>
    <cellStyle name="20% - Accent5 60 2 3" xfId="9946" xr:uid="{00000000-0005-0000-0000-0000811C0000}"/>
    <cellStyle name="20% - Accent5 60 2 3 2" xfId="21234" xr:uid="{00000000-0005-0000-0000-0000821C0000}"/>
    <cellStyle name="20% - Accent5 60 2 4" xfId="7952" xr:uid="{00000000-0005-0000-0000-0000831C0000}"/>
    <cellStyle name="20% - Accent5 60 2 4 2" xfId="19240" xr:uid="{00000000-0005-0000-0000-0000841C0000}"/>
    <cellStyle name="20% - Accent5 60 2 5" xfId="5958" xr:uid="{00000000-0005-0000-0000-0000851C0000}"/>
    <cellStyle name="20% - Accent5 60 2 5 2" xfId="17246" xr:uid="{00000000-0005-0000-0000-0000861C0000}"/>
    <cellStyle name="20% - Accent5 60 2 6" xfId="15252" xr:uid="{00000000-0005-0000-0000-0000871C0000}"/>
    <cellStyle name="20% - Accent5 60 3" xfId="10943" xr:uid="{00000000-0005-0000-0000-0000881C0000}"/>
    <cellStyle name="20% - Accent5 60 3 2" xfId="22231" xr:uid="{00000000-0005-0000-0000-0000891C0000}"/>
    <cellStyle name="20% - Accent5 60 4" xfId="8949" xr:uid="{00000000-0005-0000-0000-00008A1C0000}"/>
    <cellStyle name="20% - Accent5 60 4 2" xfId="20237" xr:uid="{00000000-0005-0000-0000-00008B1C0000}"/>
    <cellStyle name="20% - Accent5 60 5" xfId="6955" xr:uid="{00000000-0005-0000-0000-00008C1C0000}"/>
    <cellStyle name="20% - Accent5 60 5 2" xfId="18243" xr:uid="{00000000-0005-0000-0000-00008D1C0000}"/>
    <cellStyle name="20% - Accent5 60 6" xfId="4961" xr:uid="{00000000-0005-0000-0000-00008E1C0000}"/>
    <cellStyle name="20% - Accent5 60 6 2" xfId="16249" xr:uid="{00000000-0005-0000-0000-00008F1C0000}"/>
    <cellStyle name="20% - Accent5 60 7" xfId="14255" xr:uid="{00000000-0005-0000-0000-0000901C0000}"/>
    <cellStyle name="20% - Accent5 60 8" xfId="12941" xr:uid="{00000000-0005-0000-0000-0000911C0000}"/>
    <cellStyle name="20% - Accent5 61" xfId="1006" xr:uid="{00000000-0005-0000-0000-0000921C0000}"/>
    <cellStyle name="20% - Accent5 61 2" xfId="3962" xr:uid="{00000000-0005-0000-0000-0000931C0000}"/>
    <cellStyle name="20% - Accent5 61 2 2" xfId="11941" xr:uid="{00000000-0005-0000-0000-0000941C0000}"/>
    <cellStyle name="20% - Accent5 61 2 2 2" xfId="23229" xr:uid="{00000000-0005-0000-0000-0000951C0000}"/>
    <cellStyle name="20% - Accent5 61 2 3" xfId="9947" xr:uid="{00000000-0005-0000-0000-0000961C0000}"/>
    <cellStyle name="20% - Accent5 61 2 3 2" xfId="21235" xr:uid="{00000000-0005-0000-0000-0000971C0000}"/>
    <cellStyle name="20% - Accent5 61 2 4" xfId="7953" xr:uid="{00000000-0005-0000-0000-0000981C0000}"/>
    <cellStyle name="20% - Accent5 61 2 4 2" xfId="19241" xr:uid="{00000000-0005-0000-0000-0000991C0000}"/>
    <cellStyle name="20% - Accent5 61 2 5" xfId="5959" xr:uid="{00000000-0005-0000-0000-00009A1C0000}"/>
    <cellStyle name="20% - Accent5 61 2 5 2" xfId="17247" xr:uid="{00000000-0005-0000-0000-00009B1C0000}"/>
    <cellStyle name="20% - Accent5 61 2 6" xfId="15253" xr:uid="{00000000-0005-0000-0000-00009C1C0000}"/>
    <cellStyle name="20% - Accent5 61 3" xfId="10944" xr:uid="{00000000-0005-0000-0000-00009D1C0000}"/>
    <cellStyle name="20% - Accent5 61 3 2" xfId="22232" xr:uid="{00000000-0005-0000-0000-00009E1C0000}"/>
    <cellStyle name="20% - Accent5 61 4" xfId="8950" xr:uid="{00000000-0005-0000-0000-00009F1C0000}"/>
    <cellStyle name="20% - Accent5 61 4 2" xfId="20238" xr:uid="{00000000-0005-0000-0000-0000A01C0000}"/>
    <cellStyle name="20% - Accent5 61 5" xfId="6956" xr:uid="{00000000-0005-0000-0000-0000A11C0000}"/>
    <cellStyle name="20% - Accent5 61 5 2" xfId="18244" xr:uid="{00000000-0005-0000-0000-0000A21C0000}"/>
    <cellStyle name="20% - Accent5 61 6" xfId="4962" xr:uid="{00000000-0005-0000-0000-0000A31C0000}"/>
    <cellStyle name="20% - Accent5 61 6 2" xfId="16250" xr:uid="{00000000-0005-0000-0000-0000A41C0000}"/>
    <cellStyle name="20% - Accent5 61 7" xfId="14256" xr:uid="{00000000-0005-0000-0000-0000A51C0000}"/>
    <cellStyle name="20% - Accent5 61 8" xfId="12942" xr:uid="{00000000-0005-0000-0000-0000A61C0000}"/>
    <cellStyle name="20% - Accent5 62" xfId="1007" xr:uid="{00000000-0005-0000-0000-0000A71C0000}"/>
    <cellStyle name="20% - Accent5 62 2" xfId="3963" xr:uid="{00000000-0005-0000-0000-0000A81C0000}"/>
    <cellStyle name="20% - Accent5 62 2 2" xfId="11942" xr:uid="{00000000-0005-0000-0000-0000A91C0000}"/>
    <cellStyle name="20% - Accent5 62 2 2 2" xfId="23230" xr:uid="{00000000-0005-0000-0000-0000AA1C0000}"/>
    <cellStyle name="20% - Accent5 62 2 3" xfId="9948" xr:uid="{00000000-0005-0000-0000-0000AB1C0000}"/>
    <cellStyle name="20% - Accent5 62 2 3 2" xfId="21236" xr:uid="{00000000-0005-0000-0000-0000AC1C0000}"/>
    <cellStyle name="20% - Accent5 62 2 4" xfId="7954" xr:uid="{00000000-0005-0000-0000-0000AD1C0000}"/>
    <cellStyle name="20% - Accent5 62 2 4 2" xfId="19242" xr:uid="{00000000-0005-0000-0000-0000AE1C0000}"/>
    <cellStyle name="20% - Accent5 62 2 5" xfId="5960" xr:uid="{00000000-0005-0000-0000-0000AF1C0000}"/>
    <cellStyle name="20% - Accent5 62 2 5 2" xfId="17248" xr:uid="{00000000-0005-0000-0000-0000B01C0000}"/>
    <cellStyle name="20% - Accent5 62 2 6" xfId="15254" xr:uid="{00000000-0005-0000-0000-0000B11C0000}"/>
    <cellStyle name="20% - Accent5 62 3" xfId="10945" xr:uid="{00000000-0005-0000-0000-0000B21C0000}"/>
    <cellStyle name="20% - Accent5 62 3 2" xfId="22233" xr:uid="{00000000-0005-0000-0000-0000B31C0000}"/>
    <cellStyle name="20% - Accent5 62 4" xfId="8951" xr:uid="{00000000-0005-0000-0000-0000B41C0000}"/>
    <cellStyle name="20% - Accent5 62 4 2" xfId="20239" xr:uid="{00000000-0005-0000-0000-0000B51C0000}"/>
    <cellStyle name="20% - Accent5 62 5" xfId="6957" xr:uid="{00000000-0005-0000-0000-0000B61C0000}"/>
    <cellStyle name="20% - Accent5 62 5 2" xfId="18245" xr:uid="{00000000-0005-0000-0000-0000B71C0000}"/>
    <cellStyle name="20% - Accent5 62 6" xfId="4963" xr:uid="{00000000-0005-0000-0000-0000B81C0000}"/>
    <cellStyle name="20% - Accent5 62 6 2" xfId="16251" xr:uid="{00000000-0005-0000-0000-0000B91C0000}"/>
    <cellStyle name="20% - Accent5 62 7" xfId="14257" xr:uid="{00000000-0005-0000-0000-0000BA1C0000}"/>
    <cellStyle name="20% - Accent5 62 8" xfId="12943" xr:uid="{00000000-0005-0000-0000-0000BB1C0000}"/>
    <cellStyle name="20% - Accent5 63" xfId="1008" xr:uid="{00000000-0005-0000-0000-0000BC1C0000}"/>
    <cellStyle name="20% - Accent5 63 2" xfId="3964" xr:uid="{00000000-0005-0000-0000-0000BD1C0000}"/>
    <cellStyle name="20% - Accent5 63 2 2" xfId="11943" xr:uid="{00000000-0005-0000-0000-0000BE1C0000}"/>
    <cellStyle name="20% - Accent5 63 2 2 2" xfId="23231" xr:uid="{00000000-0005-0000-0000-0000BF1C0000}"/>
    <cellStyle name="20% - Accent5 63 2 3" xfId="9949" xr:uid="{00000000-0005-0000-0000-0000C01C0000}"/>
    <cellStyle name="20% - Accent5 63 2 3 2" xfId="21237" xr:uid="{00000000-0005-0000-0000-0000C11C0000}"/>
    <cellStyle name="20% - Accent5 63 2 4" xfId="7955" xr:uid="{00000000-0005-0000-0000-0000C21C0000}"/>
    <cellStyle name="20% - Accent5 63 2 4 2" xfId="19243" xr:uid="{00000000-0005-0000-0000-0000C31C0000}"/>
    <cellStyle name="20% - Accent5 63 2 5" xfId="5961" xr:uid="{00000000-0005-0000-0000-0000C41C0000}"/>
    <cellStyle name="20% - Accent5 63 2 5 2" xfId="17249" xr:uid="{00000000-0005-0000-0000-0000C51C0000}"/>
    <cellStyle name="20% - Accent5 63 2 6" xfId="15255" xr:uid="{00000000-0005-0000-0000-0000C61C0000}"/>
    <cellStyle name="20% - Accent5 63 3" xfId="10946" xr:uid="{00000000-0005-0000-0000-0000C71C0000}"/>
    <cellStyle name="20% - Accent5 63 3 2" xfId="22234" xr:uid="{00000000-0005-0000-0000-0000C81C0000}"/>
    <cellStyle name="20% - Accent5 63 4" xfId="8952" xr:uid="{00000000-0005-0000-0000-0000C91C0000}"/>
    <cellStyle name="20% - Accent5 63 4 2" xfId="20240" xr:uid="{00000000-0005-0000-0000-0000CA1C0000}"/>
    <cellStyle name="20% - Accent5 63 5" xfId="6958" xr:uid="{00000000-0005-0000-0000-0000CB1C0000}"/>
    <cellStyle name="20% - Accent5 63 5 2" xfId="18246" xr:uid="{00000000-0005-0000-0000-0000CC1C0000}"/>
    <cellStyle name="20% - Accent5 63 6" xfId="4964" xr:uid="{00000000-0005-0000-0000-0000CD1C0000}"/>
    <cellStyle name="20% - Accent5 63 6 2" xfId="16252" xr:uid="{00000000-0005-0000-0000-0000CE1C0000}"/>
    <cellStyle name="20% - Accent5 63 7" xfId="14258" xr:uid="{00000000-0005-0000-0000-0000CF1C0000}"/>
    <cellStyle name="20% - Accent5 63 8" xfId="12944" xr:uid="{00000000-0005-0000-0000-0000D01C0000}"/>
    <cellStyle name="20% - Accent5 64" xfId="1009" xr:uid="{00000000-0005-0000-0000-0000D11C0000}"/>
    <cellStyle name="20% - Accent5 64 2" xfId="3965" xr:uid="{00000000-0005-0000-0000-0000D21C0000}"/>
    <cellStyle name="20% - Accent5 64 2 2" xfId="11944" xr:uid="{00000000-0005-0000-0000-0000D31C0000}"/>
    <cellStyle name="20% - Accent5 64 2 2 2" xfId="23232" xr:uid="{00000000-0005-0000-0000-0000D41C0000}"/>
    <cellStyle name="20% - Accent5 64 2 3" xfId="9950" xr:uid="{00000000-0005-0000-0000-0000D51C0000}"/>
    <cellStyle name="20% - Accent5 64 2 3 2" xfId="21238" xr:uid="{00000000-0005-0000-0000-0000D61C0000}"/>
    <cellStyle name="20% - Accent5 64 2 4" xfId="7956" xr:uid="{00000000-0005-0000-0000-0000D71C0000}"/>
    <cellStyle name="20% - Accent5 64 2 4 2" xfId="19244" xr:uid="{00000000-0005-0000-0000-0000D81C0000}"/>
    <cellStyle name="20% - Accent5 64 2 5" xfId="5962" xr:uid="{00000000-0005-0000-0000-0000D91C0000}"/>
    <cellStyle name="20% - Accent5 64 2 5 2" xfId="17250" xr:uid="{00000000-0005-0000-0000-0000DA1C0000}"/>
    <cellStyle name="20% - Accent5 64 2 6" xfId="15256" xr:uid="{00000000-0005-0000-0000-0000DB1C0000}"/>
    <cellStyle name="20% - Accent5 64 3" xfId="10947" xr:uid="{00000000-0005-0000-0000-0000DC1C0000}"/>
    <cellStyle name="20% - Accent5 64 3 2" xfId="22235" xr:uid="{00000000-0005-0000-0000-0000DD1C0000}"/>
    <cellStyle name="20% - Accent5 64 4" xfId="8953" xr:uid="{00000000-0005-0000-0000-0000DE1C0000}"/>
    <cellStyle name="20% - Accent5 64 4 2" xfId="20241" xr:uid="{00000000-0005-0000-0000-0000DF1C0000}"/>
    <cellStyle name="20% - Accent5 64 5" xfId="6959" xr:uid="{00000000-0005-0000-0000-0000E01C0000}"/>
    <cellStyle name="20% - Accent5 64 5 2" xfId="18247" xr:uid="{00000000-0005-0000-0000-0000E11C0000}"/>
    <cellStyle name="20% - Accent5 64 6" xfId="4965" xr:uid="{00000000-0005-0000-0000-0000E21C0000}"/>
    <cellStyle name="20% - Accent5 64 6 2" xfId="16253" xr:uid="{00000000-0005-0000-0000-0000E31C0000}"/>
    <cellStyle name="20% - Accent5 64 7" xfId="14259" xr:uid="{00000000-0005-0000-0000-0000E41C0000}"/>
    <cellStyle name="20% - Accent5 64 8" xfId="12945" xr:uid="{00000000-0005-0000-0000-0000E51C0000}"/>
    <cellStyle name="20% - Accent5 65" xfId="1010" xr:uid="{00000000-0005-0000-0000-0000E61C0000}"/>
    <cellStyle name="20% - Accent5 65 2" xfId="3966" xr:uid="{00000000-0005-0000-0000-0000E71C0000}"/>
    <cellStyle name="20% - Accent5 65 2 2" xfId="11945" xr:uid="{00000000-0005-0000-0000-0000E81C0000}"/>
    <cellStyle name="20% - Accent5 65 2 2 2" xfId="23233" xr:uid="{00000000-0005-0000-0000-0000E91C0000}"/>
    <cellStyle name="20% - Accent5 65 2 3" xfId="9951" xr:uid="{00000000-0005-0000-0000-0000EA1C0000}"/>
    <cellStyle name="20% - Accent5 65 2 3 2" xfId="21239" xr:uid="{00000000-0005-0000-0000-0000EB1C0000}"/>
    <cellStyle name="20% - Accent5 65 2 4" xfId="7957" xr:uid="{00000000-0005-0000-0000-0000EC1C0000}"/>
    <cellStyle name="20% - Accent5 65 2 4 2" xfId="19245" xr:uid="{00000000-0005-0000-0000-0000ED1C0000}"/>
    <cellStyle name="20% - Accent5 65 2 5" xfId="5963" xr:uid="{00000000-0005-0000-0000-0000EE1C0000}"/>
    <cellStyle name="20% - Accent5 65 2 5 2" xfId="17251" xr:uid="{00000000-0005-0000-0000-0000EF1C0000}"/>
    <cellStyle name="20% - Accent5 65 2 6" xfId="15257" xr:uid="{00000000-0005-0000-0000-0000F01C0000}"/>
    <cellStyle name="20% - Accent5 65 3" xfId="10948" xr:uid="{00000000-0005-0000-0000-0000F11C0000}"/>
    <cellStyle name="20% - Accent5 65 3 2" xfId="22236" xr:uid="{00000000-0005-0000-0000-0000F21C0000}"/>
    <cellStyle name="20% - Accent5 65 4" xfId="8954" xr:uid="{00000000-0005-0000-0000-0000F31C0000}"/>
    <cellStyle name="20% - Accent5 65 4 2" xfId="20242" xr:uid="{00000000-0005-0000-0000-0000F41C0000}"/>
    <cellStyle name="20% - Accent5 65 5" xfId="6960" xr:uid="{00000000-0005-0000-0000-0000F51C0000}"/>
    <cellStyle name="20% - Accent5 65 5 2" xfId="18248" xr:uid="{00000000-0005-0000-0000-0000F61C0000}"/>
    <cellStyle name="20% - Accent5 65 6" xfId="4966" xr:uid="{00000000-0005-0000-0000-0000F71C0000}"/>
    <cellStyle name="20% - Accent5 65 6 2" xfId="16254" xr:uid="{00000000-0005-0000-0000-0000F81C0000}"/>
    <cellStyle name="20% - Accent5 65 7" xfId="14260" xr:uid="{00000000-0005-0000-0000-0000F91C0000}"/>
    <cellStyle name="20% - Accent5 65 8" xfId="12946" xr:uid="{00000000-0005-0000-0000-0000FA1C0000}"/>
    <cellStyle name="20% - Accent5 66" xfId="1011" xr:uid="{00000000-0005-0000-0000-0000FB1C0000}"/>
    <cellStyle name="20% - Accent5 66 2" xfId="3967" xr:uid="{00000000-0005-0000-0000-0000FC1C0000}"/>
    <cellStyle name="20% - Accent5 66 2 2" xfId="11946" xr:uid="{00000000-0005-0000-0000-0000FD1C0000}"/>
    <cellStyle name="20% - Accent5 66 2 2 2" xfId="23234" xr:uid="{00000000-0005-0000-0000-0000FE1C0000}"/>
    <cellStyle name="20% - Accent5 66 2 3" xfId="9952" xr:uid="{00000000-0005-0000-0000-0000FF1C0000}"/>
    <cellStyle name="20% - Accent5 66 2 3 2" xfId="21240" xr:uid="{00000000-0005-0000-0000-0000001D0000}"/>
    <cellStyle name="20% - Accent5 66 2 4" xfId="7958" xr:uid="{00000000-0005-0000-0000-0000011D0000}"/>
    <cellStyle name="20% - Accent5 66 2 4 2" xfId="19246" xr:uid="{00000000-0005-0000-0000-0000021D0000}"/>
    <cellStyle name="20% - Accent5 66 2 5" xfId="5964" xr:uid="{00000000-0005-0000-0000-0000031D0000}"/>
    <cellStyle name="20% - Accent5 66 2 5 2" xfId="17252" xr:uid="{00000000-0005-0000-0000-0000041D0000}"/>
    <cellStyle name="20% - Accent5 66 2 6" xfId="15258" xr:uid="{00000000-0005-0000-0000-0000051D0000}"/>
    <cellStyle name="20% - Accent5 66 3" xfId="10949" xr:uid="{00000000-0005-0000-0000-0000061D0000}"/>
    <cellStyle name="20% - Accent5 66 3 2" xfId="22237" xr:uid="{00000000-0005-0000-0000-0000071D0000}"/>
    <cellStyle name="20% - Accent5 66 4" xfId="8955" xr:uid="{00000000-0005-0000-0000-0000081D0000}"/>
    <cellStyle name="20% - Accent5 66 4 2" xfId="20243" xr:uid="{00000000-0005-0000-0000-0000091D0000}"/>
    <cellStyle name="20% - Accent5 66 5" xfId="6961" xr:uid="{00000000-0005-0000-0000-00000A1D0000}"/>
    <cellStyle name="20% - Accent5 66 5 2" xfId="18249" xr:uid="{00000000-0005-0000-0000-00000B1D0000}"/>
    <cellStyle name="20% - Accent5 66 6" xfId="4967" xr:uid="{00000000-0005-0000-0000-00000C1D0000}"/>
    <cellStyle name="20% - Accent5 66 6 2" xfId="16255" xr:uid="{00000000-0005-0000-0000-00000D1D0000}"/>
    <cellStyle name="20% - Accent5 66 7" xfId="14261" xr:uid="{00000000-0005-0000-0000-00000E1D0000}"/>
    <cellStyle name="20% - Accent5 66 8" xfId="12947" xr:uid="{00000000-0005-0000-0000-00000F1D0000}"/>
    <cellStyle name="20% - Accent5 67" xfId="1012" xr:uid="{00000000-0005-0000-0000-0000101D0000}"/>
    <cellStyle name="20% - Accent5 67 2" xfId="3968" xr:uid="{00000000-0005-0000-0000-0000111D0000}"/>
    <cellStyle name="20% - Accent5 67 2 2" xfId="11947" xr:uid="{00000000-0005-0000-0000-0000121D0000}"/>
    <cellStyle name="20% - Accent5 67 2 2 2" xfId="23235" xr:uid="{00000000-0005-0000-0000-0000131D0000}"/>
    <cellStyle name="20% - Accent5 67 2 3" xfId="9953" xr:uid="{00000000-0005-0000-0000-0000141D0000}"/>
    <cellStyle name="20% - Accent5 67 2 3 2" xfId="21241" xr:uid="{00000000-0005-0000-0000-0000151D0000}"/>
    <cellStyle name="20% - Accent5 67 2 4" xfId="7959" xr:uid="{00000000-0005-0000-0000-0000161D0000}"/>
    <cellStyle name="20% - Accent5 67 2 4 2" xfId="19247" xr:uid="{00000000-0005-0000-0000-0000171D0000}"/>
    <cellStyle name="20% - Accent5 67 2 5" xfId="5965" xr:uid="{00000000-0005-0000-0000-0000181D0000}"/>
    <cellStyle name="20% - Accent5 67 2 5 2" xfId="17253" xr:uid="{00000000-0005-0000-0000-0000191D0000}"/>
    <cellStyle name="20% - Accent5 67 2 6" xfId="15259" xr:uid="{00000000-0005-0000-0000-00001A1D0000}"/>
    <cellStyle name="20% - Accent5 67 3" xfId="10950" xr:uid="{00000000-0005-0000-0000-00001B1D0000}"/>
    <cellStyle name="20% - Accent5 67 3 2" xfId="22238" xr:uid="{00000000-0005-0000-0000-00001C1D0000}"/>
    <cellStyle name="20% - Accent5 67 4" xfId="8956" xr:uid="{00000000-0005-0000-0000-00001D1D0000}"/>
    <cellStyle name="20% - Accent5 67 4 2" xfId="20244" xr:uid="{00000000-0005-0000-0000-00001E1D0000}"/>
    <cellStyle name="20% - Accent5 67 5" xfId="6962" xr:uid="{00000000-0005-0000-0000-00001F1D0000}"/>
    <cellStyle name="20% - Accent5 67 5 2" xfId="18250" xr:uid="{00000000-0005-0000-0000-0000201D0000}"/>
    <cellStyle name="20% - Accent5 67 6" xfId="4968" xr:uid="{00000000-0005-0000-0000-0000211D0000}"/>
    <cellStyle name="20% - Accent5 67 6 2" xfId="16256" xr:uid="{00000000-0005-0000-0000-0000221D0000}"/>
    <cellStyle name="20% - Accent5 67 7" xfId="14262" xr:uid="{00000000-0005-0000-0000-0000231D0000}"/>
    <cellStyle name="20% - Accent5 67 8" xfId="12948" xr:uid="{00000000-0005-0000-0000-0000241D0000}"/>
    <cellStyle name="20% - Accent5 68" xfId="1013" xr:uid="{00000000-0005-0000-0000-0000251D0000}"/>
    <cellStyle name="20% - Accent5 68 2" xfId="3969" xr:uid="{00000000-0005-0000-0000-0000261D0000}"/>
    <cellStyle name="20% - Accent5 68 2 2" xfId="11948" xr:uid="{00000000-0005-0000-0000-0000271D0000}"/>
    <cellStyle name="20% - Accent5 68 2 2 2" xfId="23236" xr:uid="{00000000-0005-0000-0000-0000281D0000}"/>
    <cellStyle name="20% - Accent5 68 2 3" xfId="9954" xr:uid="{00000000-0005-0000-0000-0000291D0000}"/>
    <cellStyle name="20% - Accent5 68 2 3 2" xfId="21242" xr:uid="{00000000-0005-0000-0000-00002A1D0000}"/>
    <cellStyle name="20% - Accent5 68 2 4" xfId="7960" xr:uid="{00000000-0005-0000-0000-00002B1D0000}"/>
    <cellStyle name="20% - Accent5 68 2 4 2" xfId="19248" xr:uid="{00000000-0005-0000-0000-00002C1D0000}"/>
    <cellStyle name="20% - Accent5 68 2 5" xfId="5966" xr:uid="{00000000-0005-0000-0000-00002D1D0000}"/>
    <cellStyle name="20% - Accent5 68 2 5 2" xfId="17254" xr:uid="{00000000-0005-0000-0000-00002E1D0000}"/>
    <cellStyle name="20% - Accent5 68 2 6" xfId="15260" xr:uid="{00000000-0005-0000-0000-00002F1D0000}"/>
    <cellStyle name="20% - Accent5 68 3" xfId="10951" xr:uid="{00000000-0005-0000-0000-0000301D0000}"/>
    <cellStyle name="20% - Accent5 68 3 2" xfId="22239" xr:uid="{00000000-0005-0000-0000-0000311D0000}"/>
    <cellStyle name="20% - Accent5 68 4" xfId="8957" xr:uid="{00000000-0005-0000-0000-0000321D0000}"/>
    <cellStyle name="20% - Accent5 68 4 2" xfId="20245" xr:uid="{00000000-0005-0000-0000-0000331D0000}"/>
    <cellStyle name="20% - Accent5 68 5" xfId="6963" xr:uid="{00000000-0005-0000-0000-0000341D0000}"/>
    <cellStyle name="20% - Accent5 68 5 2" xfId="18251" xr:uid="{00000000-0005-0000-0000-0000351D0000}"/>
    <cellStyle name="20% - Accent5 68 6" xfId="4969" xr:uid="{00000000-0005-0000-0000-0000361D0000}"/>
    <cellStyle name="20% - Accent5 68 6 2" xfId="16257" xr:uid="{00000000-0005-0000-0000-0000371D0000}"/>
    <cellStyle name="20% - Accent5 68 7" xfId="14263" xr:uid="{00000000-0005-0000-0000-0000381D0000}"/>
    <cellStyle name="20% - Accent5 68 8" xfId="12949" xr:uid="{00000000-0005-0000-0000-0000391D0000}"/>
    <cellStyle name="20% - Accent5 69" xfId="1014" xr:uid="{00000000-0005-0000-0000-00003A1D0000}"/>
    <cellStyle name="20% - Accent5 69 2" xfId="3970" xr:uid="{00000000-0005-0000-0000-00003B1D0000}"/>
    <cellStyle name="20% - Accent5 69 2 2" xfId="11949" xr:uid="{00000000-0005-0000-0000-00003C1D0000}"/>
    <cellStyle name="20% - Accent5 69 2 2 2" xfId="23237" xr:uid="{00000000-0005-0000-0000-00003D1D0000}"/>
    <cellStyle name="20% - Accent5 69 2 3" xfId="9955" xr:uid="{00000000-0005-0000-0000-00003E1D0000}"/>
    <cellStyle name="20% - Accent5 69 2 3 2" xfId="21243" xr:uid="{00000000-0005-0000-0000-00003F1D0000}"/>
    <cellStyle name="20% - Accent5 69 2 4" xfId="7961" xr:uid="{00000000-0005-0000-0000-0000401D0000}"/>
    <cellStyle name="20% - Accent5 69 2 4 2" xfId="19249" xr:uid="{00000000-0005-0000-0000-0000411D0000}"/>
    <cellStyle name="20% - Accent5 69 2 5" xfId="5967" xr:uid="{00000000-0005-0000-0000-0000421D0000}"/>
    <cellStyle name="20% - Accent5 69 2 5 2" xfId="17255" xr:uid="{00000000-0005-0000-0000-0000431D0000}"/>
    <cellStyle name="20% - Accent5 69 2 6" xfId="15261" xr:uid="{00000000-0005-0000-0000-0000441D0000}"/>
    <cellStyle name="20% - Accent5 69 3" xfId="10952" xr:uid="{00000000-0005-0000-0000-0000451D0000}"/>
    <cellStyle name="20% - Accent5 69 3 2" xfId="22240" xr:uid="{00000000-0005-0000-0000-0000461D0000}"/>
    <cellStyle name="20% - Accent5 69 4" xfId="8958" xr:uid="{00000000-0005-0000-0000-0000471D0000}"/>
    <cellStyle name="20% - Accent5 69 4 2" xfId="20246" xr:uid="{00000000-0005-0000-0000-0000481D0000}"/>
    <cellStyle name="20% - Accent5 69 5" xfId="6964" xr:uid="{00000000-0005-0000-0000-0000491D0000}"/>
    <cellStyle name="20% - Accent5 69 5 2" xfId="18252" xr:uid="{00000000-0005-0000-0000-00004A1D0000}"/>
    <cellStyle name="20% - Accent5 69 6" xfId="4970" xr:uid="{00000000-0005-0000-0000-00004B1D0000}"/>
    <cellStyle name="20% - Accent5 69 6 2" xfId="16258" xr:uid="{00000000-0005-0000-0000-00004C1D0000}"/>
    <cellStyle name="20% - Accent5 69 7" xfId="14264" xr:uid="{00000000-0005-0000-0000-00004D1D0000}"/>
    <cellStyle name="20% - Accent5 69 8" xfId="12950" xr:uid="{00000000-0005-0000-0000-00004E1D0000}"/>
    <cellStyle name="20% - Accent5 7" xfId="1015" xr:uid="{00000000-0005-0000-0000-00004F1D0000}"/>
    <cellStyle name="20% - Accent5 7 10" xfId="24588" xr:uid="{00000000-0005-0000-0000-0000501D0000}"/>
    <cellStyle name="20% - Accent5 7 11" xfId="24978" xr:uid="{00000000-0005-0000-0000-0000511D0000}"/>
    <cellStyle name="20% - Accent5 7 2" xfId="3971" xr:uid="{00000000-0005-0000-0000-0000521D0000}"/>
    <cellStyle name="20% - Accent5 7 2 2" xfId="11950" xr:uid="{00000000-0005-0000-0000-0000531D0000}"/>
    <cellStyle name="20% - Accent5 7 2 2 2" xfId="23238" xr:uid="{00000000-0005-0000-0000-0000541D0000}"/>
    <cellStyle name="20% - Accent5 7 2 3" xfId="9956" xr:uid="{00000000-0005-0000-0000-0000551D0000}"/>
    <cellStyle name="20% - Accent5 7 2 3 2" xfId="21244" xr:uid="{00000000-0005-0000-0000-0000561D0000}"/>
    <cellStyle name="20% - Accent5 7 2 4" xfId="7962" xr:uid="{00000000-0005-0000-0000-0000571D0000}"/>
    <cellStyle name="20% - Accent5 7 2 4 2" xfId="19250" xr:uid="{00000000-0005-0000-0000-0000581D0000}"/>
    <cellStyle name="20% - Accent5 7 2 5" xfId="5968" xr:uid="{00000000-0005-0000-0000-0000591D0000}"/>
    <cellStyle name="20% - Accent5 7 2 5 2" xfId="17256" xr:uid="{00000000-0005-0000-0000-00005A1D0000}"/>
    <cellStyle name="20% - Accent5 7 2 6" xfId="15262" xr:uid="{00000000-0005-0000-0000-00005B1D0000}"/>
    <cellStyle name="20% - Accent5 7 2 7" xfId="24349" xr:uid="{00000000-0005-0000-0000-00005C1D0000}"/>
    <cellStyle name="20% - Accent5 7 2 8" xfId="24813" xr:uid="{00000000-0005-0000-0000-00005D1D0000}"/>
    <cellStyle name="20% - Accent5 7 2 9" xfId="25180" xr:uid="{00000000-0005-0000-0000-00005E1D0000}"/>
    <cellStyle name="20% - Accent5 7 3" xfId="10953" xr:uid="{00000000-0005-0000-0000-00005F1D0000}"/>
    <cellStyle name="20% - Accent5 7 3 2" xfId="22241" xr:uid="{00000000-0005-0000-0000-0000601D0000}"/>
    <cellStyle name="20% - Accent5 7 4" xfId="8959" xr:uid="{00000000-0005-0000-0000-0000611D0000}"/>
    <cellStyle name="20% - Accent5 7 4 2" xfId="20247" xr:uid="{00000000-0005-0000-0000-0000621D0000}"/>
    <cellStyle name="20% - Accent5 7 5" xfId="6965" xr:uid="{00000000-0005-0000-0000-0000631D0000}"/>
    <cellStyle name="20% - Accent5 7 5 2" xfId="18253" xr:uid="{00000000-0005-0000-0000-0000641D0000}"/>
    <cellStyle name="20% - Accent5 7 6" xfId="4971" xr:uid="{00000000-0005-0000-0000-0000651D0000}"/>
    <cellStyle name="20% - Accent5 7 6 2" xfId="16259" xr:uid="{00000000-0005-0000-0000-0000661D0000}"/>
    <cellStyle name="20% - Accent5 7 7" xfId="14265" xr:uid="{00000000-0005-0000-0000-0000671D0000}"/>
    <cellStyle name="20% - Accent5 7 8" xfId="12951" xr:uid="{00000000-0005-0000-0000-0000681D0000}"/>
    <cellStyle name="20% - Accent5 7 9" xfId="23961" xr:uid="{00000000-0005-0000-0000-0000691D0000}"/>
    <cellStyle name="20% - Accent5 70" xfId="1016" xr:uid="{00000000-0005-0000-0000-00006A1D0000}"/>
    <cellStyle name="20% - Accent5 70 2" xfId="3972" xr:uid="{00000000-0005-0000-0000-00006B1D0000}"/>
    <cellStyle name="20% - Accent5 70 2 2" xfId="11951" xr:uid="{00000000-0005-0000-0000-00006C1D0000}"/>
    <cellStyle name="20% - Accent5 70 2 2 2" xfId="23239" xr:uid="{00000000-0005-0000-0000-00006D1D0000}"/>
    <cellStyle name="20% - Accent5 70 2 3" xfId="9957" xr:uid="{00000000-0005-0000-0000-00006E1D0000}"/>
    <cellStyle name="20% - Accent5 70 2 3 2" xfId="21245" xr:uid="{00000000-0005-0000-0000-00006F1D0000}"/>
    <cellStyle name="20% - Accent5 70 2 4" xfId="7963" xr:uid="{00000000-0005-0000-0000-0000701D0000}"/>
    <cellStyle name="20% - Accent5 70 2 4 2" xfId="19251" xr:uid="{00000000-0005-0000-0000-0000711D0000}"/>
    <cellStyle name="20% - Accent5 70 2 5" xfId="5969" xr:uid="{00000000-0005-0000-0000-0000721D0000}"/>
    <cellStyle name="20% - Accent5 70 2 5 2" xfId="17257" xr:uid="{00000000-0005-0000-0000-0000731D0000}"/>
    <cellStyle name="20% - Accent5 70 2 6" xfId="15263" xr:uid="{00000000-0005-0000-0000-0000741D0000}"/>
    <cellStyle name="20% - Accent5 70 3" xfId="10954" xr:uid="{00000000-0005-0000-0000-0000751D0000}"/>
    <cellStyle name="20% - Accent5 70 3 2" xfId="22242" xr:uid="{00000000-0005-0000-0000-0000761D0000}"/>
    <cellStyle name="20% - Accent5 70 4" xfId="8960" xr:uid="{00000000-0005-0000-0000-0000771D0000}"/>
    <cellStyle name="20% - Accent5 70 4 2" xfId="20248" xr:uid="{00000000-0005-0000-0000-0000781D0000}"/>
    <cellStyle name="20% - Accent5 70 5" xfId="6966" xr:uid="{00000000-0005-0000-0000-0000791D0000}"/>
    <cellStyle name="20% - Accent5 70 5 2" xfId="18254" xr:uid="{00000000-0005-0000-0000-00007A1D0000}"/>
    <cellStyle name="20% - Accent5 70 6" xfId="4972" xr:uid="{00000000-0005-0000-0000-00007B1D0000}"/>
    <cellStyle name="20% - Accent5 70 6 2" xfId="16260" xr:uid="{00000000-0005-0000-0000-00007C1D0000}"/>
    <cellStyle name="20% - Accent5 70 7" xfId="14266" xr:uid="{00000000-0005-0000-0000-00007D1D0000}"/>
    <cellStyle name="20% - Accent5 70 8" xfId="12952" xr:uid="{00000000-0005-0000-0000-00007E1D0000}"/>
    <cellStyle name="20% - Accent5 71" xfId="1017" xr:uid="{00000000-0005-0000-0000-00007F1D0000}"/>
    <cellStyle name="20% - Accent5 71 2" xfId="3973" xr:uid="{00000000-0005-0000-0000-0000801D0000}"/>
    <cellStyle name="20% - Accent5 71 2 2" xfId="11952" xr:uid="{00000000-0005-0000-0000-0000811D0000}"/>
    <cellStyle name="20% - Accent5 71 2 2 2" xfId="23240" xr:uid="{00000000-0005-0000-0000-0000821D0000}"/>
    <cellStyle name="20% - Accent5 71 2 3" xfId="9958" xr:uid="{00000000-0005-0000-0000-0000831D0000}"/>
    <cellStyle name="20% - Accent5 71 2 3 2" xfId="21246" xr:uid="{00000000-0005-0000-0000-0000841D0000}"/>
    <cellStyle name="20% - Accent5 71 2 4" xfId="7964" xr:uid="{00000000-0005-0000-0000-0000851D0000}"/>
    <cellStyle name="20% - Accent5 71 2 4 2" xfId="19252" xr:uid="{00000000-0005-0000-0000-0000861D0000}"/>
    <cellStyle name="20% - Accent5 71 2 5" xfId="5970" xr:uid="{00000000-0005-0000-0000-0000871D0000}"/>
    <cellStyle name="20% - Accent5 71 2 5 2" xfId="17258" xr:uid="{00000000-0005-0000-0000-0000881D0000}"/>
    <cellStyle name="20% - Accent5 71 2 6" xfId="15264" xr:uid="{00000000-0005-0000-0000-0000891D0000}"/>
    <cellStyle name="20% - Accent5 71 3" xfId="10955" xr:uid="{00000000-0005-0000-0000-00008A1D0000}"/>
    <cellStyle name="20% - Accent5 71 3 2" xfId="22243" xr:uid="{00000000-0005-0000-0000-00008B1D0000}"/>
    <cellStyle name="20% - Accent5 71 4" xfId="8961" xr:uid="{00000000-0005-0000-0000-00008C1D0000}"/>
    <cellStyle name="20% - Accent5 71 4 2" xfId="20249" xr:uid="{00000000-0005-0000-0000-00008D1D0000}"/>
    <cellStyle name="20% - Accent5 71 5" xfId="6967" xr:uid="{00000000-0005-0000-0000-00008E1D0000}"/>
    <cellStyle name="20% - Accent5 71 5 2" xfId="18255" xr:uid="{00000000-0005-0000-0000-00008F1D0000}"/>
    <cellStyle name="20% - Accent5 71 6" xfId="4973" xr:uid="{00000000-0005-0000-0000-0000901D0000}"/>
    <cellStyle name="20% - Accent5 71 6 2" xfId="16261" xr:uid="{00000000-0005-0000-0000-0000911D0000}"/>
    <cellStyle name="20% - Accent5 71 7" xfId="14267" xr:uid="{00000000-0005-0000-0000-0000921D0000}"/>
    <cellStyle name="20% - Accent5 71 8" xfId="12953" xr:uid="{00000000-0005-0000-0000-0000931D0000}"/>
    <cellStyle name="20% - Accent5 72" xfId="1018" xr:uid="{00000000-0005-0000-0000-0000941D0000}"/>
    <cellStyle name="20% - Accent5 72 2" xfId="3974" xr:uid="{00000000-0005-0000-0000-0000951D0000}"/>
    <cellStyle name="20% - Accent5 72 2 2" xfId="11953" xr:uid="{00000000-0005-0000-0000-0000961D0000}"/>
    <cellStyle name="20% - Accent5 72 2 2 2" xfId="23241" xr:uid="{00000000-0005-0000-0000-0000971D0000}"/>
    <cellStyle name="20% - Accent5 72 2 3" xfId="9959" xr:uid="{00000000-0005-0000-0000-0000981D0000}"/>
    <cellStyle name="20% - Accent5 72 2 3 2" xfId="21247" xr:uid="{00000000-0005-0000-0000-0000991D0000}"/>
    <cellStyle name="20% - Accent5 72 2 4" xfId="7965" xr:uid="{00000000-0005-0000-0000-00009A1D0000}"/>
    <cellStyle name="20% - Accent5 72 2 4 2" xfId="19253" xr:uid="{00000000-0005-0000-0000-00009B1D0000}"/>
    <cellStyle name="20% - Accent5 72 2 5" xfId="5971" xr:uid="{00000000-0005-0000-0000-00009C1D0000}"/>
    <cellStyle name="20% - Accent5 72 2 5 2" xfId="17259" xr:uid="{00000000-0005-0000-0000-00009D1D0000}"/>
    <cellStyle name="20% - Accent5 72 2 6" xfId="15265" xr:uid="{00000000-0005-0000-0000-00009E1D0000}"/>
    <cellStyle name="20% - Accent5 72 3" xfId="10956" xr:uid="{00000000-0005-0000-0000-00009F1D0000}"/>
    <cellStyle name="20% - Accent5 72 3 2" xfId="22244" xr:uid="{00000000-0005-0000-0000-0000A01D0000}"/>
    <cellStyle name="20% - Accent5 72 4" xfId="8962" xr:uid="{00000000-0005-0000-0000-0000A11D0000}"/>
    <cellStyle name="20% - Accent5 72 4 2" xfId="20250" xr:uid="{00000000-0005-0000-0000-0000A21D0000}"/>
    <cellStyle name="20% - Accent5 72 5" xfId="6968" xr:uid="{00000000-0005-0000-0000-0000A31D0000}"/>
    <cellStyle name="20% - Accent5 72 5 2" xfId="18256" xr:uid="{00000000-0005-0000-0000-0000A41D0000}"/>
    <cellStyle name="20% - Accent5 72 6" xfId="4974" xr:uid="{00000000-0005-0000-0000-0000A51D0000}"/>
    <cellStyle name="20% - Accent5 72 6 2" xfId="16262" xr:uid="{00000000-0005-0000-0000-0000A61D0000}"/>
    <cellStyle name="20% - Accent5 72 7" xfId="14268" xr:uid="{00000000-0005-0000-0000-0000A71D0000}"/>
    <cellStyle name="20% - Accent5 72 8" xfId="12954" xr:uid="{00000000-0005-0000-0000-0000A81D0000}"/>
    <cellStyle name="20% - Accent5 8" xfId="1019" xr:uid="{00000000-0005-0000-0000-0000A91D0000}"/>
    <cellStyle name="20% - Accent5 8 2" xfId="3975" xr:uid="{00000000-0005-0000-0000-0000AA1D0000}"/>
    <cellStyle name="20% - Accent5 8 2 2" xfId="11954" xr:uid="{00000000-0005-0000-0000-0000AB1D0000}"/>
    <cellStyle name="20% - Accent5 8 2 2 2" xfId="23242" xr:uid="{00000000-0005-0000-0000-0000AC1D0000}"/>
    <cellStyle name="20% - Accent5 8 2 3" xfId="9960" xr:uid="{00000000-0005-0000-0000-0000AD1D0000}"/>
    <cellStyle name="20% - Accent5 8 2 3 2" xfId="21248" xr:uid="{00000000-0005-0000-0000-0000AE1D0000}"/>
    <cellStyle name="20% - Accent5 8 2 4" xfId="7966" xr:uid="{00000000-0005-0000-0000-0000AF1D0000}"/>
    <cellStyle name="20% - Accent5 8 2 4 2" xfId="19254" xr:uid="{00000000-0005-0000-0000-0000B01D0000}"/>
    <cellStyle name="20% - Accent5 8 2 5" xfId="5972" xr:uid="{00000000-0005-0000-0000-0000B11D0000}"/>
    <cellStyle name="20% - Accent5 8 2 5 2" xfId="17260" xr:uid="{00000000-0005-0000-0000-0000B21D0000}"/>
    <cellStyle name="20% - Accent5 8 2 6" xfId="15266" xr:uid="{00000000-0005-0000-0000-0000B31D0000}"/>
    <cellStyle name="20% - Accent5 8 3" xfId="10957" xr:uid="{00000000-0005-0000-0000-0000B41D0000}"/>
    <cellStyle name="20% - Accent5 8 3 2" xfId="22245" xr:uid="{00000000-0005-0000-0000-0000B51D0000}"/>
    <cellStyle name="20% - Accent5 8 4" xfId="8963" xr:uid="{00000000-0005-0000-0000-0000B61D0000}"/>
    <cellStyle name="20% - Accent5 8 4 2" xfId="20251" xr:uid="{00000000-0005-0000-0000-0000B71D0000}"/>
    <cellStyle name="20% - Accent5 8 5" xfId="6969" xr:uid="{00000000-0005-0000-0000-0000B81D0000}"/>
    <cellStyle name="20% - Accent5 8 5 2" xfId="18257" xr:uid="{00000000-0005-0000-0000-0000B91D0000}"/>
    <cellStyle name="20% - Accent5 8 6" xfId="4975" xr:uid="{00000000-0005-0000-0000-0000BA1D0000}"/>
    <cellStyle name="20% - Accent5 8 6 2" xfId="16263" xr:uid="{00000000-0005-0000-0000-0000BB1D0000}"/>
    <cellStyle name="20% - Accent5 8 7" xfId="14269" xr:uid="{00000000-0005-0000-0000-0000BC1D0000}"/>
    <cellStyle name="20% - Accent5 8 8" xfId="12955" xr:uid="{00000000-0005-0000-0000-0000BD1D0000}"/>
    <cellStyle name="20% - Accent5 9" xfId="1020" xr:uid="{00000000-0005-0000-0000-0000BE1D0000}"/>
    <cellStyle name="20% - Accent5 9 2" xfId="3976" xr:uid="{00000000-0005-0000-0000-0000BF1D0000}"/>
    <cellStyle name="20% - Accent5 9 2 2" xfId="11955" xr:uid="{00000000-0005-0000-0000-0000C01D0000}"/>
    <cellStyle name="20% - Accent5 9 2 2 2" xfId="23243" xr:uid="{00000000-0005-0000-0000-0000C11D0000}"/>
    <cellStyle name="20% - Accent5 9 2 3" xfId="9961" xr:uid="{00000000-0005-0000-0000-0000C21D0000}"/>
    <cellStyle name="20% - Accent5 9 2 3 2" xfId="21249" xr:uid="{00000000-0005-0000-0000-0000C31D0000}"/>
    <cellStyle name="20% - Accent5 9 2 4" xfId="7967" xr:uid="{00000000-0005-0000-0000-0000C41D0000}"/>
    <cellStyle name="20% - Accent5 9 2 4 2" xfId="19255" xr:uid="{00000000-0005-0000-0000-0000C51D0000}"/>
    <cellStyle name="20% - Accent5 9 2 5" xfId="5973" xr:uid="{00000000-0005-0000-0000-0000C61D0000}"/>
    <cellStyle name="20% - Accent5 9 2 5 2" xfId="17261" xr:uid="{00000000-0005-0000-0000-0000C71D0000}"/>
    <cellStyle name="20% - Accent5 9 2 6" xfId="15267" xr:uid="{00000000-0005-0000-0000-0000C81D0000}"/>
    <cellStyle name="20% - Accent5 9 3" xfId="10958" xr:uid="{00000000-0005-0000-0000-0000C91D0000}"/>
    <cellStyle name="20% - Accent5 9 3 2" xfId="22246" xr:uid="{00000000-0005-0000-0000-0000CA1D0000}"/>
    <cellStyle name="20% - Accent5 9 4" xfId="8964" xr:uid="{00000000-0005-0000-0000-0000CB1D0000}"/>
    <cellStyle name="20% - Accent5 9 4 2" xfId="20252" xr:uid="{00000000-0005-0000-0000-0000CC1D0000}"/>
    <cellStyle name="20% - Accent5 9 5" xfId="6970" xr:uid="{00000000-0005-0000-0000-0000CD1D0000}"/>
    <cellStyle name="20% - Accent5 9 5 2" xfId="18258" xr:uid="{00000000-0005-0000-0000-0000CE1D0000}"/>
    <cellStyle name="20% - Accent5 9 6" xfId="4976" xr:uid="{00000000-0005-0000-0000-0000CF1D0000}"/>
    <cellStyle name="20% - Accent5 9 6 2" xfId="16264" xr:uid="{00000000-0005-0000-0000-0000D01D0000}"/>
    <cellStyle name="20% - Accent5 9 7" xfId="14270" xr:uid="{00000000-0005-0000-0000-0000D11D0000}"/>
    <cellStyle name="20% - Accent5 9 8" xfId="12956" xr:uid="{00000000-0005-0000-0000-0000D21D0000}"/>
    <cellStyle name="20% - Accent6 10" xfId="1021" xr:uid="{00000000-0005-0000-0000-0000D31D0000}"/>
    <cellStyle name="20% - Accent6 10 2" xfId="3977" xr:uid="{00000000-0005-0000-0000-0000D41D0000}"/>
    <cellStyle name="20% - Accent6 10 2 2" xfId="11956" xr:uid="{00000000-0005-0000-0000-0000D51D0000}"/>
    <cellStyle name="20% - Accent6 10 2 2 2" xfId="23244" xr:uid="{00000000-0005-0000-0000-0000D61D0000}"/>
    <cellStyle name="20% - Accent6 10 2 3" xfId="9962" xr:uid="{00000000-0005-0000-0000-0000D71D0000}"/>
    <cellStyle name="20% - Accent6 10 2 3 2" xfId="21250" xr:uid="{00000000-0005-0000-0000-0000D81D0000}"/>
    <cellStyle name="20% - Accent6 10 2 4" xfId="7968" xr:uid="{00000000-0005-0000-0000-0000D91D0000}"/>
    <cellStyle name="20% - Accent6 10 2 4 2" xfId="19256" xr:uid="{00000000-0005-0000-0000-0000DA1D0000}"/>
    <cellStyle name="20% - Accent6 10 2 5" xfId="5974" xr:uid="{00000000-0005-0000-0000-0000DB1D0000}"/>
    <cellStyle name="20% - Accent6 10 2 5 2" xfId="17262" xr:uid="{00000000-0005-0000-0000-0000DC1D0000}"/>
    <cellStyle name="20% - Accent6 10 2 6" xfId="15268" xr:uid="{00000000-0005-0000-0000-0000DD1D0000}"/>
    <cellStyle name="20% - Accent6 10 3" xfId="10959" xr:uid="{00000000-0005-0000-0000-0000DE1D0000}"/>
    <cellStyle name="20% - Accent6 10 3 2" xfId="22247" xr:uid="{00000000-0005-0000-0000-0000DF1D0000}"/>
    <cellStyle name="20% - Accent6 10 4" xfId="8965" xr:uid="{00000000-0005-0000-0000-0000E01D0000}"/>
    <cellStyle name="20% - Accent6 10 4 2" xfId="20253" xr:uid="{00000000-0005-0000-0000-0000E11D0000}"/>
    <cellStyle name="20% - Accent6 10 5" xfId="6971" xr:uid="{00000000-0005-0000-0000-0000E21D0000}"/>
    <cellStyle name="20% - Accent6 10 5 2" xfId="18259" xr:uid="{00000000-0005-0000-0000-0000E31D0000}"/>
    <cellStyle name="20% - Accent6 10 6" xfId="4977" xr:uid="{00000000-0005-0000-0000-0000E41D0000}"/>
    <cellStyle name="20% - Accent6 10 6 2" xfId="16265" xr:uid="{00000000-0005-0000-0000-0000E51D0000}"/>
    <cellStyle name="20% - Accent6 10 7" xfId="14271" xr:uid="{00000000-0005-0000-0000-0000E61D0000}"/>
    <cellStyle name="20% - Accent6 10 8" xfId="12957" xr:uid="{00000000-0005-0000-0000-0000E71D0000}"/>
    <cellStyle name="20% - Accent6 11" xfId="1022" xr:uid="{00000000-0005-0000-0000-0000E81D0000}"/>
    <cellStyle name="20% - Accent6 11 2" xfId="3978" xr:uid="{00000000-0005-0000-0000-0000E91D0000}"/>
    <cellStyle name="20% - Accent6 11 2 2" xfId="11957" xr:uid="{00000000-0005-0000-0000-0000EA1D0000}"/>
    <cellStyle name="20% - Accent6 11 2 2 2" xfId="23245" xr:uid="{00000000-0005-0000-0000-0000EB1D0000}"/>
    <cellStyle name="20% - Accent6 11 2 3" xfId="9963" xr:uid="{00000000-0005-0000-0000-0000EC1D0000}"/>
    <cellStyle name="20% - Accent6 11 2 3 2" xfId="21251" xr:uid="{00000000-0005-0000-0000-0000ED1D0000}"/>
    <cellStyle name="20% - Accent6 11 2 4" xfId="7969" xr:uid="{00000000-0005-0000-0000-0000EE1D0000}"/>
    <cellStyle name="20% - Accent6 11 2 4 2" xfId="19257" xr:uid="{00000000-0005-0000-0000-0000EF1D0000}"/>
    <cellStyle name="20% - Accent6 11 2 5" xfId="5975" xr:uid="{00000000-0005-0000-0000-0000F01D0000}"/>
    <cellStyle name="20% - Accent6 11 2 5 2" xfId="17263" xr:uid="{00000000-0005-0000-0000-0000F11D0000}"/>
    <cellStyle name="20% - Accent6 11 2 6" xfId="15269" xr:uid="{00000000-0005-0000-0000-0000F21D0000}"/>
    <cellStyle name="20% - Accent6 11 3" xfId="10960" xr:uid="{00000000-0005-0000-0000-0000F31D0000}"/>
    <cellStyle name="20% - Accent6 11 3 2" xfId="22248" xr:uid="{00000000-0005-0000-0000-0000F41D0000}"/>
    <cellStyle name="20% - Accent6 11 4" xfId="8966" xr:uid="{00000000-0005-0000-0000-0000F51D0000}"/>
    <cellStyle name="20% - Accent6 11 4 2" xfId="20254" xr:uid="{00000000-0005-0000-0000-0000F61D0000}"/>
    <cellStyle name="20% - Accent6 11 5" xfId="6972" xr:uid="{00000000-0005-0000-0000-0000F71D0000}"/>
    <cellStyle name="20% - Accent6 11 5 2" xfId="18260" xr:uid="{00000000-0005-0000-0000-0000F81D0000}"/>
    <cellStyle name="20% - Accent6 11 6" xfId="4978" xr:uid="{00000000-0005-0000-0000-0000F91D0000}"/>
    <cellStyle name="20% - Accent6 11 6 2" xfId="16266" xr:uid="{00000000-0005-0000-0000-0000FA1D0000}"/>
    <cellStyle name="20% - Accent6 11 7" xfId="14272" xr:uid="{00000000-0005-0000-0000-0000FB1D0000}"/>
    <cellStyle name="20% - Accent6 11 8" xfId="12958" xr:uid="{00000000-0005-0000-0000-0000FC1D0000}"/>
    <cellStyle name="20% - Accent6 12" xfId="1023" xr:uid="{00000000-0005-0000-0000-0000FD1D0000}"/>
    <cellStyle name="20% - Accent6 12 2" xfId="3979" xr:uid="{00000000-0005-0000-0000-0000FE1D0000}"/>
    <cellStyle name="20% - Accent6 12 2 2" xfId="11958" xr:uid="{00000000-0005-0000-0000-0000FF1D0000}"/>
    <cellStyle name="20% - Accent6 12 2 2 2" xfId="23246" xr:uid="{00000000-0005-0000-0000-0000001E0000}"/>
    <cellStyle name="20% - Accent6 12 2 3" xfId="9964" xr:uid="{00000000-0005-0000-0000-0000011E0000}"/>
    <cellStyle name="20% - Accent6 12 2 3 2" xfId="21252" xr:uid="{00000000-0005-0000-0000-0000021E0000}"/>
    <cellStyle name="20% - Accent6 12 2 4" xfId="7970" xr:uid="{00000000-0005-0000-0000-0000031E0000}"/>
    <cellStyle name="20% - Accent6 12 2 4 2" xfId="19258" xr:uid="{00000000-0005-0000-0000-0000041E0000}"/>
    <cellStyle name="20% - Accent6 12 2 5" xfId="5976" xr:uid="{00000000-0005-0000-0000-0000051E0000}"/>
    <cellStyle name="20% - Accent6 12 2 5 2" xfId="17264" xr:uid="{00000000-0005-0000-0000-0000061E0000}"/>
    <cellStyle name="20% - Accent6 12 2 6" xfId="15270" xr:uid="{00000000-0005-0000-0000-0000071E0000}"/>
    <cellStyle name="20% - Accent6 12 3" xfId="10961" xr:uid="{00000000-0005-0000-0000-0000081E0000}"/>
    <cellStyle name="20% - Accent6 12 3 2" xfId="22249" xr:uid="{00000000-0005-0000-0000-0000091E0000}"/>
    <cellStyle name="20% - Accent6 12 4" xfId="8967" xr:uid="{00000000-0005-0000-0000-00000A1E0000}"/>
    <cellStyle name="20% - Accent6 12 4 2" xfId="20255" xr:uid="{00000000-0005-0000-0000-00000B1E0000}"/>
    <cellStyle name="20% - Accent6 12 5" xfId="6973" xr:uid="{00000000-0005-0000-0000-00000C1E0000}"/>
    <cellStyle name="20% - Accent6 12 5 2" xfId="18261" xr:uid="{00000000-0005-0000-0000-00000D1E0000}"/>
    <cellStyle name="20% - Accent6 12 6" xfId="4979" xr:uid="{00000000-0005-0000-0000-00000E1E0000}"/>
    <cellStyle name="20% - Accent6 12 6 2" xfId="16267" xr:uid="{00000000-0005-0000-0000-00000F1E0000}"/>
    <cellStyle name="20% - Accent6 12 7" xfId="14273" xr:uid="{00000000-0005-0000-0000-0000101E0000}"/>
    <cellStyle name="20% - Accent6 12 8" xfId="12959" xr:uid="{00000000-0005-0000-0000-0000111E0000}"/>
    <cellStyle name="20% - Accent6 13" xfId="1024" xr:uid="{00000000-0005-0000-0000-0000121E0000}"/>
    <cellStyle name="20% - Accent6 13 2" xfId="3980" xr:uid="{00000000-0005-0000-0000-0000131E0000}"/>
    <cellStyle name="20% - Accent6 13 2 2" xfId="11959" xr:uid="{00000000-0005-0000-0000-0000141E0000}"/>
    <cellStyle name="20% - Accent6 13 2 2 2" xfId="23247" xr:uid="{00000000-0005-0000-0000-0000151E0000}"/>
    <cellStyle name="20% - Accent6 13 2 3" xfId="9965" xr:uid="{00000000-0005-0000-0000-0000161E0000}"/>
    <cellStyle name="20% - Accent6 13 2 3 2" xfId="21253" xr:uid="{00000000-0005-0000-0000-0000171E0000}"/>
    <cellStyle name="20% - Accent6 13 2 4" xfId="7971" xr:uid="{00000000-0005-0000-0000-0000181E0000}"/>
    <cellStyle name="20% - Accent6 13 2 4 2" xfId="19259" xr:uid="{00000000-0005-0000-0000-0000191E0000}"/>
    <cellStyle name="20% - Accent6 13 2 5" xfId="5977" xr:uid="{00000000-0005-0000-0000-00001A1E0000}"/>
    <cellStyle name="20% - Accent6 13 2 5 2" xfId="17265" xr:uid="{00000000-0005-0000-0000-00001B1E0000}"/>
    <cellStyle name="20% - Accent6 13 2 6" xfId="15271" xr:uid="{00000000-0005-0000-0000-00001C1E0000}"/>
    <cellStyle name="20% - Accent6 13 3" xfId="10962" xr:uid="{00000000-0005-0000-0000-00001D1E0000}"/>
    <cellStyle name="20% - Accent6 13 3 2" xfId="22250" xr:uid="{00000000-0005-0000-0000-00001E1E0000}"/>
    <cellStyle name="20% - Accent6 13 4" xfId="8968" xr:uid="{00000000-0005-0000-0000-00001F1E0000}"/>
    <cellStyle name="20% - Accent6 13 4 2" xfId="20256" xr:uid="{00000000-0005-0000-0000-0000201E0000}"/>
    <cellStyle name="20% - Accent6 13 5" xfId="6974" xr:uid="{00000000-0005-0000-0000-0000211E0000}"/>
    <cellStyle name="20% - Accent6 13 5 2" xfId="18262" xr:uid="{00000000-0005-0000-0000-0000221E0000}"/>
    <cellStyle name="20% - Accent6 13 6" xfId="4980" xr:uid="{00000000-0005-0000-0000-0000231E0000}"/>
    <cellStyle name="20% - Accent6 13 6 2" xfId="16268" xr:uid="{00000000-0005-0000-0000-0000241E0000}"/>
    <cellStyle name="20% - Accent6 13 7" xfId="14274" xr:uid="{00000000-0005-0000-0000-0000251E0000}"/>
    <cellStyle name="20% - Accent6 13 8" xfId="12960" xr:uid="{00000000-0005-0000-0000-0000261E0000}"/>
    <cellStyle name="20% - Accent6 14" xfId="1025" xr:uid="{00000000-0005-0000-0000-0000271E0000}"/>
    <cellStyle name="20% - Accent6 14 2" xfId="3981" xr:uid="{00000000-0005-0000-0000-0000281E0000}"/>
    <cellStyle name="20% - Accent6 14 2 2" xfId="11960" xr:uid="{00000000-0005-0000-0000-0000291E0000}"/>
    <cellStyle name="20% - Accent6 14 2 2 2" xfId="23248" xr:uid="{00000000-0005-0000-0000-00002A1E0000}"/>
    <cellStyle name="20% - Accent6 14 2 3" xfId="9966" xr:uid="{00000000-0005-0000-0000-00002B1E0000}"/>
    <cellStyle name="20% - Accent6 14 2 3 2" xfId="21254" xr:uid="{00000000-0005-0000-0000-00002C1E0000}"/>
    <cellStyle name="20% - Accent6 14 2 4" xfId="7972" xr:uid="{00000000-0005-0000-0000-00002D1E0000}"/>
    <cellStyle name="20% - Accent6 14 2 4 2" xfId="19260" xr:uid="{00000000-0005-0000-0000-00002E1E0000}"/>
    <cellStyle name="20% - Accent6 14 2 5" xfId="5978" xr:uid="{00000000-0005-0000-0000-00002F1E0000}"/>
    <cellStyle name="20% - Accent6 14 2 5 2" xfId="17266" xr:uid="{00000000-0005-0000-0000-0000301E0000}"/>
    <cellStyle name="20% - Accent6 14 2 6" xfId="15272" xr:uid="{00000000-0005-0000-0000-0000311E0000}"/>
    <cellStyle name="20% - Accent6 14 3" xfId="10963" xr:uid="{00000000-0005-0000-0000-0000321E0000}"/>
    <cellStyle name="20% - Accent6 14 3 2" xfId="22251" xr:uid="{00000000-0005-0000-0000-0000331E0000}"/>
    <cellStyle name="20% - Accent6 14 4" xfId="8969" xr:uid="{00000000-0005-0000-0000-0000341E0000}"/>
    <cellStyle name="20% - Accent6 14 4 2" xfId="20257" xr:uid="{00000000-0005-0000-0000-0000351E0000}"/>
    <cellStyle name="20% - Accent6 14 5" xfId="6975" xr:uid="{00000000-0005-0000-0000-0000361E0000}"/>
    <cellStyle name="20% - Accent6 14 5 2" xfId="18263" xr:uid="{00000000-0005-0000-0000-0000371E0000}"/>
    <cellStyle name="20% - Accent6 14 6" xfId="4981" xr:uid="{00000000-0005-0000-0000-0000381E0000}"/>
    <cellStyle name="20% - Accent6 14 6 2" xfId="16269" xr:uid="{00000000-0005-0000-0000-0000391E0000}"/>
    <cellStyle name="20% - Accent6 14 7" xfId="14275" xr:uid="{00000000-0005-0000-0000-00003A1E0000}"/>
    <cellStyle name="20% - Accent6 14 8" xfId="12961" xr:uid="{00000000-0005-0000-0000-00003B1E0000}"/>
    <cellStyle name="20% - Accent6 15" xfId="1026" xr:uid="{00000000-0005-0000-0000-00003C1E0000}"/>
    <cellStyle name="20% - Accent6 15 2" xfId="3982" xr:uid="{00000000-0005-0000-0000-00003D1E0000}"/>
    <cellStyle name="20% - Accent6 15 2 2" xfId="11961" xr:uid="{00000000-0005-0000-0000-00003E1E0000}"/>
    <cellStyle name="20% - Accent6 15 2 2 2" xfId="23249" xr:uid="{00000000-0005-0000-0000-00003F1E0000}"/>
    <cellStyle name="20% - Accent6 15 2 3" xfId="9967" xr:uid="{00000000-0005-0000-0000-0000401E0000}"/>
    <cellStyle name="20% - Accent6 15 2 3 2" xfId="21255" xr:uid="{00000000-0005-0000-0000-0000411E0000}"/>
    <cellStyle name="20% - Accent6 15 2 4" xfId="7973" xr:uid="{00000000-0005-0000-0000-0000421E0000}"/>
    <cellStyle name="20% - Accent6 15 2 4 2" xfId="19261" xr:uid="{00000000-0005-0000-0000-0000431E0000}"/>
    <cellStyle name="20% - Accent6 15 2 5" xfId="5979" xr:uid="{00000000-0005-0000-0000-0000441E0000}"/>
    <cellStyle name="20% - Accent6 15 2 5 2" xfId="17267" xr:uid="{00000000-0005-0000-0000-0000451E0000}"/>
    <cellStyle name="20% - Accent6 15 2 6" xfId="15273" xr:uid="{00000000-0005-0000-0000-0000461E0000}"/>
    <cellStyle name="20% - Accent6 15 3" xfId="10964" xr:uid="{00000000-0005-0000-0000-0000471E0000}"/>
    <cellStyle name="20% - Accent6 15 3 2" xfId="22252" xr:uid="{00000000-0005-0000-0000-0000481E0000}"/>
    <cellStyle name="20% - Accent6 15 4" xfId="8970" xr:uid="{00000000-0005-0000-0000-0000491E0000}"/>
    <cellStyle name="20% - Accent6 15 4 2" xfId="20258" xr:uid="{00000000-0005-0000-0000-00004A1E0000}"/>
    <cellStyle name="20% - Accent6 15 5" xfId="6976" xr:uid="{00000000-0005-0000-0000-00004B1E0000}"/>
    <cellStyle name="20% - Accent6 15 5 2" xfId="18264" xr:uid="{00000000-0005-0000-0000-00004C1E0000}"/>
    <cellStyle name="20% - Accent6 15 6" xfId="4982" xr:uid="{00000000-0005-0000-0000-00004D1E0000}"/>
    <cellStyle name="20% - Accent6 15 6 2" xfId="16270" xr:uid="{00000000-0005-0000-0000-00004E1E0000}"/>
    <cellStyle name="20% - Accent6 15 7" xfId="14276" xr:uid="{00000000-0005-0000-0000-00004F1E0000}"/>
    <cellStyle name="20% - Accent6 15 8" xfId="12962" xr:uid="{00000000-0005-0000-0000-0000501E0000}"/>
    <cellStyle name="20% - Accent6 16" xfId="1027" xr:uid="{00000000-0005-0000-0000-0000511E0000}"/>
    <cellStyle name="20% - Accent6 16 2" xfId="3983" xr:uid="{00000000-0005-0000-0000-0000521E0000}"/>
    <cellStyle name="20% - Accent6 16 2 2" xfId="11962" xr:uid="{00000000-0005-0000-0000-0000531E0000}"/>
    <cellStyle name="20% - Accent6 16 2 2 2" xfId="23250" xr:uid="{00000000-0005-0000-0000-0000541E0000}"/>
    <cellStyle name="20% - Accent6 16 2 3" xfId="9968" xr:uid="{00000000-0005-0000-0000-0000551E0000}"/>
    <cellStyle name="20% - Accent6 16 2 3 2" xfId="21256" xr:uid="{00000000-0005-0000-0000-0000561E0000}"/>
    <cellStyle name="20% - Accent6 16 2 4" xfId="7974" xr:uid="{00000000-0005-0000-0000-0000571E0000}"/>
    <cellStyle name="20% - Accent6 16 2 4 2" xfId="19262" xr:uid="{00000000-0005-0000-0000-0000581E0000}"/>
    <cellStyle name="20% - Accent6 16 2 5" xfId="5980" xr:uid="{00000000-0005-0000-0000-0000591E0000}"/>
    <cellStyle name="20% - Accent6 16 2 5 2" xfId="17268" xr:uid="{00000000-0005-0000-0000-00005A1E0000}"/>
    <cellStyle name="20% - Accent6 16 2 6" xfId="15274" xr:uid="{00000000-0005-0000-0000-00005B1E0000}"/>
    <cellStyle name="20% - Accent6 16 3" xfId="10965" xr:uid="{00000000-0005-0000-0000-00005C1E0000}"/>
    <cellStyle name="20% - Accent6 16 3 2" xfId="22253" xr:uid="{00000000-0005-0000-0000-00005D1E0000}"/>
    <cellStyle name="20% - Accent6 16 4" xfId="8971" xr:uid="{00000000-0005-0000-0000-00005E1E0000}"/>
    <cellStyle name="20% - Accent6 16 4 2" xfId="20259" xr:uid="{00000000-0005-0000-0000-00005F1E0000}"/>
    <cellStyle name="20% - Accent6 16 5" xfId="6977" xr:uid="{00000000-0005-0000-0000-0000601E0000}"/>
    <cellStyle name="20% - Accent6 16 5 2" xfId="18265" xr:uid="{00000000-0005-0000-0000-0000611E0000}"/>
    <cellStyle name="20% - Accent6 16 6" xfId="4983" xr:uid="{00000000-0005-0000-0000-0000621E0000}"/>
    <cellStyle name="20% - Accent6 16 6 2" xfId="16271" xr:uid="{00000000-0005-0000-0000-0000631E0000}"/>
    <cellStyle name="20% - Accent6 16 7" xfId="14277" xr:uid="{00000000-0005-0000-0000-0000641E0000}"/>
    <cellStyle name="20% - Accent6 16 8" xfId="12963" xr:uid="{00000000-0005-0000-0000-0000651E0000}"/>
    <cellStyle name="20% - Accent6 17" xfId="1028" xr:uid="{00000000-0005-0000-0000-0000661E0000}"/>
    <cellStyle name="20% - Accent6 17 2" xfId="3984" xr:uid="{00000000-0005-0000-0000-0000671E0000}"/>
    <cellStyle name="20% - Accent6 17 2 2" xfId="11963" xr:uid="{00000000-0005-0000-0000-0000681E0000}"/>
    <cellStyle name="20% - Accent6 17 2 2 2" xfId="23251" xr:uid="{00000000-0005-0000-0000-0000691E0000}"/>
    <cellStyle name="20% - Accent6 17 2 3" xfId="9969" xr:uid="{00000000-0005-0000-0000-00006A1E0000}"/>
    <cellStyle name="20% - Accent6 17 2 3 2" xfId="21257" xr:uid="{00000000-0005-0000-0000-00006B1E0000}"/>
    <cellStyle name="20% - Accent6 17 2 4" xfId="7975" xr:uid="{00000000-0005-0000-0000-00006C1E0000}"/>
    <cellStyle name="20% - Accent6 17 2 4 2" xfId="19263" xr:uid="{00000000-0005-0000-0000-00006D1E0000}"/>
    <cellStyle name="20% - Accent6 17 2 5" xfId="5981" xr:uid="{00000000-0005-0000-0000-00006E1E0000}"/>
    <cellStyle name="20% - Accent6 17 2 5 2" xfId="17269" xr:uid="{00000000-0005-0000-0000-00006F1E0000}"/>
    <cellStyle name="20% - Accent6 17 2 6" xfId="15275" xr:uid="{00000000-0005-0000-0000-0000701E0000}"/>
    <cellStyle name="20% - Accent6 17 3" xfId="10966" xr:uid="{00000000-0005-0000-0000-0000711E0000}"/>
    <cellStyle name="20% - Accent6 17 3 2" xfId="22254" xr:uid="{00000000-0005-0000-0000-0000721E0000}"/>
    <cellStyle name="20% - Accent6 17 4" xfId="8972" xr:uid="{00000000-0005-0000-0000-0000731E0000}"/>
    <cellStyle name="20% - Accent6 17 4 2" xfId="20260" xr:uid="{00000000-0005-0000-0000-0000741E0000}"/>
    <cellStyle name="20% - Accent6 17 5" xfId="6978" xr:uid="{00000000-0005-0000-0000-0000751E0000}"/>
    <cellStyle name="20% - Accent6 17 5 2" xfId="18266" xr:uid="{00000000-0005-0000-0000-0000761E0000}"/>
    <cellStyle name="20% - Accent6 17 6" xfId="4984" xr:uid="{00000000-0005-0000-0000-0000771E0000}"/>
    <cellStyle name="20% - Accent6 17 6 2" xfId="16272" xr:uid="{00000000-0005-0000-0000-0000781E0000}"/>
    <cellStyle name="20% - Accent6 17 7" xfId="14278" xr:uid="{00000000-0005-0000-0000-0000791E0000}"/>
    <cellStyle name="20% - Accent6 17 8" xfId="12964" xr:uid="{00000000-0005-0000-0000-00007A1E0000}"/>
    <cellStyle name="20% - Accent6 18" xfId="1029" xr:uid="{00000000-0005-0000-0000-00007B1E0000}"/>
    <cellStyle name="20% - Accent6 18 2" xfId="3985" xr:uid="{00000000-0005-0000-0000-00007C1E0000}"/>
    <cellStyle name="20% - Accent6 18 2 2" xfId="11964" xr:uid="{00000000-0005-0000-0000-00007D1E0000}"/>
    <cellStyle name="20% - Accent6 18 2 2 2" xfId="23252" xr:uid="{00000000-0005-0000-0000-00007E1E0000}"/>
    <cellStyle name="20% - Accent6 18 2 3" xfId="9970" xr:uid="{00000000-0005-0000-0000-00007F1E0000}"/>
    <cellStyle name="20% - Accent6 18 2 3 2" xfId="21258" xr:uid="{00000000-0005-0000-0000-0000801E0000}"/>
    <cellStyle name="20% - Accent6 18 2 4" xfId="7976" xr:uid="{00000000-0005-0000-0000-0000811E0000}"/>
    <cellStyle name="20% - Accent6 18 2 4 2" xfId="19264" xr:uid="{00000000-0005-0000-0000-0000821E0000}"/>
    <cellStyle name="20% - Accent6 18 2 5" xfId="5982" xr:uid="{00000000-0005-0000-0000-0000831E0000}"/>
    <cellStyle name="20% - Accent6 18 2 5 2" xfId="17270" xr:uid="{00000000-0005-0000-0000-0000841E0000}"/>
    <cellStyle name="20% - Accent6 18 2 6" xfId="15276" xr:uid="{00000000-0005-0000-0000-0000851E0000}"/>
    <cellStyle name="20% - Accent6 18 3" xfId="10967" xr:uid="{00000000-0005-0000-0000-0000861E0000}"/>
    <cellStyle name="20% - Accent6 18 3 2" xfId="22255" xr:uid="{00000000-0005-0000-0000-0000871E0000}"/>
    <cellStyle name="20% - Accent6 18 4" xfId="8973" xr:uid="{00000000-0005-0000-0000-0000881E0000}"/>
    <cellStyle name="20% - Accent6 18 4 2" xfId="20261" xr:uid="{00000000-0005-0000-0000-0000891E0000}"/>
    <cellStyle name="20% - Accent6 18 5" xfId="6979" xr:uid="{00000000-0005-0000-0000-00008A1E0000}"/>
    <cellStyle name="20% - Accent6 18 5 2" xfId="18267" xr:uid="{00000000-0005-0000-0000-00008B1E0000}"/>
    <cellStyle name="20% - Accent6 18 6" xfId="4985" xr:uid="{00000000-0005-0000-0000-00008C1E0000}"/>
    <cellStyle name="20% - Accent6 18 6 2" xfId="16273" xr:uid="{00000000-0005-0000-0000-00008D1E0000}"/>
    <cellStyle name="20% - Accent6 18 7" xfId="14279" xr:uid="{00000000-0005-0000-0000-00008E1E0000}"/>
    <cellStyle name="20% - Accent6 18 8" xfId="12965" xr:uid="{00000000-0005-0000-0000-00008F1E0000}"/>
    <cellStyle name="20% - Accent6 19" xfId="1030" xr:uid="{00000000-0005-0000-0000-0000901E0000}"/>
    <cellStyle name="20% - Accent6 19 2" xfId="3986" xr:uid="{00000000-0005-0000-0000-0000911E0000}"/>
    <cellStyle name="20% - Accent6 19 2 2" xfId="11965" xr:uid="{00000000-0005-0000-0000-0000921E0000}"/>
    <cellStyle name="20% - Accent6 19 2 2 2" xfId="23253" xr:uid="{00000000-0005-0000-0000-0000931E0000}"/>
    <cellStyle name="20% - Accent6 19 2 3" xfId="9971" xr:uid="{00000000-0005-0000-0000-0000941E0000}"/>
    <cellStyle name="20% - Accent6 19 2 3 2" xfId="21259" xr:uid="{00000000-0005-0000-0000-0000951E0000}"/>
    <cellStyle name="20% - Accent6 19 2 4" xfId="7977" xr:uid="{00000000-0005-0000-0000-0000961E0000}"/>
    <cellStyle name="20% - Accent6 19 2 4 2" xfId="19265" xr:uid="{00000000-0005-0000-0000-0000971E0000}"/>
    <cellStyle name="20% - Accent6 19 2 5" xfId="5983" xr:uid="{00000000-0005-0000-0000-0000981E0000}"/>
    <cellStyle name="20% - Accent6 19 2 5 2" xfId="17271" xr:uid="{00000000-0005-0000-0000-0000991E0000}"/>
    <cellStyle name="20% - Accent6 19 2 6" xfId="15277" xr:uid="{00000000-0005-0000-0000-00009A1E0000}"/>
    <cellStyle name="20% - Accent6 19 3" xfId="10968" xr:uid="{00000000-0005-0000-0000-00009B1E0000}"/>
    <cellStyle name="20% - Accent6 19 3 2" xfId="22256" xr:uid="{00000000-0005-0000-0000-00009C1E0000}"/>
    <cellStyle name="20% - Accent6 19 4" xfId="8974" xr:uid="{00000000-0005-0000-0000-00009D1E0000}"/>
    <cellStyle name="20% - Accent6 19 4 2" xfId="20262" xr:uid="{00000000-0005-0000-0000-00009E1E0000}"/>
    <cellStyle name="20% - Accent6 19 5" xfId="6980" xr:uid="{00000000-0005-0000-0000-00009F1E0000}"/>
    <cellStyle name="20% - Accent6 19 5 2" xfId="18268" xr:uid="{00000000-0005-0000-0000-0000A01E0000}"/>
    <cellStyle name="20% - Accent6 19 6" xfId="4986" xr:uid="{00000000-0005-0000-0000-0000A11E0000}"/>
    <cellStyle name="20% - Accent6 19 6 2" xfId="16274" xr:uid="{00000000-0005-0000-0000-0000A21E0000}"/>
    <cellStyle name="20% - Accent6 19 7" xfId="14280" xr:uid="{00000000-0005-0000-0000-0000A31E0000}"/>
    <cellStyle name="20% - Accent6 19 8" xfId="12966" xr:uid="{00000000-0005-0000-0000-0000A41E0000}"/>
    <cellStyle name="20% - Accent6 2" xfId="1031" xr:uid="{00000000-0005-0000-0000-0000A51E0000}"/>
    <cellStyle name="20% - Accent6 2 10" xfId="24589" xr:uid="{00000000-0005-0000-0000-0000A61E0000}"/>
    <cellStyle name="20% - Accent6 2 11" xfId="24979" xr:uid="{00000000-0005-0000-0000-0000A71E0000}"/>
    <cellStyle name="20% - Accent6 2 2" xfId="3987" xr:uid="{00000000-0005-0000-0000-0000A81E0000}"/>
    <cellStyle name="20% - Accent6 2 2 2" xfId="11966" xr:uid="{00000000-0005-0000-0000-0000A91E0000}"/>
    <cellStyle name="20% - Accent6 2 2 2 2" xfId="23254" xr:uid="{00000000-0005-0000-0000-0000AA1E0000}"/>
    <cellStyle name="20% - Accent6 2 2 3" xfId="9972" xr:uid="{00000000-0005-0000-0000-0000AB1E0000}"/>
    <cellStyle name="20% - Accent6 2 2 3 2" xfId="21260" xr:uid="{00000000-0005-0000-0000-0000AC1E0000}"/>
    <cellStyle name="20% - Accent6 2 2 4" xfId="7978" xr:uid="{00000000-0005-0000-0000-0000AD1E0000}"/>
    <cellStyle name="20% - Accent6 2 2 4 2" xfId="19266" xr:uid="{00000000-0005-0000-0000-0000AE1E0000}"/>
    <cellStyle name="20% - Accent6 2 2 5" xfId="5984" xr:uid="{00000000-0005-0000-0000-0000AF1E0000}"/>
    <cellStyle name="20% - Accent6 2 2 5 2" xfId="17272" xr:uid="{00000000-0005-0000-0000-0000B01E0000}"/>
    <cellStyle name="20% - Accent6 2 2 6" xfId="15278" xr:uid="{00000000-0005-0000-0000-0000B11E0000}"/>
    <cellStyle name="20% - Accent6 2 2 7" xfId="24350" xr:uid="{00000000-0005-0000-0000-0000B21E0000}"/>
    <cellStyle name="20% - Accent6 2 2 8" xfId="24814" xr:uid="{00000000-0005-0000-0000-0000B31E0000}"/>
    <cellStyle name="20% - Accent6 2 2 9" xfId="25181" xr:uid="{00000000-0005-0000-0000-0000B41E0000}"/>
    <cellStyle name="20% - Accent6 2 3" xfId="10969" xr:uid="{00000000-0005-0000-0000-0000B51E0000}"/>
    <cellStyle name="20% - Accent6 2 3 2" xfId="22257" xr:uid="{00000000-0005-0000-0000-0000B61E0000}"/>
    <cellStyle name="20% - Accent6 2 4" xfId="8975" xr:uid="{00000000-0005-0000-0000-0000B71E0000}"/>
    <cellStyle name="20% - Accent6 2 4 2" xfId="20263" xr:uid="{00000000-0005-0000-0000-0000B81E0000}"/>
    <cellStyle name="20% - Accent6 2 5" xfId="6981" xr:uid="{00000000-0005-0000-0000-0000B91E0000}"/>
    <cellStyle name="20% - Accent6 2 5 2" xfId="18269" xr:uid="{00000000-0005-0000-0000-0000BA1E0000}"/>
    <cellStyle name="20% - Accent6 2 6" xfId="4987" xr:uid="{00000000-0005-0000-0000-0000BB1E0000}"/>
    <cellStyle name="20% - Accent6 2 6 2" xfId="16275" xr:uid="{00000000-0005-0000-0000-0000BC1E0000}"/>
    <cellStyle name="20% - Accent6 2 7" xfId="14281" xr:uid="{00000000-0005-0000-0000-0000BD1E0000}"/>
    <cellStyle name="20% - Accent6 2 8" xfId="12967" xr:uid="{00000000-0005-0000-0000-0000BE1E0000}"/>
    <cellStyle name="20% - Accent6 2 9" xfId="23962" xr:uid="{00000000-0005-0000-0000-0000BF1E0000}"/>
    <cellStyle name="20% - Accent6 20" xfId="1032" xr:uid="{00000000-0005-0000-0000-0000C01E0000}"/>
    <cellStyle name="20% - Accent6 20 2" xfId="3988" xr:uid="{00000000-0005-0000-0000-0000C11E0000}"/>
    <cellStyle name="20% - Accent6 20 2 2" xfId="11967" xr:uid="{00000000-0005-0000-0000-0000C21E0000}"/>
    <cellStyle name="20% - Accent6 20 2 2 2" xfId="23255" xr:uid="{00000000-0005-0000-0000-0000C31E0000}"/>
    <cellStyle name="20% - Accent6 20 2 3" xfId="9973" xr:uid="{00000000-0005-0000-0000-0000C41E0000}"/>
    <cellStyle name="20% - Accent6 20 2 3 2" xfId="21261" xr:uid="{00000000-0005-0000-0000-0000C51E0000}"/>
    <cellStyle name="20% - Accent6 20 2 4" xfId="7979" xr:uid="{00000000-0005-0000-0000-0000C61E0000}"/>
    <cellStyle name="20% - Accent6 20 2 4 2" xfId="19267" xr:uid="{00000000-0005-0000-0000-0000C71E0000}"/>
    <cellStyle name="20% - Accent6 20 2 5" xfId="5985" xr:uid="{00000000-0005-0000-0000-0000C81E0000}"/>
    <cellStyle name="20% - Accent6 20 2 5 2" xfId="17273" xr:uid="{00000000-0005-0000-0000-0000C91E0000}"/>
    <cellStyle name="20% - Accent6 20 2 6" xfId="15279" xr:uid="{00000000-0005-0000-0000-0000CA1E0000}"/>
    <cellStyle name="20% - Accent6 20 3" xfId="10970" xr:uid="{00000000-0005-0000-0000-0000CB1E0000}"/>
    <cellStyle name="20% - Accent6 20 3 2" xfId="22258" xr:uid="{00000000-0005-0000-0000-0000CC1E0000}"/>
    <cellStyle name="20% - Accent6 20 4" xfId="8976" xr:uid="{00000000-0005-0000-0000-0000CD1E0000}"/>
    <cellStyle name="20% - Accent6 20 4 2" xfId="20264" xr:uid="{00000000-0005-0000-0000-0000CE1E0000}"/>
    <cellStyle name="20% - Accent6 20 5" xfId="6982" xr:uid="{00000000-0005-0000-0000-0000CF1E0000}"/>
    <cellStyle name="20% - Accent6 20 5 2" xfId="18270" xr:uid="{00000000-0005-0000-0000-0000D01E0000}"/>
    <cellStyle name="20% - Accent6 20 6" xfId="4988" xr:uid="{00000000-0005-0000-0000-0000D11E0000}"/>
    <cellStyle name="20% - Accent6 20 6 2" xfId="16276" xr:uid="{00000000-0005-0000-0000-0000D21E0000}"/>
    <cellStyle name="20% - Accent6 20 7" xfId="14282" xr:uid="{00000000-0005-0000-0000-0000D31E0000}"/>
    <cellStyle name="20% - Accent6 20 8" xfId="12968" xr:uid="{00000000-0005-0000-0000-0000D41E0000}"/>
    <cellStyle name="20% - Accent6 21" xfId="1033" xr:uid="{00000000-0005-0000-0000-0000D51E0000}"/>
    <cellStyle name="20% - Accent6 21 2" xfId="3989" xr:uid="{00000000-0005-0000-0000-0000D61E0000}"/>
    <cellStyle name="20% - Accent6 21 2 2" xfId="11968" xr:uid="{00000000-0005-0000-0000-0000D71E0000}"/>
    <cellStyle name="20% - Accent6 21 2 2 2" xfId="23256" xr:uid="{00000000-0005-0000-0000-0000D81E0000}"/>
    <cellStyle name="20% - Accent6 21 2 3" xfId="9974" xr:uid="{00000000-0005-0000-0000-0000D91E0000}"/>
    <cellStyle name="20% - Accent6 21 2 3 2" xfId="21262" xr:uid="{00000000-0005-0000-0000-0000DA1E0000}"/>
    <cellStyle name="20% - Accent6 21 2 4" xfId="7980" xr:uid="{00000000-0005-0000-0000-0000DB1E0000}"/>
    <cellStyle name="20% - Accent6 21 2 4 2" xfId="19268" xr:uid="{00000000-0005-0000-0000-0000DC1E0000}"/>
    <cellStyle name="20% - Accent6 21 2 5" xfId="5986" xr:uid="{00000000-0005-0000-0000-0000DD1E0000}"/>
    <cellStyle name="20% - Accent6 21 2 5 2" xfId="17274" xr:uid="{00000000-0005-0000-0000-0000DE1E0000}"/>
    <cellStyle name="20% - Accent6 21 2 6" xfId="15280" xr:uid="{00000000-0005-0000-0000-0000DF1E0000}"/>
    <cellStyle name="20% - Accent6 21 3" xfId="10971" xr:uid="{00000000-0005-0000-0000-0000E01E0000}"/>
    <cellStyle name="20% - Accent6 21 3 2" xfId="22259" xr:uid="{00000000-0005-0000-0000-0000E11E0000}"/>
    <cellStyle name="20% - Accent6 21 4" xfId="8977" xr:uid="{00000000-0005-0000-0000-0000E21E0000}"/>
    <cellStyle name="20% - Accent6 21 4 2" xfId="20265" xr:uid="{00000000-0005-0000-0000-0000E31E0000}"/>
    <cellStyle name="20% - Accent6 21 5" xfId="6983" xr:uid="{00000000-0005-0000-0000-0000E41E0000}"/>
    <cellStyle name="20% - Accent6 21 5 2" xfId="18271" xr:uid="{00000000-0005-0000-0000-0000E51E0000}"/>
    <cellStyle name="20% - Accent6 21 6" xfId="4989" xr:uid="{00000000-0005-0000-0000-0000E61E0000}"/>
    <cellStyle name="20% - Accent6 21 6 2" xfId="16277" xr:uid="{00000000-0005-0000-0000-0000E71E0000}"/>
    <cellStyle name="20% - Accent6 21 7" xfId="14283" xr:uid="{00000000-0005-0000-0000-0000E81E0000}"/>
    <cellStyle name="20% - Accent6 21 8" xfId="12969" xr:uid="{00000000-0005-0000-0000-0000E91E0000}"/>
    <cellStyle name="20% - Accent6 22" xfId="1034" xr:uid="{00000000-0005-0000-0000-0000EA1E0000}"/>
    <cellStyle name="20% - Accent6 22 2" xfId="3990" xr:uid="{00000000-0005-0000-0000-0000EB1E0000}"/>
    <cellStyle name="20% - Accent6 22 2 2" xfId="11969" xr:uid="{00000000-0005-0000-0000-0000EC1E0000}"/>
    <cellStyle name="20% - Accent6 22 2 2 2" xfId="23257" xr:uid="{00000000-0005-0000-0000-0000ED1E0000}"/>
    <cellStyle name="20% - Accent6 22 2 3" xfId="9975" xr:uid="{00000000-0005-0000-0000-0000EE1E0000}"/>
    <cellStyle name="20% - Accent6 22 2 3 2" xfId="21263" xr:uid="{00000000-0005-0000-0000-0000EF1E0000}"/>
    <cellStyle name="20% - Accent6 22 2 4" xfId="7981" xr:uid="{00000000-0005-0000-0000-0000F01E0000}"/>
    <cellStyle name="20% - Accent6 22 2 4 2" xfId="19269" xr:uid="{00000000-0005-0000-0000-0000F11E0000}"/>
    <cellStyle name="20% - Accent6 22 2 5" xfId="5987" xr:uid="{00000000-0005-0000-0000-0000F21E0000}"/>
    <cellStyle name="20% - Accent6 22 2 5 2" xfId="17275" xr:uid="{00000000-0005-0000-0000-0000F31E0000}"/>
    <cellStyle name="20% - Accent6 22 2 6" xfId="15281" xr:uid="{00000000-0005-0000-0000-0000F41E0000}"/>
    <cellStyle name="20% - Accent6 22 3" xfId="10972" xr:uid="{00000000-0005-0000-0000-0000F51E0000}"/>
    <cellStyle name="20% - Accent6 22 3 2" xfId="22260" xr:uid="{00000000-0005-0000-0000-0000F61E0000}"/>
    <cellStyle name="20% - Accent6 22 4" xfId="8978" xr:uid="{00000000-0005-0000-0000-0000F71E0000}"/>
    <cellStyle name="20% - Accent6 22 4 2" xfId="20266" xr:uid="{00000000-0005-0000-0000-0000F81E0000}"/>
    <cellStyle name="20% - Accent6 22 5" xfId="6984" xr:uid="{00000000-0005-0000-0000-0000F91E0000}"/>
    <cellStyle name="20% - Accent6 22 5 2" xfId="18272" xr:uid="{00000000-0005-0000-0000-0000FA1E0000}"/>
    <cellStyle name="20% - Accent6 22 6" xfId="4990" xr:uid="{00000000-0005-0000-0000-0000FB1E0000}"/>
    <cellStyle name="20% - Accent6 22 6 2" xfId="16278" xr:uid="{00000000-0005-0000-0000-0000FC1E0000}"/>
    <cellStyle name="20% - Accent6 22 7" xfId="14284" xr:uid="{00000000-0005-0000-0000-0000FD1E0000}"/>
    <cellStyle name="20% - Accent6 22 8" xfId="12970" xr:uid="{00000000-0005-0000-0000-0000FE1E0000}"/>
    <cellStyle name="20% - Accent6 23" xfId="1035" xr:uid="{00000000-0005-0000-0000-0000FF1E0000}"/>
    <cellStyle name="20% - Accent6 23 2" xfId="3991" xr:uid="{00000000-0005-0000-0000-0000001F0000}"/>
    <cellStyle name="20% - Accent6 23 2 2" xfId="11970" xr:uid="{00000000-0005-0000-0000-0000011F0000}"/>
    <cellStyle name="20% - Accent6 23 2 2 2" xfId="23258" xr:uid="{00000000-0005-0000-0000-0000021F0000}"/>
    <cellStyle name="20% - Accent6 23 2 3" xfId="9976" xr:uid="{00000000-0005-0000-0000-0000031F0000}"/>
    <cellStyle name="20% - Accent6 23 2 3 2" xfId="21264" xr:uid="{00000000-0005-0000-0000-0000041F0000}"/>
    <cellStyle name="20% - Accent6 23 2 4" xfId="7982" xr:uid="{00000000-0005-0000-0000-0000051F0000}"/>
    <cellStyle name="20% - Accent6 23 2 4 2" xfId="19270" xr:uid="{00000000-0005-0000-0000-0000061F0000}"/>
    <cellStyle name="20% - Accent6 23 2 5" xfId="5988" xr:uid="{00000000-0005-0000-0000-0000071F0000}"/>
    <cellStyle name="20% - Accent6 23 2 5 2" xfId="17276" xr:uid="{00000000-0005-0000-0000-0000081F0000}"/>
    <cellStyle name="20% - Accent6 23 2 6" xfId="15282" xr:uid="{00000000-0005-0000-0000-0000091F0000}"/>
    <cellStyle name="20% - Accent6 23 3" xfId="10973" xr:uid="{00000000-0005-0000-0000-00000A1F0000}"/>
    <cellStyle name="20% - Accent6 23 3 2" xfId="22261" xr:uid="{00000000-0005-0000-0000-00000B1F0000}"/>
    <cellStyle name="20% - Accent6 23 4" xfId="8979" xr:uid="{00000000-0005-0000-0000-00000C1F0000}"/>
    <cellStyle name="20% - Accent6 23 4 2" xfId="20267" xr:uid="{00000000-0005-0000-0000-00000D1F0000}"/>
    <cellStyle name="20% - Accent6 23 5" xfId="6985" xr:uid="{00000000-0005-0000-0000-00000E1F0000}"/>
    <cellStyle name="20% - Accent6 23 5 2" xfId="18273" xr:uid="{00000000-0005-0000-0000-00000F1F0000}"/>
    <cellStyle name="20% - Accent6 23 6" xfId="4991" xr:uid="{00000000-0005-0000-0000-0000101F0000}"/>
    <cellStyle name="20% - Accent6 23 6 2" xfId="16279" xr:uid="{00000000-0005-0000-0000-0000111F0000}"/>
    <cellStyle name="20% - Accent6 23 7" xfId="14285" xr:uid="{00000000-0005-0000-0000-0000121F0000}"/>
    <cellStyle name="20% - Accent6 23 8" xfId="12971" xr:uid="{00000000-0005-0000-0000-0000131F0000}"/>
    <cellStyle name="20% - Accent6 24" xfId="1036" xr:uid="{00000000-0005-0000-0000-0000141F0000}"/>
    <cellStyle name="20% - Accent6 24 2" xfId="3992" xr:uid="{00000000-0005-0000-0000-0000151F0000}"/>
    <cellStyle name="20% - Accent6 24 2 2" xfId="11971" xr:uid="{00000000-0005-0000-0000-0000161F0000}"/>
    <cellStyle name="20% - Accent6 24 2 2 2" xfId="23259" xr:uid="{00000000-0005-0000-0000-0000171F0000}"/>
    <cellStyle name="20% - Accent6 24 2 3" xfId="9977" xr:uid="{00000000-0005-0000-0000-0000181F0000}"/>
    <cellStyle name="20% - Accent6 24 2 3 2" xfId="21265" xr:uid="{00000000-0005-0000-0000-0000191F0000}"/>
    <cellStyle name="20% - Accent6 24 2 4" xfId="7983" xr:uid="{00000000-0005-0000-0000-00001A1F0000}"/>
    <cellStyle name="20% - Accent6 24 2 4 2" xfId="19271" xr:uid="{00000000-0005-0000-0000-00001B1F0000}"/>
    <cellStyle name="20% - Accent6 24 2 5" xfId="5989" xr:uid="{00000000-0005-0000-0000-00001C1F0000}"/>
    <cellStyle name="20% - Accent6 24 2 5 2" xfId="17277" xr:uid="{00000000-0005-0000-0000-00001D1F0000}"/>
    <cellStyle name="20% - Accent6 24 2 6" xfId="15283" xr:uid="{00000000-0005-0000-0000-00001E1F0000}"/>
    <cellStyle name="20% - Accent6 24 3" xfId="10974" xr:uid="{00000000-0005-0000-0000-00001F1F0000}"/>
    <cellStyle name="20% - Accent6 24 3 2" xfId="22262" xr:uid="{00000000-0005-0000-0000-0000201F0000}"/>
    <cellStyle name="20% - Accent6 24 4" xfId="8980" xr:uid="{00000000-0005-0000-0000-0000211F0000}"/>
    <cellStyle name="20% - Accent6 24 4 2" xfId="20268" xr:uid="{00000000-0005-0000-0000-0000221F0000}"/>
    <cellStyle name="20% - Accent6 24 5" xfId="6986" xr:uid="{00000000-0005-0000-0000-0000231F0000}"/>
    <cellStyle name="20% - Accent6 24 5 2" xfId="18274" xr:uid="{00000000-0005-0000-0000-0000241F0000}"/>
    <cellStyle name="20% - Accent6 24 6" xfId="4992" xr:uid="{00000000-0005-0000-0000-0000251F0000}"/>
    <cellStyle name="20% - Accent6 24 6 2" xfId="16280" xr:uid="{00000000-0005-0000-0000-0000261F0000}"/>
    <cellStyle name="20% - Accent6 24 7" xfId="14286" xr:uid="{00000000-0005-0000-0000-0000271F0000}"/>
    <cellStyle name="20% - Accent6 24 8" xfId="12972" xr:uid="{00000000-0005-0000-0000-0000281F0000}"/>
    <cellStyle name="20% - Accent6 25" xfId="1037" xr:uid="{00000000-0005-0000-0000-0000291F0000}"/>
    <cellStyle name="20% - Accent6 25 2" xfId="3993" xr:uid="{00000000-0005-0000-0000-00002A1F0000}"/>
    <cellStyle name="20% - Accent6 25 2 2" xfId="11972" xr:uid="{00000000-0005-0000-0000-00002B1F0000}"/>
    <cellStyle name="20% - Accent6 25 2 2 2" xfId="23260" xr:uid="{00000000-0005-0000-0000-00002C1F0000}"/>
    <cellStyle name="20% - Accent6 25 2 3" xfId="9978" xr:uid="{00000000-0005-0000-0000-00002D1F0000}"/>
    <cellStyle name="20% - Accent6 25 2 3 2" xfId="21266" xr:uid="{00000000-0005-0000-0000-00002E1F0000}"/>
    <cellStyle name="20% - Accent6 25 2 4" xfId="7984" xr:uid="{00000000-0005-0000-0000-00002F1F0000}"/>
    <cellStyle name="20% - Accent6 25 2 4 2" xfId="19272" xr:uid="{00000000-0005-0000-0000-0000301F0000}"/>
    <cellStyle name="20% - Accent6 25 2 5" xfId="5990" xr:uid="{00000000-0005-0000-0000-0000311F0000}"/>
    <cellStyle name="20% - Accent6 25 2 5 2" xfId="17278" xr:uid="{00000000-0005-0000-0000-0000321F0000}"/>
    <cellStyle name="20% - Accent6 25 2 6" xfId="15284" xr:uid="{00000000-0005-0000-0000-0000331F0000}"/>
    <cellStyle name="20% - Accent6 25 3" xfId="10975" xr:uid="{00000000-0005-0000-0000-0000341F0000}"/>
    <cellStyle name="20% - Accent6 25 3 2" xfId="22263" xr:uid="{00000000-0005-0000-0000-0000351F0000}"/>
    <cellStyle name="20% - Accent6 25 4" xfId="8981" xr:uid="{00000000-0005-0000-0000-0000361F0000}"/>
    <cellStyle name="20% - Accent6 25 4 2" xfId="20269" xr:uid="{00000000-0005-0000-0000-0000371F0000}"/>
    <cellStyle name="20% - Accent6 25 5" xfId="6987" xr:uid="{00000000-0005-0000-0000-0000381F0000}"/>
    <cellStyle name="20% - Accent6 25 5 2" xfId="18275" xr:uid="{00000000-0005-0000-0000-0000391F0000}"/>
    <cellStyle name="20% - Accent6 25 6" xfId="4993" xr:uid="{00000000-0005-0000-0000-00003A1F0000}"/>
    <cellStyle name="20% - Accent6 25 6 2" xfId="16281" xr:uid="{00000000-0005-0000-0000-00003B1F0000}"/>
    <cellStyle name="20% - Accent6 25 7" xfId="14287" xr:uid="{00000000-0005-0000-0000-00003C1F0000}"/>
    <cellStyle name="20% - Accent6 25 8" xfId="12973" xr:uid="{00000000-0005-0000-0000-00003D1F0000}"/>
    <cellStyle name="20% - Accent6 26" xfId="1038" xr:uid="{00000000-0005-0000-0000-00003E1F0000}"/>
    <cellStyle name="20% - Accent6 26 2" xfId="3994" xr:uid="{00000000-0005-0000-0000-00003F1F0000}"/>
    <cellStyle name="20% - Accent6 26 2 2" xfId="11973" xr:uid="{00000000-0005-0000-0000-0000401F0000}"/>
    <cellStyle name="20% - Accent6 26 2 2 2" xfId="23261" xr:uid="{00000000-0005-0000-0000-0000411F0000}"/>
    <cellStyle name="20% - Accent6 26 2 3" xfId="9979" xr:uid="{00000000-0005-0000-0000-0000421F0000}"/>
    <cellStyle name="20% - Accent6 26 2 3 2" xfId="21267" xr:uid="{00000000-0005-0000-0000-0000431F0000}"/>
    <cellStyle name="20% - Accent6 26 2 4" xfId="7985" xr:uid="{00000000-0005-0000-0000-0000441F0000}"/>
    <cellStyle name="20% - Accent6 26 2 4 2" xfId="19273" xr:uid="{00000000-0005-0000-0000-0000451F0000}"/>
    <cellStyle name="20% - Accent6 26 2 5" xfId="5991" xr:uid="{00000000-0005-0000-0000-0000461F0000}"/>
    <cellStyle name="20% - Accent6 26 2 5 2" xfId="17279" xr:uid="{00000000-0005-0000-0000-0000471F0000}"/>
    <cellStyle name="20% - Accent6 26 2 6" xfId="15285" xr:uid="{00000000-0005-0000-0000-0000481F0000}"/>
    <cellStyle name="20% - Accent6 26 3" xfId="10976" xr:uid="{00000000-0005-0000-0000-0000491F0000}"/>
    <cellStyle name="20% - Accent6 26 3 2" xfId="22264" xr:uid="{00000000-0005-0000-0000-00004A1F0000}"/>
    <cellStyle name="20% - Accent6 26 4" xfId="8982" xr:uid="{00000000-0005-0000-0000-00004B1F0000}"/>
    <cellStyle name="20% - Accent6 26 4 2" xfId="20270" xr:uid="{00000000-0005-0000-0000-00004C1F0000}"/>
    <cellStyle name="20% - Accent6 26 5" xfId="6988" xr:uid="{00000000-0005-0000-0000-00004D1F0000}"/>
    <cellStyle name="20% - Accent6 26 5 2" xfId="18276" xr:uid="{00000000-0005-0000-0000-00004E1F0000}"/>
    <cellStyle name="20% - Accent6 26 6" xfId="4994" xr:uid="{00000000-0005-0000-0000-00004F1F0000}"/>
    <cellStyle name="20% - Accent6 26 6 2" xfId="16282" xr:uid="{00000000-0005-0000-0000-0000501F0000}"/>
    <cellStyle name="20% - Accent6 26 7" xfId="14288" xr:uid="{00000000-0005-0000-0000-0000511F0000}"/>
    <cellStyle name="20% - Accent6 26 8" xfId="12974" xr:uid="{00000000-0005-0000-0000-0000521F0000}"/>
    <cellStyle name="20% - Accent6 27" xfId="1039" xr:uid="{00000000-0005-0000-0000-0000531F0000}"/>
    <cellStyle name="20% - Accent6 27 2" xfId="3995" xr:uid="{00000000-0005-0000-0000-0000541F0000}"/>
    <cellStyle name="20% - Accent6 27 2 2" xfId="11974" xr:uid="{00000000-0005-0000-0000-0000551F0000}"/>
    <cellStyle name="20% - Accent6 27 2 2 2" xfId="23262" xr:uid="{00000000-0005-0000-0000-0000561F0000}"/>
    <cellStyle name="20% - Accent6 27 2 3" xfId="9980" xr:uid="{00000000-0005-0000-0000-0000571F0000}"/>
    <cellStyle name="20% - Accent6 27 2 3 2" xfId="21268" xr:uid="{00000000-0005-0000-0000-0000581F0000}"/>
    <cellStyle name="20% - Accent6 27 2 4" xfId="7986" xr:uid="{00000000-0005-0000-0000-0000591F0000}"/>
    <cellStyle name="20% - Accent6 27 2 4 2" xfId="19274" xr:uid="{00000000-0005-0000-0000-00005A1F0000}"/>
    <cellStyle name="20% - Accent6 27 2 5" xfId="5992" xr:uid="{00000000-0005-0000-0000-00005B1F0000}"/>
    <cellStyle name="20% - Accent6 27 2 5 2" xfId="17280" xr:uid="{00000000-0005-0000-0000-00005C1F0000}"/>
    <cellStyle name="20% - Accent6 27 2 6" xfId="15286" xr:uid="{00000000-0005-0000-0000-00005D1F0000}"/>
    <cellStyle name="20% - Accent6 27 3" xfId="10977" xr:uid="{00000000-0005-0000-0000-00005E1F0000}"/>
    <cellStyle name="20% - Accent6 27 3 2" xfId="22265" xr:uid="{00000000-0005-0000-0000-00005F1F0000}"/>
    <cellStyle name="20% - Accent6 27 4" xfId="8983" xr:uid="{00000000-0005-0000-0000-0000601F0000}"/>
    <cellStyle name="20% - Accent6 27 4 2" xfId="20271" xr:uid="{00000000-0005-0000-0000-0000611F0000}"/>
    <cellStyle name="20% - Accent6 27 5" xfId="6989" xr:uid="{00000000-0005-0000-0000-0000621F0000}"/>
    <cellStyle name="20% - Accent6 27 5 2" xfId="18277" xr:uid="{00000000-0005-0000-0000-0000631F0000}"/>
    <cellStyle name="20% - Accent6 27 6" xfId="4995" xr:uid="{00000000-0005-0000-0000-0000641F0000}"/>
    <cellStyle name="20% - Accent6 27 6 2" xfId="16283" xr:uid="{00000000-0005-0000-0000-0000651F0000}"/>
    <cellStyle name="20% - Accent6 27 7" xfId="14289" xr:uid="{00000000-0005-0000-0000-0000661F0000}"/>
    <cellStyle name="20% - Accent6 27 8" xfId="12975" xr:uid="{00000000-0005-0000-0000-0000671F0000}"/>
    <cellStyle name="20% - Accent6 28" xfId="1040" xr:uid="{00000000-0005-0000-0000-0000681F0000}"/>
    <cellStyle name="20% - Accent6 28 2" xfId="3996" xr:uid="{00000000-0005-0000-0000-0000691F0000}"/>
    <cellStyle name="20% - Accent6 28 2 2" xfId="11975" xr:uid="{00000000-0005-0000-0000-00006A1F0000}"/>
    <cellStyle name="20% - Accent6 28 2 2 2" xfId="23263" xr:uid="{00000000-0005-0000-0000-00006B1F0000}"/>
    <cellStyle name="20% - Accent6 28 2 3" xfId="9981" xr:uid="{00000000-0005-0000-0000-00006C1F0000}"/>
    <cellStyle name="20% - Accent6 28 2 3 2" xfId="21269" xr:uid="{00000000-0005-0000-0000-00006D1F0000}"/>
    <cellStyle name="20% - Accent6 28 2 4" xfId="7987" xr:uid="{00000000-0005-0000-0000-00006E1F0000}"/>
    <cellStyle name="20% - Accent6 28 2 4 2" xfId="19275" xr:uid="{00000000-0005-0000-0000-00006F1F0000}"/>
    <cellStyle name="20% - Accent6 28 2 5" xfId="5993" xr:uid="{00000000-0005-0000-0000-0000701F0000}"/>
    <cellStyle name="20% - Accent6 28 2 5 2" xfId="17281" xr:uid="{00000000-0005-0000-0000-0000711F0000}"/>
    <cellStyle name="20% - Accent6 28 2 6" xfId="15287" xr:uid="{00000000-0005-0000-0000-0000721F0000}"/>
    <cellStyle name="20% - Accent6 28 3" xfId="10978" xr:uid="{00000000-0005-0000-0000-0000731F0000}"/>
    <cellStyle name="20% - Accent6 28 3 2" xfId="22266" xr:uid="{00000000-0005-0000-0000-0000741F0000}"/>
    <cellStyle name="20% - Accent6 28 4" xfId="8984" xr:uid="{00000000-0005-0000-0000-0000751F0000}"/>
    <cellStyle name="20% - Accent6 28 4 2" xfId="20272" xr:uid="{00000000-0005-0000-0000-0000761F0000}"/>
    <cellStyle name="20% - Accent6 28 5" xfId="6990" xr:uid="{00000000-0005-0000-0000-0000771F0000}"/>
    <cellStyle name="20% - Accent6 28 5 2" xfId="18278" xr:uid="{00000000-0005-0000-0000-0000781F0000}"/>
    <cellStyle name="20% - Accent6 28 6" xfId="4996" xr:uid="{00000000-0005-0000-0000-0000791F0000}"/>
    <cellStyle name="20% - Accent6 28 6 2" xfId="16284" xr:uid="{00000000-0005-0000-0000-00007A1F0000}"/>
    <cellStyle name="20% - Accent6 28 7" xfId="14290" xr:uid="{00000000-0005-0000-0000-00007B1F0000}"/>
    <cellStyle name="20% - Accent6 28 8" xfId="12976" xr:uid="{00000000-0005-0000-0000-00007C1F0000}"/>
    <cellStyle name="20% - Accent6 29" xfId="1041" xr:uid="{00000000-0005-0000-0000-00007D1F0000}"/>
    <cellStyle name="20% - Accent6 29 2" xfId="3997" xr:uid="{00000000-0005-0000-0000-00007E1F0000}"/>
    <cellStyle name="20% - Accent6 29 2 2" xfId="11976" xr:uid="{00000000-0005-0000-0000-00007F1F0000}"/>
    <cellStyle name="20% - Accent6 29 2 2 2" xfId="23264" xr:uid="{00000000-0005-0000-0000-0000801F0000}"/>
    <cellStyle name="20% - Accent6 29 2 3" xfId="9982" xr:uid="{00000000-0005-0000-0000-0000811F0000}"/>
    <cellStyle name="20% - Accent6 29 2 3 2" xfId="21270" xr:uid="{00000000-0005-0000-0000-0000821F0000}"/>
    <cellStyle name="20% - Accent6 29 2 4" xfId="7988" xr:uid="{00000000-0005-0000-0000-0000831F0000}"/>
    <cellStyle name="20% - Accent6 29 2 4 2" xfId="19276" xr:uid="{00000000-0005-0000-0000-0000841F0000}"/>
    <cellStyle name="20% - Accent6 29 2 5" xfId="5994" xr:uid="{00000000-0005-0000-0000-0000851F0000}"/>
    <cellStyle name="20% - Accent6 29 2 5 2" xfId="17282" xr:uid="{00000000-0005-0000-0000-0000861F0000}"/>
    <cellStyle name="20% - Accent6 29 2 6" xfId="15288" xr:uid="{00000000-0005-0000-0000-0000871F0000}"/>
    <cellStyle name="20% - Accent6 29 3" xfId="10979" xr:uid="{00000000-0005-0000-0000-0000881F0000}"/>
    <cellStyle name="20% - Accent6 29 3 2" xfId="22267" xr:uid="{00000000-0005-0000-0000-0000891F0000}"/>
    <cellStyle name="20% - Accent6 29 4" xfId="8985" xr:uid="{00000000-0005-0000-0000-00008A1F0000}"/>
    <cellStyle name="20% - Accent6 29 4 2" xfId="20273" xr:uid="{00000000-0005-0000-0000-00008B1F0000}"/>
    <cellStyle name="20% - Accent6 29 5" xfId="6991" xr:uid="{00000000-0005-0000-0000-00008C1F0000}"/>
    <cellStyle name="20% - Accent6 29 5 2" xfId="18279" xr:uid="{00000000-0005-0000-0000-00008D1F0000}"/>
    <cellStyle name="20% - Accent6 29 6" xfId="4997" xr:uid="{00000000-0005-0000-0000-00008E1F0000}"/>
    <cellStyle name="20% - Accent6 29 6 2" xfId="16285" xr:uid="{00000000-0005-0000-0000-00008F1F0000}"/>
    <cellStyle name="20% - Accent6 29 7" xfId="14291" xr:uid="{00000000-0005-0000-0000-0000901F0000}"/>
    <cellStyle name="20% - Accent6 29 8" xfId="12977" xr:uid="{00000000-0005-0000-0000-0000911F0000}"/>
    <cellStyle name="20% - Accent6 3" xfId="1042" xr:uid="{00000000-0005-0000-0000-0000921F0000}"/>
    <cellStyle name="20% - Accent6 3 10" xfId="24590" xr:uid="{00000000-0005-0000-0000-0000931F0000}"/>
    <cellStyle name="20% - Accent6 3 11" xfId="24980" xr:uid="{00000000-0005-0000-0000-0000941F0000}"/>
    <cellStyle name="20% - Accent6 3 2" xfId="3998" xr:uid="{00000000-0005-0000-0000-0000951F0000}"/>
    <cellStyle name="20% - Accent6 3 2 2" xfId="11977" xr:uid="{00000000-0005-0000-0000-0000961F0000}"/>
    <cellStyle name="20% - Accent6 3 2 2 2" xfId="23265" xr:uid="{00000000-0005-0000-0000-0000971F0000}"/>
    <cellStyle name="20% - Accent6 3 2 3" xfId="9983" xr:uid="{00000000-0005-0000-0000-0000981F0000}"/>
    <cellStyle name="20% - Accent6 3 2 3 2" xfId="21271" xr:uid="{00000000-0005-0000-0000-0000991F0000}"/>
    <cellStyle name="20% - Accent6 3 2 4" xfId="7989" xr:uid="{00000000-0005-0000-0000-00009A1F0000}"/>
    <cellStyle name="20% - Accent6 3 2 4 2" xfId="19277" xr:uid="{00000000-0005-0000-0000-00009B1F0000}"/>
    <cellStyle name="20% - Accent6 3 2 5" xfId="5995" xr:uid="{00000000-0005-0000-0000-00009C1F0000}"/>
    <cellStyle name="20% - Accent6 3 2 5 2" xfId="17283" xr:uid="{00000000-0005-0000-0000-00009D1F0000}"/>
    <cellStyle name="20% - Accent6 3 2 6" xfId="15289" xr:uid="{00000000-0005-0000-0000-00009E1F0000}"/>
    <cellStyle name="20% - Accent6 3 2 7" xfId="24351" xr:uid="{00000000-0005-0000-0000-00009F1F0000}"/>
    <cellStyle name="20% - Accent6 3 2 8" xfId="24815" xr:uid="{00000000-0005-0000-0000-0000A01F0000}"/>
    <cellStyle name="20% - Accent6 3 2 9" xfId="25182" xr:uid="{00000000-0005-0000-0000-0000A11F0000}"/>
    <cellStyle name="20% - Accent6 3 3" xfId="10980" xr:uid="{00000000-0005-0000-0000-0000A21F0000}"/>
    <cellStyle name="20% - Accent6 3 3 2" xfId="22268" xr:uid="{00000000-0005-0000-0000-0000A31F0000}"/>
    <cellStyle name="20% - Accent6 3 4" xfId="8986" xr:uid="{00000000-0005-0000-0000-0000A41F0000}"/>
    <cellStyle name="20% - Accent6 3 4 2" xfId="20274" xr:uid="{00000000-0005-0000-0000-0000A51F0000}"/>
    <cellStyle name="20% - Accent6 3 5" xfId="6992" xr:uid="{00000000-0005-0000-0000-0000A61F0000}"/>
    <cellStyle name="20% - Accent6 3 5 2" xfId="18280" xr:uid="{00000000-0005-0000-0000-0000A71F0000}"/>
    <cellStyle name="20% - Accent6 3 6" xfId="4998" xr:uid="{00000000-0005-0000-0000-0000A81F0000}"/>
    <cellStyle name="20% - Accent6 3 6 2" xfId="16286" xr:uid="{00000000-0005-0000-0000-0000A91F0000}"/>
    <cellStyle name="20% - Accent6 3 7" xfId="14292" xr:uid="{00000000-0005-0000-0000-0000AA1F0000}"/>
    <cellStyle name="20% - Accent6 3 8" xfId="12978" xr:uid="{00000000-0005-0000-0000-0000AB1F0000}"/>
    <cellStyle name="20% - Accent6 3 9" xfId="23963" xr:uid="{00000000-0005-0000-0000-0000AC1F0000}"/>
    <cellStyle name="20% - Accent6 30" xfId="1043" xr:uid="{00000000-0005-0000-0000-0000AD1F0000}"/>
    <cellStyle name="20% - Accent6 30 2" xfId="3999" xr:uid="{00000000-0005-0000-0000-0000AE1F0000}"/>
    <cellStyle name="20% - Accent6 30 2 2" xfId="11978" xr:uid="{00000000-0005-0000-0000-0000AF1F0000}"/>
    <cellStyle name="20% - Accent6 30 2 2 2" xfId="23266" xr:uid="{00000000-0005-0000-0000-0000B01F0000}"/>
    <cellStyle name="20% - Accent6 30 2 3" xfId="9984" xr:uid="{00000000-0005-0000-0000-0000B11F0000}"/>
    <cellStyle name="20% - Accent6 30 2 3 2" xfId="21272" xr:uid="{00000000-0005-0000-0000-0000B21F0000}"/>
    <cellStyle name="20% - Accent6 30 2 4" xfId="7990" xr:uid="{00000000-0005-0000-0000-0000B31F0000}"/>
    <cellStyle name="20% - Accent6 30 2 4 2" xfId="19278" xr:uid="{00000000-0005-0000-0000-0000B41F0000}"/>
    <cellStyle name="20% - Accent6 30 2 5" xfId="5996" xr:uid="{00000000-0005-0000-0000-0000B51F0000}"/>
    <cellStyle name="20% - Accent6 30 2 5 2" xfId="17284" xr:uid="{00000000-0005-0000-0000-0000B61F0000}"/>
    <cellStyle name="20% - Accent6 30 2 6" xfId="15290" xr:uid="{00000000-0005-0000-0000-0000B71F0000}"/>
    <cellStyle name="20% - Accent6 30 3" xfId="10981" xr:uid="{00000000-0005-0000-0000-0000B81F0000}"/>
    <cellStyle name="20% - Accent6 30 3 2" xfId="22269" xr:uid="{00000000-0005-0000-0000-0000B91F0000}"/>
    <cellStyle name="20% - Accent6 30 4" xfId="8987" xr:uid="{00000000-0005-0000-0000-0000BA1F0000}"/>
    <cellStyle name="20% - Accent6 30 4 2" xfId="20275" xr:uid="{00000000-0005-0000-0000-0000BB1F0000}"/>
    <cellStyle name="20% - Accent6 30 5" xfId="6993" xr:uid="{00000000-0005-0000-0000-0000BC1F0000}"/>
    <cellStyle name="20% - Accent6 30 5 2" xfId="18281" xr:uid="{00000000-0005-0000-0000-0000BD1F0000}"/>
    <cellStyle name="20% - Accent6 30 6" xfId="4999" xr:uid="{00000000-0005-0000-0000-0000BE1F0000}"/>
    <cellStyle name="20% - Accent6 30 6 2" xfId="16287" xr:uid="{00000000-0005-0000-0000-0000BF1F0000}"/>
    <cellStyle name="20% - Accent6 30 7" xfId="14293" xr:uid="{00000000-0005-0000-0000-0000C01F0000}"/>
    <cellStyle name="20% - Accent6 30 8" xfId="12979" xr:uid="{00000000-0005-0000-0000-0000C11F0000}"/>
    <cellStyle name="20% - Accent6 31" xfId="1044" xr:uid="{00000000-0005-0000-0000-0000C21F0000}"/>
    <cellStyle name="20% - Accent6 31 2" xfId="4000" xr:uid="{00000000-0005-0000-0000-0000C31F0000}"/>
    <cellStyle name="20% - Accent6 31 2 2" xfId="11979" xr:uid="{00000000-0005-0000-0000-0000C41F0000}"/>
    <cellStyle name="20% - Accent6 31 2 2 2" xfId="23267" xr:uid="{00000000-0005-0000-0000-0000C51F0000}"/>
    <cellStyle name="20% - Accent6 31 2 3" xfId="9985" xr:uid="{00000000-0005-0000-0000-0000C61F0000}"/>
    <cellStyle name="20% - Accent6 31 2 3 2" xfId="21273" xr:uid="{00000000-0005-0000-0000-0000C71F0000}"/>
    <cellStyle name="20% - Accent6 31 2 4" xfId="7991" xr:uid="{00000000-0005-0000-0000-0000C81F0000}"/>
    <cellStyle name="20% - Accent6 31 2 4 2" xfId="19279" xr:uid="{00000000-0005-0000-0000-0000C91F0000}"/>
    <cellStyle name="20% - Accent6 31 2 5" xfId="5997" xr:uid="{00000000-0005-0000-0000-0000CA1F0000}"/>
    <cellStyle name="20% - Accent6 31 2 5 2" xfId="17285" xr:uid="{00000000-0005-0000-0000-0000CB1F0000}"/>
    <cellStyle name="20% - Accent6 31 2 6" xfId="15291" xr:uid="{00000000-0005-0000-0000-0000CC1F0000}"/>
    <cellStyle name="20% - Accent6 31 3" xfId="10982" xr:uid="{00000000-0005-0000-0000-0000CD1F0000}"/>
    <cellStyle name="20% - Accent6 31 3 2" xfId="22270" xr:uid="{00000000-0005-0000-0000-0000CE1F0000}"/>
    <cellStyle name="20% - Accent6 31 4" xfId="8988" xr:uid="{00000000-0005-0000-0000-0000CF1F0000}"/>
    <cellStyle name="20% - Accent6 31 4 2" xfId="20276" xr:uid="{00000000-0005-0000-0000-0000D01F0000}"/>
    <cellStyle name="20% - Accent6 31 5" xfId="6994" xr:uid="{00000000-0005-0000-0000-0000D11F0000}"/>
    <cellStyle name="20% - Accent6 31 5 2" xfId="18282" xr:uid="{00000000-0005-0000-0000-0000D21F0000}"/>
    <cellStyle name="20% - Accent6 31 6" xfId="5000" xr:uid="{00000000-0005-0000-0000-0000D31F0000}"/>
    <cellStyle name="20% - Accent6 31 6 2" xfId="16288" xr:uid="{00000000-0005-0000-0000-0000D41F0000}"/>
    <cellStyle name="20% - Accent6 31 7" xfId="14294" xr:uid="{00000000-0005-0000-0000-0000D51F0000}"/>
    <cellStyle name="20% - Accent6 31 8" xfId="12980" xr:uid="{00000000-0005-0000-0000-0000D61F0000}"/>
    <cellStyle name="20% - Accent6 32" xfId="1045" xr:uid="{00000000-0005-0000-0000-0000D71F0000}"/>
    <cellStyle name="20% - Accent6 32 2" xfId="4001" xr:uid="{00000000-0005-0000-0000-0000D81F0000}"/>
    <cellStyle name="20% - Accent6 32 2 2" xfId="11980" xr:uid="{00000000-0005-0000-0000-0000D91F0000}"/>
    <cellStyle name="20% - Accent6 32 2 2 2" xfId="23268" xr:uid="{00000000-0005-0000-0000-0000DA1F0000}"/>
    <cellStyle name="20% - Accent6 32 2 3" xfId="9986" xr:uid="{00000000-0005-0000-0000-0000DB1F0000}"/>
    <cellStyle name="20% - Accent6 32 2 3 2" xfId="21274" xr:uid="{00000000-0005-0000-0000-0000DC1F0000}"/>
    <cellStyle name="20% - Accent6 32 2 4" xfId="7992" xr:uid="{00000000-0005-0000-0000-0000DD1F0000}"/>
    <cellStyle name="20% - Accent6 32 2 4 2" xfId="19280" xr:uid="{00000000-0005-0000-0000-0000DE1F0000}"/>
    <cellStyle name="20% - Accent6 32 2 5" xfId="5998" xr:uid="{00000000-0005-0000-0000-0000DF1F0000}"/>
    <cellStyle name="20% - Accent6 32 2 5 2" xfId="17286" xr:uid="{00000000-0005-0000-0000-0000E01F0000}"/>
    <cellStyle name="20% - Accent6 32 2 6" xfId="15292" xr:uid="{00000000-0005-0000-0000-0000E11F0000}"/>
    <cellStyle name="20% - Accent6 32 3" xfId="10983" xr:uid="{00000000-0005-0000-0000-0000E21F0000}"/>
    <cellStyle name="20% - Accent6 32 3 2" xfId="22271" xr:uid="{00000000-0005-0000-0000-0000E31F0000}"/>
    <cellStyle name="20% - Accent6 32 4" xfId="8989" xr:uid="{00000000-0005-0000-0000-0000E41F0000}"/>
    <cellStyle name="20% - Accent6 32 4 2" xfId="20277" xr:uid="{00000000-0005-0000-0000-0000E51F0000}"/>
    <cellStyle name="20% - Accent6 32 5" xfId="6995" xr:uid="{00000000-0005-0000-0000-0000E61F0000}"/>
    <cellStyle name="20% - Accent6 32 5 2" xfId="18283" xr:uid="{00000000-0005-0000-0000-0000E71F0000}"/>
    <cellStyle name="20% - Accent6 32 6" xfId="5001" xr:uid="{00000000-0005-0000-0000-0000E81F0000}"/>
    <cellStyle name="20% - Accent6 32 6 2" xfId="16289" xr:uid="{00000000-0005-0000-0000-0000E91F0000}"/>
    <cellStyle name="20% - Accent6 32 7" xfId="14295" xr:uid="{00000000-0005-0000-0000-0000EA1F0000}"/>
    <cellStyle name="20% - Accent6 32 8" xfId="12981" xr:uid="{00000000-0005-0000-0000-0000EB1F0000}"/>
    <cellStyle name="20% - Accent6 33" xfId="1046" xr:uid="{00000000-0005-0000-0000-0000EC1F0000}"/>
    <cellStyle name="20% - Accent6 33 2" xfId="4002" xr:uid="{00000000-0005-0000-0000-0000ED1F0000}"/>
    <cellStyle name="20% - Accent6 33 2 2" xfId="11981" xr:uid="{00000000-0005-0000-0000-0000EE1F0000}"/>
    <cellStyle name="20% - Accent6 33 2 2 2" xfId="23269" xr:uid="{00000000-0005-0000-0000-0000EF1F0000}"/>
    <cellStyle name="20% - Accent6 33 2 3" xfId="9987" xr:uid="{00000000-0005-0000-0000-0000F01F0000}"/>
    <cellStyle name="20% - Accent6 33 2 3 2" xfId="21275" xr:uid="{00000000-0005-0000-0000-0000F11F0000}"/>
    <cellStyle name="20% - Accent6 33 2 4" xfId="7993" xr:uid="{00000000-0005-0000-0000-0000F21F0000}"/>
    <cellStyle name="20% - Accent6 33 2 4 2" xfId="19281" xr:uid="{00000000-0005-0000-0000-0000F31F0000}"/>
    <cellStyle name="20% - Accent6 33 2 5" xfId="5999" xr:uid="{00000000-0005-0000-0000-0000F41F0000}"/>
    <cellStyle name="20% - Accent6 33 2 5 2" xfId="17287" xr:uid="{00000000-0005-0000-0000-0000F51F0000}"/>
    <cellStyle name="20% - Accent6 33 2 6" xfId="15293" xr:uid="{00000000-0005-0000-0000-0000F61F0000}"/>
    <cellStyle name="20% - Accent6 33 3" xfId="10984" xr:uid="{00000000-0005-0000-0000-0000F71F0000}"/>
    <cellStyle name="20% - Accent6 33 3 2" xfId="22272" xr:uid="{00000000-0005-0000-0000-0000F81F0000}"/>
    <cellStyle name="20% - Accent6 33 4" xfId="8990" xr:uid="{00000000-0005-0000-0000-0000F91F0000}"/>
    <cellStyle name="20% - Accent6 33 4 2" xfId="20278" xr:uid="{00000000-0005-0000-0000-0000FA1F0000}"/>
    <cellStyle name="20% - Accent6 33 5" xfId="6996" xr:uid="{00000000-0005-0000-0000-0000FB1F0000}"/>
    <cellStyle name="20% - Accent6 33 5 2" xfId="18284" xr:uid="{00000000-0005-0000-0000-0000FC1F0000}"/>
    <cellStyle name="20% - Accent6 33 6" xfId="5002" xr:uid="{00000000-0005-0000-0000-0000FD1F0000}"/>
    <cellStyle name="20% - Accent6 33 6 2" xfId="16290" xr:uid="{00000000-0005-0000-0000-0000FE1F0000}"/>
    <cellStyle name="20% - Accent6 33 7" xfId="14296" xr:uid="{00000000-0005-0000-0000-0000FF1F0000}"/>
    <cellStyle name="20% - Accent6 33 8" xfId="12982" xr:uid="{00000000-0005-0000-0000-000000200000}"/>
    <cellStyle name="20% - Accent6 34" xfId="1047" xr:uid="{00000000-0005-0000-0000-000001200000}"/>
    <cellStyle name="20% - Accent6 34 2" xfId="4003" xr:uid="{00000000-0005-0000-0000-000002200000}"/>
    <cellStyle name="20% - Accent6 34 2 2" xfId="11982" xr:uid="{00000000-0005-0000-0000-000003200000}"/>
    <cellStyle name="20% - Accent6 34 2 2 2" xfId="23270" xr:uid="{00000000-0005-0000-0000-000004200000}"/>
    <cellStyle name="20% - Accent6 34 2 3" xfId="9988" xr:uid="{00000000-0005-0000-0000-000005200000}"/>
    <cellStyle name="20% - Accent6 34 2 3 2" xfId="21276" xr:uid="{00000000-0005-0000-0000-000006200000}"/>
    <cellStyle name="20% - Accent6 34 2 4" xfId="7994" xr:uid="{00000000-0005-0000-0000-000007200000}"/>
    <cellStyle name="20% - Accent6 34 2 4 2" xfId="19282" xr:uid="{00000000-0005-0000-0000-000008200000}"/>
    <cellStyle name="20% - Accent6 34 2 5" xfId="6000" xr:uid="{00000000-0005-0000-0000-000009200000}"/>
    <cellStyle name="20% - Accent6 34 2 5 2" xfId="17288" xr:uid="{00000000-0005-0000-0000-00000A200000}"/>
    <cellStyle name="20% - Accent6 34 2 6" xfId="15294" xr:uid="{00000000-0005-0000-0000-00000B200000}"/>
    <cellStyle name="20% - Accent6 34 3" xfId="10985" xr:uid="{00000000-0005-0000-0000-00000C200000}"/>
    <cellStyle name="20% - Accent6 34 3 2" xfId="22273" xr:uid="{00000000-0005-0000-0000-00000D200000}"/>
    <cellStyle name="20% - Accent6 34 4" xfId="8991" xr:uid="{00000000-0005-0000-0000-00000E200000}"/>
    <cellStyle name="20% - Accent6 34 4 2" xfId="20279" xr:uid="{00000000-0005-0000-0000-00000F200000}"/>
    <cellStyle name="20% - Accent6 34 5" xfId="6997" xr:uid="{00000000-0005-0000-0000-000010200000}"/>
    <cellStyle name="20% - Accent6 34 5 2" xfId="18285" xr:uid="{00000000-0005-0000-0000-000011200000}"/>
    <cellStyle name="20% - Accent6 34 6" xfId="5003" xr:uid="{00000000-0005-0000-0000-000012200000}"/>
    <cellStyle name="20% - Accent6 34 6 2" xfId="16291" xr:uid="{00000000-0005-0000-0000-000013200000}"/>
    <cellStyle name="20% - Accent6 34 7" xfId="14297" xr:uid="{00000000-0005-0000-0000-000014200000}"/>
    <cellStyle name="20% - Accent6 34 8" xfId="12983" xr:uid="{00000000-0005-0000-0000-000015200000}"/>
    <cellStyle name="20% - Accent6 35" xfId="1048" xr:uid="{00000000-0005-0000-0000-000016200000}"/>
    <cellStyle name="20% - Accent6 35 2" xfId="4004" xr:uid="{00000000-0005-0000-0000-000017200000}"/>
    <cellStyle name="20% - Accent6 35 2 2" xfId="11983" xr:uid="{00000000-0005-0000-0000-000018200000}"/>
    <cellStyle name="20% - Accent6 35 2 2 2" xfId="23271" xr:uid="{00000000-0005-0000-0000-000019200000}"/>
    <cellStyle name="20% - Accent6 35 2 3" xfId="9989" xr:uid="{00000000-0005-0000-0000-00001A200000}"/>
    <cellStyle name="20% - Accent6 35 2 3 2" xfId="21277" xr:uid="{00000000-0005-0000-0000-00001B200000}"/>
    <cellStyle name="20% - Accent6 35 2 4" xfId="7995" xr:uid="{00000000-0005-0000-0000-00001C200000}"/>
    <cellStyle name="20% - Accent6 35 2 4 2" xfId="19283" xr:uid="{00000000-0005-0000-0000-00001D200000}"/>
    <cellStyle name="20% - Accent6 35 2 5" xfId="6001" xr:uid="{00000000-0005-0000-0000-00001E200000}"/>
    <cellStyle name="20% - Accent6 35 2 5 2" xfId="17289" xr:uid="{00000000-0005-0000-0000-00001F200000}"/>
    <cellStyle name="20% - Accent6 35 2 6" xfId="15295" xr:uid="{00000000-0005-0000-0000-000020200000}"/>
    <cellStyle name="20% - Accent6 35 3" xfId="10986" xr:uid="{00000000-0005-0000-0000-000021200000}"/>
    <cellStyle name="20% - Accent6 35 3 2" xfId="22274" xr:uid="{00000000-0005-0000-0000-000022200000}"/>
    <cellStyle name="20% - Accent6 35 4" xfId="8992" xr:uid="{00000000-0005-0000-0000-000023200000}"/>
    <cellStyle name="20% - Accent6 35 4 2" xfId="20280" xr:uid="{00000000-0005-0000-0000-000024200000}"/>
    <cellStyle name="20% - Accent6 35 5" xfId="6998" xr:uid="{00000000-0005-0000-0000-000025200000}"/>
    <cellStyle name="20% - Accent6 35 5 2" xfId="18286" xr:uid="{00000000-0005-0000-0000-000026200000}"/>
    <cellStyle name="20% - Accent6 35 6" xfId="5004" xr:uid="{00000000-0005-0000-0000-000027200000}"/>
    <cellStyle name="20% - Accent6 35 6 2" xfId="16292" xr:uid="{00000000-0005-0000-0000-000028200000}"/>
    <cellStyle name="20% - Accent6 35 7" xfId="14298" xr:uid="{00000000-0005-0000-0000-000029200000}"/>
    <cellStyle name="20% - Accent6 35 8" xfId="12984" xr:uid="{00000000-0005-0000-0000-00002A200000}"/>
    <cellStyle name="20% - Accent6 36" xfId="1049" xr:uid="{00000000-0005-0000-0000-00002B200000}"/>
    <cellStyle name="20% - Accent6 36 2" xfId="4005" xr:uid="{00000000-0005-0000-0000-00002C200000}"/>
    <cellStyle name="20% - Accent6 36 2 2" xfId="11984" xr:uid="{00000000-0005-0000-0000-00002D200000}"/>
    <cellStyle name="20% - Accent6 36 2 2 2" xfId="23272" xr:uid="{00000000-0005-0000-0000-00002E200000}"/>
    <cellStyle name="20% - Accent6 36 2 3" xfId="9990" xr:uid="{00000000-0005-0000-0000-00002F200000}"/>
    <cellStyle name="20% - Accent6 36 2 3 2" xfId="21278" xr:uid="{00000000-0005-0000-0000-000030200000}"/>
    <cellStyle name="20% - Accent6 36 2 4" xfId="7996" xr:uid="{00000000-0005-0000-0000-000031200000}"/>
    <cellStyle name="20% - Accent6 36 2 4 2" xfId="19284" xr:uid="{00000000-0005-0000-0000-000032200000}"/>
    <cellStyle name="20% - Accent6 36 2 5" xfId="6002" xr:uid="{00000000-0005-0000-0000-000033200000}"/>
    <cellStyle name="20% - Accent6 36 2 5 2" xfId="17290" xr:uid="{00000000-0005-0000-0000-000034200000}"/>
    <cellStyle name="20% - Accent6 36 2 6" xfId="15296" xr:uid="{00000000-0005-0000-0000-000035200000}"/>
    <cellStyle name="20% - Accent6 36 3" xfId="10987" xr:uid="{00000000-0005-0000-0000-000036200000}"/>
    <cellStyle name="20% - Accent6 36 3 2" xfId="22275" xr:uid="{00000000-0005-0000-0000-000037200000}"/>
    <cellStyle name="20% - Accent6 36 4" xfId="8993" xr:uid="{00000000-0005-0000-0000-000038200000}"/>
    <cellStyle name="20% - Accent6 36 4 2" xfId="20281" xr:uid="{00000000-0005-0000-0000-000039200000}"/>
    <cellStyle name="20% - Accent6 36 5" xfId="6999" xr:uid="{00000000-0005-0000-0000-00003A200000}"/>
    <cellStyle name="20% - Accent6 36 5 2" xfId="18287" xr:uid="{00000000-0005-0000-0000-00003B200000}"/>
    <cellStyle name="20% - Accent6 36 6" xfId="5005" xr:uid="{00000000-0005-0000-0000-00003C200000}"/>
    <cellStyle name="20% - Accent6 36 6 2" xfId="16293" xr:uid="{00000000-0005-0000-0000-00003D200000}"/>
    <cellStyle name="20% - Accent6 36 7" xfId="14299" xr:uid="{00000000-0005-0000-0000-00003E200000}"/>
    <cellStyle name="20% - Accent6 36 8" xfId="12985" xr:uid="{00000000-0005-0000-0000-00003F200000}"/>
    <cellStyle name="20% - Accent6 37" xfId="1050" xr:uid="{00000000-0005-0000-0000-000040200000}"/>
    <cellStyle name="20% - Accent6 37 2" xfId="4006" xr:uid="{00000000-0005-0000-0000-000041200000}"/>
    <cellStyle name="20% - Accent6 37 2 2" xfId="11985" xr:uid="{00000000-0005-0000-0000-000042200000}"/>
    <cellStyle name="20% - Accent6 37 2 2 2" xfId="23273" xr:uid="{00000000-0005-0000-0000-000043200000}"/>
    <cellStyle name="20% - Accent6 37 2 3" xfId="9991" xr:uid="{00000000-0005-0000-0000-000044200000}"/>
    <cellStyle name="20% - Accent6 37 2 3 2" xfId="21279" xr:uid="{00000000-0005-0000-0000-000045200000}"/>
    <cellStyle name="20% - Accent6 37 2 4" xfId="7997" xr:uid="{00000000-0005-0000-0000-000046200000}"/>
    <cellStyle name="20% - Accent6 37 2 4 2" xfId="19285" xr:uid="{00000000-0005-0000-0000-000047200000}"/>
    <cellStyle name="20% - Accent6 37 2 5" xfId="6003" xr:uid="{00000000-0005-0000-0000-000048200000}"/>
    <cellStyle name="20% - Accent6 37 2 5 2" xfId="17291" xr:uid="{00000000-0005-0000-0000-000049200000}"/>
    <cellStyle name="20% - Accent6 37 2 6" xfId="15297" xr:uid="{00000000-0005-0000-0000-00004A200000}"/>
    <cellStyle name="20% - Accent6 37 3" xfId="10988" xr:uid="{00000000-0005-0000-0000-00004B200000}"/>
    <cellStyle name="20% - Accent6 37 3 2" xfId="22276" xr:uid="{00000000-0005-0000-0000-00004C200000}"/>
    <cellStyle name="20% - Accent6 37 4" xfId="8994" xr:uid="{00000000-0005-0000-0000-00004D200000}"/>
    <cellStyle name="20% - Accent6 37 4 2" xfId="20282" xr:uid="{00000000-0005-0000-0000-00004E200000}"/>
    <cellStyle name="20% - Accent6 37 5" xfId="7000" xr:uid="{00000000-0005-0000-0000-00004F200000}"/>
    <cellStyle name="20% - Accent6 37 5 2" xfId="18288" xr:uid="{00000000-0005-0000-0000-000050200000}"/>
    <cellStyle name="20% - Accent6 37 6" xfId="5006" xr:uid="{00000000-0005-0000-0000-000051200000}"/>
    <cellStyle name="20% - Accent6 37 6 2" xfId="16294" xr:uid="{00000000-0005-0000-0000-000052200000}"/>
    <cellStyle name="20% - Accent6 37 7" xfId="14300" xr:uid="{00000000-0005-0000-0000-000053200000}"/>
    <cellStyle name="20% - Accent6 37 8" xfId="12986" xr:uid="{00000000-0005-0000-0000-000054200000}"/>
    <cellStyle name="20% - Accent6 38" xfId="1051" xr:uid="{00000000-0005-0000-0000-000055200000}"/>
    <cellStyle name="20% - Accent6 38 2" xfId="4007" xr:uid="{00000000-0005-0000-0000-000056200000}"/>
    <cellStyle name="20% - Accent6 38 2 2" xfId="11986" xr:uid="{00000000-0005-0000-0000-000057200000}"/>
    <cellStyle name="20% - Accent6 38 2 2 2" xfId="23274" xr:uid="{00000000-0005-0000-0000-000058200000}"/>
    <cellStyle name="20% - Accent6 38 2 3" xfId="9992" xr:uid="{00000000-0005-0000-0000-000059200000}"/>
    <cellStyle name="20% - Accent6 38 2 3 2" xfId="21280" xr:uid="{00000000-0005-0000-0000-00005A200000}"/>
    <cellStyle name="20% - Accent6 38 2 4" xfId="7998" xr:uid="{00000000-0005-0000-0000-00005B200000}"/>
    <cellStyle name="20% - Accent6 38 2 4 2" xfId="19286" xr:uid="{00000000-0005-0000-0000-00005C200000}"/>
    <cellStyle name="20% - Accent6 38 2 5" xfId="6004" xr:uid="{00000000-0005-0000-0000-00005D200000}"/>
    <cellStyle name="20% - Accent6 38 2 5 2" xfId="17292" xr:uid="{00000000-0005-0000-0000-00005E200000}"/>
    <cellStyle name="20% - Accent6 38 2 6" xfId="15298" xr:uid="{00000000-0005-0000-0000-00005F200000}"/>
    <cellStyle name="20% - Accent6 38 3" xfId="10989" xr:uid="{00000000-0005-0000-0000-000060200000}"/>
    <cellStyle name="20% - Accent6 38 3 2" xfId="22277" xr:uid="{00000000-0005-0000-0000-000061200000}"/>
    <cellStyle name="20% - Accent6 38 4" xfId="8995" xr:uid="{00000000-0005-0000-0000-000062200000}"/>
    <cellStyle name="20% - Accent6 38 4 2" xfId="20283" xr:uid="{00000000-0005-0000-0000-000063200000}"/>
    <cellStyle name="20% - Accent6 38 5" xfId="7001" xr:uid="{00000000-0005-0000-0000-000064200000}"/>
    <cellStyle name="20% - Accent6 38 5 2" xfId="18289" xr:uid="{00000000-0005-0000-0000-000065200000}"/>
    <cellStyle name="20% - Accent6 38 6" xfId="5007" xr:uid="{00000000-0005-0000-0000-000066200000}"/>
    <cellStyle name="20% - Accent6 38 6 2" xfId="16295" xr:uid="{00000000-0005-0000-0000-000067200000}"/>
    <cellStyle name="20% - Accent6 38 7" xfId="14301" xr:uid="{00000000-0005-0000-0000-000068200000}"/>
    <cellStyle name="20% - Accent6 38 8" xfId="12987" xr:uid="{00000000-0005-0000-0000-000069200000}"/>
    <cellStyle name="20% - Accent6 39" xfId="1052" xr:uid="{00000000-0005-0000-0000-00006A200000}"/>
    <cellStyle name="20% - Accent6 39 2" xfId="4008" xr:uid="{00000000-0005-0000-0000-00006B200000}"/>
    <cellStyle name="20% - Accent6 39 2 2" xfId="11987" xr:uid="{00000000-0005-0000-0000-00006C200000}"/>
    <cellStyle name="20% - Accent6 39 2 2 2" xfId="23275" xr:uid="{00000000-0005-0000-0000-00006D200000}"/>
    <cellStyle name="20% - Accent6 39 2 3" xfId="9993" xr:uid="{00000000-0005-0000-0000-00006E200000}"/>
    <cellStyle name="20% - Accent6 39 2 3 2" xfId="21281" xr:uid="{00000000-0005-0000-0000-00006F200000}"/>
    <cellStyle name="20% - Accent6 39 2 4" xfId="7999" xr:uid="{00000000-0005-0000-0000-000070200000}"/>
    <cellStyle name="20% - Accent6 39 2 4 2" xfId="19287" xr:uid="{00000000-0005-0000-0000-000071200000}"/>
    <cellStyle name="20% - Accent6 39 2 5" xfId="6005" xr:uid="{00000000-0005-0000-0000-000072200000}"/>
    <cellStyle name="20% - Accent6 39 2 5 2" xfId="17293" xr:uid="{00000000-0005-0000-0000-000073200000}"/>
    <cellStyle name="20% - Accent6 39 2 6" xfId="15299" xr:uid="{00000000-0005-0000-0000-000074200000}"/>
    <cellStyle name="20% - Accent6 39 3" xfId="10990" xr:uid="{00000000-0005-0000-0000-000075200000}"/>
    <cellStyle name="20% - Accent6 39 3 2" xfId="22278" xr:uid="{00000000-0005-0000-0000-000076200000}"/>
    <cellStyle name="20% - Accent6 39 4" xfId="8996" xr:uid="{00000000-0005-0000-0000-000077200000}"/>
    <cellStyle name="20% - Accent6 39 4 2" xfId="20284" xr:uid="{00000000-0005-0000-0000-000078200000}"/>
    <cellStyle name="20% - Accent6 39 5" xfId="7002" xr:uid="{00000000-0005-0000-0000-000079200000}"/>
    <cellStyle name="20% - Accent6 39 5 2" xfId="18290" xr:uid="{00000000-0005-0000-0000-00007A200000}"/>
    <cellStyle name="20% - Accent6 39 6" xfId="5008" xr:uid="{00000000-0005-0000-0000-00007B200000}"/>
    <cellStyle name="20% - Accent6 39 6 2" xfId="16296" xr:uid="{00000000-0005-0000-0000-00007C200000}"/>
    <cellStyle name="20% - Accent6 39 7" xfId="14302" xr:uid="{00000000-0005-0000-0000-00007D200000}"/>
    <cellStyle name="20% - Accent6 39 8" xfId="12988" xr:uid="{00000000-0005-0000-0000-00007E200000}"/>
    <cellStyle name="20% - Accent6 4" xfId="1053" xr:uid="{00000000-0005-0000-0000-00007F200000}"/>
    <cellStyle name="20% - Accent6 4 10" xfId="24591" xr:uid="{00000000-0005-0000-0000-000080200000}"/>
    <cellStyle name="20% - Accent6 4 11" xfId="24981" xr:uid="{00000000-0005-0000-0000-000081200000}"/>
    <cellStyle name="20% - Accent6 4 2" xfId="4009" xr:uid="{00000000-0005-0000-0000-000082200000}"/>
    <cellStyle name="20% - Accent6 4 2 2" xfId="11988" xr:uid="{00000000-0005-0000-0000-000083200000}"/>
    <cellStyle name="20% - Accent6 4 2 2 2" xfId="23276" xr:uid="{00000000-0005-0000-0000-000084200000}"/>
    <cellStyle name="20% - Accent6 4 2 3" xfId="9994" xr:uid="{00000000-0005-0000-0000-000085200000}"/>
    <cellStyle name="20% - Accent6 4 2 3 2" xfId="21282" xr:uid="{00000000-0005-0000-0000-000086200000}"/>
    <cellStyle name="20% - Accent6 4 2 4" xfId="8000" xr:uid="{00000000-0005-0000-0000-000087200000}"/>
    <cellStyle name="20% - Accent6 4 2 4 2" xfId="19288" xr:uid="{00000000-0005-0000-0000-000088200000}"/>
    <cellStyle name="20% - Accent6 4 2 5" xfId="6006" xr:uid="{00000000-0005-0000-0000-000089200000}"/>
    <cellStyle name="20% - Accent6 4 2 5 2" xfId="17294" xr:uid="{00000000-0005-0000-0000-00008A200000}"/>
    <cellStyle name="20% - Accent6 4 2 6" xfId="15300" xr:uid="{00000000-0005-0000-0000-00008B200000}"/>
    <cellStyle name="20% - Accent6 4 2 7" xfId="24352" xr:uid="{00000000-0005-0000-0000-00008C200000}"/>
    <cellStyle name="20% - Accent6 4 2 8" xfId="24816" xr:uid="{00000000-0005-0000-0000-00008D200000}"/>
    <cellStyle name="20% - Accent6 4 2 9" xfId="25183" xr:uid="{00000000-0005-0000-0000-00008E200000}"/>
    <cellStyle name="20% - Accent6 4 3" xfId="10991" xr:uid="{00000000-0005-0000-0000-00008F200000}"/>
    <cellStyle name="20% - Accent6 4 3 2" xfId="22279" xr:uid="{00000000-0005-0000-0000-000090200000}"/>
    <cellStyle name="20% - Accent6 4 4" xfId="8997" xr:uid="{00000000-0005-0000-0000-000091200000}"/>
    <cellStyle name="20% - Accent6 4 4 2" xfId="20285" xr:uid="{00000000-0005-0000-0000-000092200000}"/>
    <cellStyle name="20% - Accent6 4 5" xfId="7003" xr:uid="{00000000-0005-0000-0000-000093200000}"/>
    <cellStyle name="20% - Accent6 4 5 2" xfId="18291" xr:uid="{00000000-0005-0000-0000-000094200000}"/>
    <cellStyle name="20% - Accent6 4 6" xfId="5009" xr:uid="{00000000-0005-0000-0000-000095200000}"/>
    <cellStyle name="20% - Accent6 4 6 2" xfId="16297" xr:uid="{00000000-0005-0000-0000-000096200000}"/>
    <cellStyle name="20% - Accent6 4 7" xfId="14303" xr:uid="{00000000-0005-0000-0000-000097200000}"/>
    <cellStyle name="20% - Accent6 4 8" xfId="12989" xr:uid="{00000000-0005-0000-0000-000098200000}"/>
    <cellStyle name="20% - Accent6 4 9" xfId="23964" xr:uid="{00000000-0005-0000-0000-000099200000}"/>
    <cellStyle name="20% - Accent6 40" xfId="1054" xr:uid="{00000000-0005-0000-0000-00009A200000}"/>
    <cellStyle name="20% - Accent6 40 2" xfId="4010" xr:uid="{00000000-0005-0000-0000-00009B200000}"/>
    <cellStyle name="20% - Accent6 40 2 2" xfId="11989" xr:uid="{00000000-0005-0000-0000-00009C200000}"/>
    <cellStyle name="20% - Accent6 40 2 2 2" xfId="23277" xr:uid="{00000000-0005-0000-0000-00009D200000}"/>
    <cellStyle name="20% - Accent6 40 2 3" xfId="9995" xr:uid="{00000000-0005-0000-0000-00009E200000}"/>
    <cellStyle name="20% - Accent6 40 2 3 2" xfId="21283" xr:uid="{00000000-0005-0000-0000-00009F200000}"/>
    <cellStyle name="20% - Accent6 40 2 4" xfId="8001" xr:uid="{00000000-0005-0000-0000-0000A0200000}"/>
    <cellStyle name="20% - Accent6 40 2 4 2" xfId="19289" xr:uid="{00000000-0005-0000-0000-0000A1200000}"/>
    <cellStyle name="20% - Accent6 40 2 5" xfId="6007" xr:uid="{00000000-0005-0000-0000-0000A2200000}"/>
    <cellStyle name="20% - Accent6 40 2 5 2" xfId="17295" xr:uid="{00000000-0005-0000-0000-0000A3200000}"/>
    <cellStyle name="20% - Accent6 40 2 6" xfId="15301" xr:uid="{00000000-0005-0000-0000-0000A4200000}"/>
    <cellStyle name="20% - Accent6 40 3" xfId="10992" xr:uid="{00000000-0005-0000-0000-0000A5200000}"/>
    <cellStyle name="20% - Accent6 40 3 2" xfId="22280" xr:uid="{00000000-0005-0000-0000-0000A6200000}"/>
    <cellStyle name="20% - Accent6 40 4" xfId="8998" xr:uid="{00000000-0005-0000-0000-0000A7200000}"/>
    <cellStyle name="20% - Accent6 40 4 2" xfId="20286" xr:uid="{00000000-0005-0000-0000-0000A8200000}"/>
    <cellStyle name="20% - Accent6 40 5" xfId="7004" xr:uid="{00000000-0005-0000-0000-0000A9200000}"/>
    <cellStyle name="20% - Accent6 40 5 2" xfId="18292" xr:uid="{00000000-0005-0000-0000-0000AA200000}"/>
    <cellStyle name="20% - Accent6 40 6" xfId="5010" xr:uid="{00000000-0005-0000-0000-0000AB200000}"/>
    <cellStyle name="20% - Accent6 40 6 2" xfId="16298" xr:uid="{00000000-0005-0000-0000-0000AC200000}"/>
    <cellStyle name="20% - Accent6 40 7" xfId="14304" xr:uid="{00000000-0005-0000-0000-0000AD200000}"/>
    <cellStyle name="20% - Accent6 40 8" xfId="12990" xr:uid="{00000000-0005-0000-0000-0000AE200000}"/>
    <cellStyle name="20% - Accent6 41" xfId="1055" xr:uid="{00000000-0005-0000-0000-0000AF200000}"/>
    <cellStyle name="20% - Accent6 41 2" xfId="4011" xr:uid="{00000000-0005-0000-0000-0000B0200000}"/>
    <cellStyle name="20% - Accent6 41 2 2" xfId="11990" xr:uid="{00000000-0005-0000-0000-0000B1200000}"/>
    <cellStyle name="20% - Accent6 41 2 2 2" xfId="23278" xr:uid="{00000000-0005-0000-0000-0000B2200000}"/>
    <cellStyle name="20% - Accent6 41 2 3" xfId="9996" xr:uid="{00000000-0005-0000-0000-0000B3200000}"/>
    <cellStyle name="20% - Accent6 41 2 3 2" xfId="21284" xr:uid="{00000000-0005-0000-0000-0000B4200000}"/>
    <cellStyle name="20% - Accent6 41 2 4" xfId="8002" xr:uid="{00000000-0005-0000-0000-0000B5200000}"/>
    <cellStyle name="20% - Accent6 41 2 4 2" xfId="19290" xr:uid="{00000000-0005-0000-0000-0000B6200000}"/>
    <cellStyle name="20% - Accent6 41 2 5" xfId="6008" xr:uid="{00000000-0005-0000-0000-0000B7200000}"/>
    <cellStyle name="20% - Accent6 41 2 5 2" xfId="17296" xr:uid="{00000000-0005-0000-0000-0000B8200000}"/>
    <cellStyle name="20% - Accent6 41 2 6" xfId="15302" xr:uid="{00000000-0005-0000-0000-0000B9200000}"/>
    <cellStyle name="20% - Accent6 41 3" xfId="10993" xr:uid="{00000000-0005-0000-0000-0000BA200000}"/>
    <cellStyle name="20% - Accent6 41 3 2" xfId="22281" xr:uid="{00000000-0005-0000-0000-0000BB200000}"/>
    <cellStyle name="20% - Accent6 41 4" xfId="8999" xr:uid="{00000000-0005-0000-0000-0000BC200000}"/>
    <cellStyle name="20% - Accent6 41 4 2" xfId="20287" xr:uid="{00000000-0005-0000-0000-0000BD200000}"/>
    <cellStyle name="20% - Accent6 41 5" xfId="7005" xr:uid="{00000000-0005-0000-0000-0000BE200000}"/>
    <cellStyle name="20% - Accent6 41 5 2" xfId="18293" xr:uid="{00000000-0005-0000-0000-0000BF200000}"/>
    <cellStyle name="20% - Accent6 41 6" xfId="5011" xr:uid="{00000000-0005-0000-0000-0000C0200000}"/>
    <cellStyle name="20% - Accent6 41 6 2" xfId="16299" xr:uid="{00000000-0005-0000-0000-0000C1200000}"/>
    <cellStyle name="20% - Accent6 41 7" xfId="14305" xr:uid="{00000000-0005-0000-0000-0000C2200000}"/>
    <cellStyle name="20% - Accent6 41 8" xfId="12991" xr:uid="{00000000-0005-0000-0000-0000C3200000}"/>
    <cellStyle name="20% - Accent6 42" xfId="1056" xr:uid="{00000000-0005-0000-0000-0000C4200000}"/>
    <cellStyle name="20% - Accent6 42 2" xfId="4012" xr:uid="{00000000-0005-0000-0000-0000C5200000}"/>
    <cellStyle name="20% - Accent6 42 2 2" xfId="11991" xr:uid="{00000000-0005-0000-0000-0000C6200000}"/>
    <cellStyle name="20% - Accent6 42 2 2 2" xfId="23279" xr:uid="{00000000-0005-0000-0000-0000C7200000}"/>
    <cellStyle name="20% - Accent6 42 2 3" xfId="9997" xr:uid="{00000000-0005-0000-0000-0000C8200000}"/>
    <cellStyle name="20% - Accent6 42 2 3 2" xfId="21285" xr:uid="{00000000-0005-0000-0000-0000C9200000}"/>
    <cellStyle name="20% - Accent6 42 2 4" xfId="8003" xr:uid="{00000000-0005-0000-0000-0000CA200000}"/>
    <cellStyle name="20% - Accent6 42 2 4 2" xfId="19291" xr:uid="{00000000-0005-0000-0000-0000CB200000}"/>
    <cellStyle name="20% - Accent6 42 2 5" xfId="6009" xr:uid="{00000000-0005-0000-0000-0000CC200000}"/>
    <cellStyle name="20% - Accent6 42 2 5 2" xfId="17297" xr:uid="{00000000-0005-0000-0000-0000CD200000}"/>
    <cellStyle name="20% - Accent6 42 2 6" xfId="15303" xr:uid="{00000000-0005-0000-0000-0000CE200000}"/>
    <cellStyle name="20% - Accent6 42 3" xfId="10994" xr:uid="{00000000-0005-0000-0000-0000CF200000}"/>
    <cellStyle name="20% - Accent6 42 3 2" xfId="22282" xr:uid="{00000000-0005-0000-0000-0000D0200000}"/>
    <cellStyle name="20% - Accent6 42 4" xfId="9000" xr:uid="{00000000-0005-0000-0000-0000D1200000}"/>
    <cellStyle name="20% - Accent6 42 4 2" xfId="20288" xr:uid="{00000000-0005-0000-0000-0000D2200000}"/>
    <cellStyle name="20% - Accent6 42 5" xfId="7006" xr:uid="{00000000-0005-0000-0000-0000D3200000}"/>
    <cellStyle name="20% - Accent6 42 5 2" xfId="18294" xr:uid="{00000000-0005-0000-0000-0000D4200000}"/>
    <cellStyle name="20% - Accent6 42 6" xfId="5012" xr:uid="{00000000-0005-0000-0000-0000D5200000}"/>
    <cellStyle name="20% - Accent6 42 6 2" xfId="16300" xr:uid="{00000000-0005-0000-0000-0000D6200000}"/>
    <cellStyle name="20% - Accent6 42 7" xfId="14306" xr:uid="{00000000-0005-0000-0000-0000D7200000}"/>
    <cellStyle name="20% - Accent6 42 8" xfId="12992" xr:uid="{00000000-0005-0000-0000-0000D8200000}"/>
    <cellStyle name="20% - Accent6 43" xfId="1057" xr:uid="{00000000-0005-0000-0000-0000D9200000}"/>
    <cellStyle name="20% - Accent6 43 2" xfId="4013" xr:uid="{00000000-0005-0000-0000-0000DA200000}"/>
    <cellStyle name="20% - Accent6 43 2 2" xfId="11992" xr:uid="{00000000-0005-0000-0000-0000DB200000}"/>
    <cellStyle name="20% - Accent6 43 2 2 2" xfId="23280" xr:uid="{00000000-0005-0000-0000-0000DC200000}"/>
    <cellStyle name="20% - Accent6 43 2 3" xfId="9998" xr:uid="{00000000-0005-0000-0000-0000DD200000}"/>
    <cellStyle name="20% - Accent6 43 2 3 2" xfId="21286" xr:uid="{00000000-0005-0000-0000-0000DE200000}"/>
    <cellStyle name="20% - Accent6 43 2 4" xfId="8004" xr:uid="{00000000-0005-0000-0000-0000DF200000}"/>
    <cellStyle name="20% - Accent6 43 2 4 2" xfId="19292" xr:uid="{00000000-0005-0000-0000-0000E0200000}"/>
    <cellStyle name="20% - Accent6 43 2 5" xfId="6010" xr:uid="{00000000-0005-0000-0000-0000E1200000}"/>
    <cellStyle name="20% - Accent6 43 2 5 2" xfId="17298" xr:uid="{00000000-0005-0000-0000-0000E2200000}"/>
    <cellStyle name="20% - Accent6 43 2 6" xfId="15304" xr:uid="{00000000-0005-0000-0000-0000E3200000}"/>
    <cellStyle name="20% - Accent6 43 3" xfId="10995" xr:uid="{00000000-0005-0000-0000-0000E4200000}"/>
    <cellStyle name="20% - Accent6 43 3 2" xfId="22283" xr:uid="{00000000-0005-0000-0000-0000E5200000}"/>
    <cellStyle name="20% - Accent6 43 4" xfId="9001" xr:uid="{00000000-0005-0000-0000-0000E6200000}"/>
    <cellStyle name="20% - Accent6 43 4 2" xfId="20289" xr:uid="{00000000-0005-0000-0000-0000E7200000}"/>
    <cellStyle name="20% - Accent6 43 5" xfId="7007" xr:uid="{00000000-0005-0000-0000-0000E8200000}"/>
    <cellStyle name="20% - Accent6 43 5 2" xfId="18295" xr:uid="{00000000-0005-0000-0000-0000E9200000}"/>
    <cellStyle name="20% - Accent6 43 6" xfId="5013" xr:uid="{00000000-0005-0000-0000-0000EA200000}"/>
    <cellStyle name="20% - Accent6 43 6 2" xfId="16301" xr:uid="{00000000-0005-0000-0000-0000EB200000}"/>
    <cellStyle name="20% - Accent6 43 7" xfId="14307" xr:uid="{00000000-0005-0000-0000-0000EC200000}"/>
    <cellStyle name="20% - Accent6 43 8" xfId="12993" xr:uid="{00000000-0005-0000-0000-0000ED200000}"/>
    <cellStyle name="20% - Accent6 44" xfId="1058" xr:uid="{00000000-0005-0000-0000-0000EE200000}"/>
    <cellStyle name="20% - Accent6 44 2" xfId="4014" xr:uid="{00000000-0005-0000-0000-0000EF200000}"/>
    <cellStyle name="20% - Accent6 44 2 2" xfId="11993" xr:uid="{00000000-0005-0000-0000-0000F0200000}"/>
    <cellStyle name="20% - Accent6 44 2 2 2" xfId="23281" xr:uid="{00000000-0005-0000-0000-0000F1200000}"/>
    <cellStyle name="20% - Accent6 44 2 3" xfId="9999" xr:uid="{00000000-0005-0000-0000-0000F2200000}"/>
    <cellStyle name="20% - Accent6 44 2 3 2" xfId="21287" xr:uid="{00000000-0005-0000-0000-0000F3200000}"/>
    <cellStyle name="20% - Accent6 44 2 4" xfId="8005" xr:uid="{00000000-0005-0000-0000-0000F4200000}"/>
    <cellStyle name="20% - Accent6 44 2 4 2" xfId="19293" xr:uid="{00000000-0005-0000-0000-0000F5200000}"/>
    <cellStyle name="20% - Accent6 44 2 5" xfId="6011" xr:uid="{00000000-0005-0000-0000-0000F6200000}"/>
    <cellStyle name="20% - Accent6 44 2 5 2" xfId="17299" xr:uid="{00000000-0005-0000-0000-0000F7200000}"/>
    <cellStyle name="20% - Accent6 44 2 6" xfId="15305" xr:uid="{00000000-0005-0000-0000-0000F8200000}"/>
    <cellStyle name="20% - Accent6 44 3" xfId="10996" xr:uid="{00000000-0005-0000-0000-0000F9200000}"/>
    <cellStyle name="20% - Accent6 44 3 2" xfId="22284" xr:uid="{00000000-0005-0000-0000-0000FA200000}"/>
    <cellStyle name="20% - Accent6 44 4" xfId="9002" xr:uid="{00000000-0005-0000-0000-0000FB200000}"/>
    <cellStyle name="20% - Accent6 44 4 2" xfId="20290" xr:uid="{00000000-0005-0000-0000-0000FC200000}"/>
    <cellStyle name="20% - Accent6 44 5" xfId="7008" xr:uid="{00000000-0005-0000-0000-0000FD200000}"/>
    <cellStyle name="20% - Accent6 44 5 2" xfId="18296" xr:uid="{00000000-0005-0000-0000-0000FE200000}"/>
    <cellStyle name="20% - Accent6 44 6" xfId="5014" xr:uid="{00000000-0005-0000-0000-0000FF200000}"/>
    <cellStyle name="20% - Accent6 44 6 2" xfId="16302" xr:uid="{00000000-0005-0000-0000-000000210000}"/>
    <cellStyle name="20% - Accent6 44 7" xfId="14308" xr:uid="{00000000-0005-0000-0000-000001210000}"/>
    <cellStyle name="20% - Accent6 44 8" xfId="12994" xr:uid="{00000000-0005-0000-0000-000002210000}"/>
    <cellStyle name="20% - Accent6 45" xfId="1059" xr:uid="{00000000-0005-0000-0000-000003210000}"/>
    <cellStyle name="20% - Accent6 45 2" xfId="4015" xr:uid="{00000000-0005-0000-0000-000004210000}"/>
    <cellStyle name="20% - Accent6 45 2 2" xfId="11994" xr:uid="{00000000-0005-0000-0000-000005210000}"/>
    <cellStyle name="20% - Accent6 45 2 2 2" xfId="23282" xr:uid="{00000000-0005-0000-0000-000006210000}"/>
    <cellStyle name="20% - Accent6 45 2 3" xfId="10000" xr:uid="{00000000-0005-0000-0000-000007210000}"/>
    <cellStyle name="20% - Accent6 45 2 3 2" xfId="21288" xr:uid="{00000000-0005-0000-0000-000008210000}"/>
    <cellStyle name="20% - Accent6 45 2 4" xfId="8006" xr:uid="{00000000-0005-0000-0000-000009210000}"/>
    <cellStyle name="20% - Accent6 45 2 4 2" xfId="19294" xr:uid="{00000000-0005-0000-0000-00000A210000}"/>
    <cellStyle name="20% - Accent6 45 2 5" xfId="6012" xr:uid="{00000000-0005-0000-0000-00000B210000}"/>
    <cellStyle name="20% - Accent6 45 2 5 2" xfId="17300" xr:uid="{00000000-0005-0000-0000-00000C210000}"/>
    <cellStyle name="20% - Accent6 45 2 6" xfId="15306" xr:uid="{00000000-0005-0000-0000-00000D210000}"/>
    <cellStyle name="20% - Accent6 45 3" xfId="10997" xr:uid="{00000000-0005-0000-0000-00000E210000}"/>
    <cellStyle name="20% - Accent6 45 3 2" xfId="22285" xr:uid="{00000000-0005-0000-0000-00000F210000}"/>
    <cellStyle name="20% - Accent6 45 4" xfId="9003" xr:uid="{00000000-0005-0000-0000-000010210000}"/>
    <cellStyle name="20% - Accent6 45 4 2" xfId="20291" xr:uid="{00000000-0005-0000-0000-000011210000}"/>
    <cellStyle name="20% - Accent6 45 5" xfId="7009" xr:uid="{00000000-0005-0000-0000-000012210000}"/>
    <cellStyle name="20% - Accent6 45 5 2" xfId="18297" xr:uid="{00000000-0005-0000-0000-000013210000}"/>
    <cellStyle name="20% - Accent6 45 6" xfId="5015" xr:uid="{00000000-0005-0000-0000-000014210000}"/>
    <cellStyle name="20% - Accent6 45 6 2" xfId="16303" xr:uid="{00000000-0005-0000-0000-000015210000}"/>
    <cellStyle name="20% - Accent6 45 7" xfId="14309" xr:uid="{00000000-0005-0000-0000-000016210000}"/>
    <cellStyle name="20% - Accent6 45 8" xfId="12995" xr:uid="{00000000-0005-0000-0000-000017210000}"/>
    <cellStyle name="20% - Accent6 46" xfId="1060" xr:uid="{00000000-0005-0000-0000-000018210000}"/>
    <cellStyle name="20% - Accent6 46 2" xfId="4016" xr:uid="{00000000-0005-0000-0000-000019210000}"/>
    <cellStyle name="20% - Accent6 46 2 2" xfId="11995" xr:uid="{00000000-0005-0000-0000-00001A210000}"/>
    <cellStyle name="20% - Accent6 46 2 2 2" xfId="23283" xr:uid="{00000000-0005-0000-0000-00001B210000}"/>
    <cellStyle name="20% - Accent6 46 2 3" xfId="10001" xr:uid="{00000000-0005-0000-0000-00001C210000}"/>
    <cellStyle name="20% - Accent6 46 2 3 2" xfId="21289" xr:uid="{00000000-0005-0000-0000-00001D210000}"/>
    <cellStyle name="20% - Accent6 46 2 4" xfId="8007" xr:uid="{00000000-0005-0000-0000-00001E210000}"/>
    <cellStyle name="20% - Accent6 46 2 4 2" xfId="19295" xr:uid="{00000000-0005-0000-0000-00001F210000}"/>
    <cellStyle name="20% - Accent6 46 2 5" xfId="6013" xr:uid="{00000000-0005-0000-0000-000020210000}"/>
    <cellStyle name="20% - Accent6 46 2 5 2" xfId="17301" xr:uid="{00000000-0005-0000-0000-000021210000}"/>
    <cellStyle name="20% - Accent6 46 2 6" xfId="15307" xr:uid="{00000000-0005-0000-0000-000022210000}"/>
    <cellStyle name="20% - Accent6 46 3" xfId="10998" xr:uid="{00000000-0005-0000-0000-000023210000}"/>
    <cellStyle name="20% - Accent6 46 3 2" xfId="22286" xr:uid="{00000000-0005-0000-0000-000024210000}"/>
    <cellStyle name="20% - Accent6 46 4" xfId="9004" xr:uid="{00000000-0005-0000-0000-000025210000}"/>
    <cellStyle name="20% - Accent6 46 4 2" xfId="20292" xr:uid="{00000000-0005-0000-0000-000026210000}"/>
    <cellStyle name="20% - Accent6 46 5" xfId="7010" xr:uid="{00000000-0005-0000-0000-000027210000}"/>
    <cellStyle name="20% - Accent6 46 5 2" xfId="18298" xr:uid="{00000000-0005-0000-0000-000028210000}"/>
    <cellStyle name="20% - Accent6 46 6" xfId="5016" xr:uid="{00000000-0005-0000-0000-000029210000}"/>
    <cellStyle name="20% - Accent6 46 6 2" xfId="16304" xr:uid="{00000000-0005-0000-0000-00002A210000}"/>
    <cellStyle name="20% - Accent6 46 7" xfId="14310" xr:uid="{00000000-0005-0000-0000-00002B210000}"/>
    <cellStyle name="20% - Accent6 46 8" xfId="12996" xr:uid="{00000000-0005-0000-0000-00002C210000}"/>
    <cellStyle name="20% - Accent6 47" xfId="1061" xr:uid="{00000000-0005-0000-0000-00002D210000}"/>
    <cellStyle name="20% - Accent6 47 2" xfId="4017" xr:uid="{00000000-0005-0000-0000-00002E210000}"/>
    <cellStyle name="20% - Accent6 47 2 2" xfId="11996" xr:uid="{00000000-0005-0000-0000-00002F210000}"/>
    <cellStyle name="20% - Accent6 47 2 2 2" xfId="23284" xr:uid="{00000000-0005-0000-0000-000030210000}"/>
    <cellStyle name="20% - Accent6 47 2 3" xfId="10002" xr:uid="{00000000-0005-0000-0000-000031210000}"/>
    <cellStyle name="20% - Accent6 47 2 3 2" xfId="21290" xr:uid="{00000000-0005-0000-0000-000032210000}"/>
    <cellStyle name="20% - Accent6 47 2 4" xfId="8008" xr:uid="{00000000-0005-0000-0000-000033210000}"/>
    <cellStyle name="20% - Accent6 47 2 4 2" xfId="19296" xr:uid="{00000000-0005-0000-0000-000034210000}"/>
    <cellStyle name="20% - Accent6 47 2 5" xfId="6014" xr:uid="{00000000-0005-0000-0000-000035210000}"/>
    <cellStyle name="20% - Accent6 47 2 5 2" xfId="17302" xr:uid="{00000000-0005-0000-0000-000036210000}"/>
    <cellStyle name="20% - Accent6 47 2 6" xfId="15308" xr:uid="{00000000-0005-0000-0000-000037210000}"/>
    <cellStyle name="20% - Accent6 47 3" xfId="10999" xr:uid="{00000000-0005-0000-0000-000038210000}"/>
    <cellStyle name="20% - Accent6 47 3 2" xfId="22287" xr:uid="{00000000-0005-0000-0000-000039210000}"/>
    <cellStyle name="20% - Accent6 47 4" xfId="9005" xr:uid="{00000000-0005-0000-0000-00003A210000}"/>
    <cellStyle name="20% - Accent6 47 4 2" xfId="20293" xr:uid="{00000000-0005-0000-0000-00003B210000}"/>
    <cellStyle name="20% - Accent6 47 5" xfId="7011" xr:uid="{00000000-0005-0000-0000-00003C210000}"/>
    <cellStyle name="20% - Accent6 47 5 2" xfId="18299" xr:uid="{00000000-0005-0000-0000-00003D210000}"/>
    <cellStyle name="20% - Accent6 47 6" xfId="5017" xr:uid="{00000000-0005-0000-0000-00003E210000}"/>
    <cellStyle name="20% - Accent6 47 6 2" xfId="16305" xr:uid="{00000000-0005-0000-0000-00003F210000}"/>
    <cellStyle name="20% - Accent6 47 7" xfId="14311" xr:uid="{00000000-0005-0000-0000-000040210000}"/>
    <cellStyle name="20% - Accent6 47 8" xfId="12997" xr:uid="{00000000-0005-0000-0000-000041210000}"/>
    <cellStyle name="20% - Accent6 48" xfId="1062" xr:uid="{00000000-0005-0000-0000-000042210000}"/>
    <cellStyle name="20% - Accent6 48 2" xfId="4018" xr:uid="{00000000-0005-0000-0000-000043210000}"/>
    <cellStyle name="20% - Accent6 48 2 2" xfId="11997" xr:uid="{00000000-0005-0000-0000-000044210000}"/>
    <cellStyle name="20% - Accent6 48 2 2 2" xfId="23285" xr:uid="{00000000-0005-0000-0000-000045210000}"/>
    <cellStyle name="20% - Accent6 48 2 3" xfId="10003" xr:uid="{00000000-0005-0000-0000-000046210000}"/>
    <cellStyle name="20% - Accent6 48 2 3 2" xfId="21291" xr:uid="{00000000-0005-0000-0000-000047210000}"/>
    <cellStyle name="20% - Accent6 48 2 4" xfId="8009" xr:uid="{00000000-0005-0000-0000-000048210000}"/>
    <cellStyle name="20% - Accent6 48 2 4 2" xfId="19297" xr:uid="{00000000-0005-0000-0000-000049210000}"/>
    <cellStyle name="20% - Accent6 48 2 5" xfId="6015" xr:uid="{00000000-0005-0000-0000-00004A210000}"/>
    <cellStyle name="20% - Accent6 48 2 5 2" xfId="17303" xr:uid="{00000000-0005-0000-0000-00004B210000}"/>
    <cellStyle name="20% - Accent6 48 2 6" xfId="15309" xr:uid="{00000000-0005-0000-0000-00004C210000}"/>
    <cellStyle name="20% - Accent6 48 3" xfId="11000" xr:uid="{00000000-0005-0000-0000-00004D210000}"/>
    <cellStyle name="20% - Accent6 48 3 2" xfId="22288" xr:uid="{00000000-0005-0000-0000-00004E210000}"/>
    <cellStyle name="20% - Accent6 48 4" xfId="9006" xr:uid="{00000000-0005-0000-0000-00004F210000}"/>
    <cellStyle name="20% - Accent6 48 4 2" xfId="20294" xr:uid="{00000000-0005-0000-0000-000050210000}"/>
    <cellStyle name="20% - Accent6 48 5" xfId="7012" xr:uid="{00000000-0005-0000-0000-000051210000}"/>
    <cellStyle name="20% - Accent6 48 5 2" xfId="18300" xr:uid="{00000000-0005-0000-0000-000052210000}"/>
    <cellStyle name="20% - Accent6 48 6" xfId="5018" xr:uid="{00000000-0005-0000-0000-000053210000}"/>
    <cellStyle name="20% - Accent6 48 6 2" xfId="16306" xr:uid="{00000000-0005-0000-0000-000054210000}"/>
    <cellStyle name="20% - Accent6 48 7" xfId="14312" xr:uid="{00000000-0005-0000-0000-000055210000}"/>
    <cellStyle name="20% - Accent6 48 8" xfId="12998" xr:uid="{00000000-0005-0000-0000-000056210000}"/>
    <cellStyle name="20% - Accent6 49" xfId="1063" xr:uid="{00000000-0005-0000-0000-000057210000}"/>
    <cellStyle name="20% - Accent6 49 2" xfId="4019" xr:uid="{00000000-0005-0000-0000-000058210000}"/>
    <cellStyle name="20% - Accent6 49 2 2" xfId="11998" xr:uid="{00000000-0005-0000-0000-000059210000}"/>
    <cellStyle name="20% - Accent6 49 2 2 2" xfId="23286" xr:uid="{00000000-0005-0000-0000-00005A210000}"/>
    <cellStyle name="20% - Accent6 49 2 3" xfId="10004" xr:uid="{00000000-0005-0000-0000-00005B210000}"/>
    <cellStyle name="20% - Accent6 49 2 3 2" xfId="21292" xr:uid="{00000000-0005-0000-0000-00005C210000}"/>
    <cellStyle name="20% - Accent6 49 2 4" xfId="8010" xr:uid="{00000000-0005-0000-0000-00005D210000}"/>
    <cellStyle name="20% - Accent6 49 2 4 2" xfId="19298" xr:uid="{00000000-0005-0000-0000-00005E210000}"/>
    <cellStyle name="20% - Accent6 49 2 5" xfId="6016" xr:uid="{00000000-0005-0000-0000-00005F210000}"/>
    <cellStyle name="20% - Accent6 49 2 5 2" xfId="17304" xr:uid="{00000000-0005-0000-0000-000060210000}"/>
    <cellStyle name="20% - Accent6 49 2 6" xfId="15310" xr:uid="{00000000-0005-0000-0000-000061210000}"/>
    <cellStyle name="20% - Accent6 49 3" xfId="11001" xr:uid="{00000000-0005-0000-0000-000062210000}"/>
    <cellStyle name="20% - Accent6 49 3 2" xfId="22289" xr:uid="{00000000-0005-0000-0000-000063210000}"/>
    <cellStyle name="20% - Accent6 49 4" xfId="9007" xr:uid="{00000000-0005-0000-0000-000064210000}"/>
    <cellStyle name="20% - Accent6 49 4 2" xfId="20295" xr:uid="{00000000-0005-0000-0000-000065210000}"/>
    <cellStyle name="20% - Accent6 49 5" xfId="7013" xr:uid="{00000000-0005-0000-0000-000066210000}"/>
    <cellStyle name="20% - Accent6 49 5 2" xfId="18301" xr:uid="{00000000-0005-0000-0000-000067210000}"/>
    <cellStyle name="20% - Accent6 49 6" xfId="5019" xr:uid="{00000000-0005-0000-0000-000068210000}"/>
    <cellStyle name="20% - Accent6 49 6 2" xfId="16307" xr:uid="{00000000-0005-0000-0000-000069210000}"/>
    <cellStyle name="20% - Accent6 49 7" xfId="14313" xr:uid="{00000000-0005-0000-0000-00006A210000}"/>
    <cellStyle name="20% - Accent6 49 8" xfId="12999" xr:uid="{00000000-0005-0000-0000-00006B210000}"/>
    <cellStyle name="20% - Accent6 5" xfId="1064" xr:uid="{00000000-0005-0000-0000-00006C210000}"/>
    <cellStyle name="20% - Accent6 5 10" xfId="24592" xr:uid="{00000000-0005-0000-0000-00006D210000}"/>
    <cellStyle name="20% - Accent6 5 11" xfId="24982" xr:uid="{00000000-0005-0000-0000-00006E210000}"/>
    <cellStyle name="20% - Accent6 5 2" xfId="4020" xr:uid="{00000000-0005-0000-0000-00006F210000}"/>
    <cellStyle name="20% - Accent6 5 2 2" xfId="11999" xr:uid="{00000000-0005-0000-0000-000070210000}"/>
    <cellStyle name="20% - Accent6 5 2 2 2" xfId="23287" xr:uid="{00000000-0005-0000-0000-000071210000}"/>
    <cellStyle name="20% - Accent6 5 2 3" xfId="10005" xr:uid="{00000000-0005-0000-0000-000072210000}"/>
    <cellStyle name="20% - Accent6 5 2 3 2" xfId="21293" xr:uid="{00000000-0005-0000-0000-000073210000}"/>
    <cellStyle name="20% - Accent6 5 2 4" xfId="8011" xr:uid="{00000000-0005-0000-0000-000074210000}"/>
    <cellStyle name="20% - Accent6 5 2 4 2" xfId="19299" xr:uid="{00000000-0005-0000-0000-000075210000}"/>
    <cellStyle name="20% - Accent6 5 2 5" xfId="6017" xr:uid="{00000000-0005-0000-0000-000076210000}"/>
    <cellStyle name="20% - Accent6 5 2 5 2" xfId="17305" xr:uid="{00000000-0005-0000-0000-000077210000}"/>
    <cellStyle name="20% - Accent6 5 2 6" xfId="15311" xr:uid="{00000000-0005-0000-0000-000078210000}"/>
    <cellStyle name="20% - Accent6 5 2 7" xfId="24353" xr:uid="{00000000-0005-0000-0000-000079210000}"/>
    <cellStyle name="20% - Accent6 5 2 8" xfId="24817" xr:uid="{00000000-0005-0000-0000-00007A210000}"/>
    <cellStyle name="20% - Accent6 5 2 9" xfId="25184" xr:uid="{00000000-0005-0000-0000-00007B210000}"/>
    <cellStyle name="20% - Accent6 5 3" xfId="11002" xr:uid="{00000000-0005-0000-0000-00007C210000}"/>
    <cellStyle name="20% - Accent6 5 3 2" xfId="22290" xr:uid="{00000000-0005-0000-0000-00007D210000}"/>
    <cellStyle name="20% - Accent6 5 4" xfId="9008" xr:uid="{00000000-0005-0000-0000-00007E210000}"/>
    <cellStyle name="20% - Accent6 5 4 2" xfId="20296" xr:uid="{00000000-0005-0000-0000-00007F210000}"/>
    <cellStyle name="20% - Accent6 5 5" xfId="7014" xr:uid="{00000000-0005-0000-0000-000080210000}"/>
    <cellStyle name="20% - Accent6 5 5 2" xfId="18302" xr:uid="{00000000-0005-0000-0000-000081210000}"/>
    <cellStyle name="20% - Accent6 5 6" xfId="5020" xr:uid="{00000000-0005-0000-0000-000082210000}"/>
    <cellStyle name="20% - Accent6 5 6 2" xfId="16308" xr:uid="{00000000-0005-0000-0000-000083210000}"/>
    <cellStyle name="20% - Accent6 5 7" xfId="14314" xr:uid="{00000000-0005-0000-0000-000084210000}"/>
    <cellStyle name="20% - Accent6 5 8" xfId="13000" xr:uid="{00000000-0005-0000-0000-000085210000}"/>
    <cellStyle name="20% - Accent6 5 9" xfId="23965" xr:uid="{00000000-0005-0000-0000-000086210000}"/>
    <cellStyle name="20% - Accent6 50" xfId="1065" xr:uid="{00000000-0005-0000-0000-000087210000}"/>
    <cellStyle name="20% - Accent6 50 2" xfId="4021" xr:uid="{00000000-0005-0000-0000-000088210000}"/>
    <cellStyle name="20% - Accent6 50 2 2" xfId="12000" xr:uid="{00000000-0005-0000-0000-000089210000}"/>
    <cellStyle name="20% - Accent6 50 2 2 2" xfId="23288" xr:uid="{00000000-0005-0000-0000-00008A210000}"/>
    <cellStyle name="20% - Accent6 50 2 3" xfId="10006" xr:uid="{00000000-0005-0000-0000-00008B210000}"/>
    <cellStyle name="20% - Accent6 50 2 3 2" xfId="21294" xr:uid="{00000000-0005-0000-0000-00008C210000}"/>
    <cellStyle name="20% - Accent6 50 2 4" xfId="8012" xr:uid="{00000000-0005-0000-0000-00008D210000}"/>
    <cellStyle name="20% - Accent6 50 2 4 2" xfId="19300" xr:uid="{00000000-0005-0000-0000-00008E210000}"/>
    <cellStyle name="20% - Accent6 50 2 5" xfId="6018" xr:uid="{00000000-0005-0000-0000-00008F210000}"/>
    <cellStyle name="20% - Accent6 50 2 5 2" xfId="17306" xr:uid="{00000000-0005-0000-0000-000090210000}"/>
    <cellStyle name="20% - Accent6 50 2 6" xfId="15312" xr:uid="{00000000-0005-0000-0000-000091210000}"/>
    <cellStyle name="20% - Accent6 50 3" xfId="11003" xr:uid="{00000000-0005-0000-0000-000092210000}"/>
    <cellStyle name="20% - Accent6 50 3 2" xfId="22291" xr:uid="{00000000-0005-0000-0000-000093210000}"/>
    <cellStyle name="20% - Accent6 50 4" xfId="9009" xr:uid="{00000000-0005-0000-0000-000094210000}"/>
    <cellStyle name="20% - Accent6 50 4 2" xfId="20297" xr:uid="{00000000-0005-0000-0000-000095210000}"/>
    <cellStyle name="20% - Accent6 50 5" xfId="7015" xr:uid="{00000000-0005-0000-0000-000096210000}"/>
    <cellStyle name="20% - Accent6 50 5 2" xfId="18303" xr:uid="{00000000-0005-0000-0000-000097210000}"/>
    <cellStyle name="20% - Accent6 50 6" xfId="5021" xr:uid="{00000000-0005-0000-0000-000098210000}"/>
    <cellStyle name="20% - Accent6 50 6 2" xfId="16309" xr:uid="{00000000-0005-0000-0000-000099210000}"/>
    <cellStyle name="20% - Accent6 50 7" xfId="14315" xr:uid="{00000000-0005-0000-0000-00009A210000}"/>
    <cellStyle name="20% - Accent6 50 8" xfId="13001" xr:uid="{00000000-0005-0000-0000-00009B210000}"/>
    <cellStyle name="20% - Accent6 51" xfId="1066" xr:uid="{00000000-0005-0000-0000-00009C210000}"/>
    <cellStyle name="20% - Accent6 51 2" xfId="4022" xr:uid="{00000000-0005-0000-0000-00009D210000}"/>
    <cellStyle name="20% - Accent6 51 2 2" xfId="12001" xr:uid="{00000000-0005-0000-0000-00009E210000}"/>
    <cellStyle name="20% - Accent6 51 2 2 2" xfId="23289" xr:uid="{00000000-0005-0000-0000-00009F210000}"/>
    <cellStyle name="20% - Accent6 51 2 3" xfId="10007" xr:uid="{00000000-0005-0000-0000-0000A0210000}"/>
    <cellStyle name="20% - Accent6 51 2 3 2" xfId="21295" xr:uid="{00000000-0005-0000-0000-0000A1210000}"/>
    <cellStyle name="20% - Accent6 51 2 4" xfId="8013" xr:uid="{00000000-0005-0000-0000-0000A2210000}"/>
    <cellStyle name="20% - Accent6 51 2 4 2" xfId="19301" xr:uid="{00000000-0005-0000-0000-0000A3210000}"/>
    <cellStyle name="20% - Accent6 51 2 5" xfId="6019" xr:uid="{00000000-0005-0000-0000-0000A4210000}"/>
    <cellStyle name="20% - Accent6 51 2 5 2" xfId="17307" xr:uid="{00000000-0005-0000-0000-0000A5210000}"/>
    <cellStyle name="20% - Accent6 51 2 6" xfId="15313" xr:uid="{00000000-0005-0000-0000-0000A6210000}"/>
    <cellStyle name="20% - Accent6 51 3" xfId="11004" xr:uid="{00000000-0005-0000-0000-0000A7210000}"/>
    <cellStyle name="20% - Accent6 51 3 2" xfId="22292" xr:uid="{00000000-0005-0000-0000-0000A8210000}"/>
    <cellStyle name="20% - Accent6 51 4" xfId="9010" xr:uid="{00000000-0005-0000-0000-0000A9210000}"/>
    <cellStyle name="20% - Accent6 51 4 2" xfId="20298" xr:uid="{00000000-0005-0000-0000-0000AA210000}"/>
    <cellStyle name="20% - Accent6 51 5" xfId="7016" xr:uid="{00000000-0005-0000-0000-0000AB210000}"/>
    <cellStyle name="20% - Accent6 51 5 2" xfId="18304" xr:uid="{00000000-0005-0000-0000-0000AC210000}"/>
    <cellStyle name="20% - Accent6 51 6" xfId="5022" xr:uid="{00000000-0005-0000-0000-0000AD210000}"/>
    <cellStyle name="20% - Accent6 51 6 2" xfId="16310" xr:uid="{00000000-0005-0000-0000-0000AE210000}"/>
    <cellStyle name="20% - Accent6 51 7" xfId="14316" xr:uid="{00000000-0005-0000-0000-0000AF210000}"/>
    <cellStyle name="20% - Accent6 51 8" xfId="13002" xr:uid="{00000000-0005-0000-0000-0000B0210000}"/>
    <cellStyle name="20% - Accent6 52" xfId="1067" xr:uid="{00000000-0005-0000-0000-0000B1210000}"/>
    <cellStyle name="20% - Accent6 52 2" xfId="4023" xr:uid="{00000000-0005-0000-0000-0000B2210000}"/>
    <cellStyle name="20% - Accent6 52 2 2" xfId="12002" xr:uid="{00000000-0005-0000-0000-0000B3210000}"/>
    <cellStyle name="20% - Accent6 52 2 2 2" xfId="23290" xr:uid="{00000000-0005-0000-0000-0000B4210000}"/>
    <cellStyle name="20% - Accent6 52 2 3" xfId="10008" xr:uid="{00000000-0005-0000-0000-0000B5210000}"/>
    <cellStyle name="20% - Accent6 52 2 3 2" xfId="21296" xr:uid="{00000000-0005-0000-0000-0000B6210000}"/>
    <cellStyle name="20% - Accent6 52 2 4" xfId="8014" xr:uid="{00000000-0005-0000-0000-0000B7210000}"/>
    <cellStyle name="20% - Accent6 52 2 4 2" xfId="19302" xr:uid="{00000000-0005-0000-0000-0000B8210000}"/>
    <cellStyle name="20% - Accent6 52 2 5" xfId="6020" xr:uid="{00000000-0005-0000-0000-0000B9210000}"/>
    <cellStyle name="20% - Accent6 52 2 5 2" xfId="17308" xr:uid="{00000000-0005-0000-0000-0000BA210000}"/>
    <cellStyle name="20% - Accent6 52 2 6" xfId="15314" xr:uid="{00000000-0005-0000-0000-0000BB210000}"/>
    <cellStyle name="20% - Accent6 52 3" xfId="11005" xr:uid="{00000000-0005-0000-0000-0000BC210000}"/>
    <cellStyle name="20% - Accent6 52 3 2" xfId="22293" xr:uid="{00000000-0005-0000-0000-0000BD210000}"/>
    <cellStyle name="20% - Accent6 52 4" xfId="9011" xr:uid="{00000000-0005-0000-0000-0000BE210000}"/>
    <cellStyle name="20% - Accent6 52 4 2" xfId="20299" xr:uid="{00000000-0005-0000-0000-0000BF210000}"/>
    <cellStyle name="20% - Accent6 52 5" xfId="7017" xr:uid="{00000000-0005-0000-0000-0000C0210000}"/>
    <cellStyle name="20% - Accent6 52 5 2" xfId="18305" xr:uid="{00000000-0005-0000-0000-0000C1210000}"/>
    <cellStyle name="20% - Accent6 52 6" xfId="5023" xr:uid="{00000000-0005-0000-0000-0000C2210000}"/>
    <cellStyle name="20% - Accent6 52 6 2" xfId="16311" xr:uid="{00000000-0005-0000-0000-0000C3210000}"/>
    <cellStyle name="20% - Accent6 52 7" xfId="14317" xr:uid="{00000000-0005-0000-0000-0000C4210000}"/>
    <cellStyle name="20% - Accent6 52 8" xfId="13003" xr:uid="{00000000-0005-0000-0000-0000C5210000}"/>
    <cellStyle name="20% - Accent6 53" xfId="1068" xr:uid="{00000000-0005-0000-0000-0000C6210000}"/>
    <cellStyle name="20% - Accent6 53 2" xfId="4024" xr:uid="{00000000-0005-0000-0000-0000C7210000}"/>
    <cellStyle name="20% - Accent6 53 2 2" xfId="12003" xr:uid="{00000000-0005-0000-0000-0000C8210000}"/>
    <cellStyle name="20% - Accent6 53 2 2 2" xfId="23291" xr:uid="{00000000-0005-0000-0000-0000C9210000}"/>
    <cellStyle name="20% - Accent6 53 2 3" xfId="10009" xr:uid="{00000000-0005-0000-0000-0000CA210000}"/>
    <cellStyle name="20% - Accent6 53 2 3 2" xfId="21297" xr:uid="{00000000-0005-0000-0000-0000CB210000}"/>
    <cellStyle name="20% - Accent6 53 2 4" xfId="8015" xr:uid="{00000000-0005-0000-0000-0000CC210000}"/>
    <cellStyle name="20% - Accent6 53 2 4 2" xfId="19303" xr:uid="{00000000-0005-0000-0000-0000CD210000}"/>
    <cellStyle name="20% - Accent6 53 2 5" xfId="6021" xr:uid="{00000000-0005-0000-0000-0000CE210000}"/>
    <cellStyle name="20% - Accent6 53 2 5 2" xfId="17309" xr:uid="{00000000-0005-0000-0000-0000CF210000}"/>
    <cellStyle name="20% - Accent6 53 2 6" xfId="15315" xr:uid="{00000000-0005-0000-0000-0000D0210000}"/>
    <cellStyle name="20% - Accent6 53 3" xfId="11006" xr:uid="{00000000-0005-0000-0000-0000D1210000}"/>
    <cellStyle name="20% - Accent6 53 3 2" xfId="22294" xr:uid="{00000000-0005-0000-0000-0000D2210000}"/>
    <cellStyle name="20% - Accent6 53 4" xfId="9012" xr:uid="{00000000-0005-0000-0000-0000D3210000}"/>
    <cellStyle name="20% - Accent6 53 4 2" xfId="20300" xr:uid="{00000000-0005-0000-0000-0000D4210000}"/>
    <cellStyle name="20% - Accent6 53 5" xfId="7018" xr:uid="{00000000-0005-0000-0000-0000D5210000}"/>
    <cellStyle name="20% - Accent6 53 5 2" xfId="18306" xr:uid="{00000000-0005-0000-0000-0000D6210000}"/>
    <cellStyle name="20% - Accent6 53 6" xfId="5024" xr:uid="{00000000-0005-0000-0000-0000D7210000}"/>
    <cellStyle name="20% - Accent6 53 6 2" xfId="16312" xr:uid="{00000000-0005-0000-0000-0000D8210000}"/>
    <cellStyle name="20% - Accent6 53 7" xfId="14318" xr:uid="{00000000-0005-0000-0000-0000D9210000}"/>
    <cellStyle name="20% - Accent6 53 8" xfId="13004" xr:uid="{00000000-0005-0000-0000-0000DA210000}"/>
    <cellStyle name="20% - Accent6 54" xfId="1069" xr:uid="{00000000-0005-0000-0000-0000DB210000}"/>
    <cellStyle name="20% - Accent6 54 2" xfId="4025" xr:uid="{00000000-0005-0000-0000-0000DC210000}"/>
    <cellStyle name="20% - Accent6 54 2 2" xfId="12004" xr:uid="{00000000-0005-0000-0000-0000DD210000}"/>
    <cellStyle name="20% - Accent6 54 2 2 2" xfId="23292" xr:uid="{00000000-0005-0000-0000-0000DE210000}"/>
    <cellStyle name="20% - Accent6 54 2 3" xfId="10010" xr:uid="{00000000-0005-0000-0000-0000DF210000}"/>
    <cellStyle name="20% - Accent6 54 2 3 2" xfId="21298" xr:uid="{00000000-0005-0000-0000-0000E0210000}"/>
    <cellStyle name="20% - Accent6 54 2 4" xfId="8016" xr:uid="{00000000-0005-0000-0000-0000E1210000}"/>
    <cellStyle name="20% - Accent6 54 2 4 2" xfId="19304" xr:uid="{00000000-0005-0000-0000-0000E2210000}"/>
    <cellStyle name="20% - Accent6 54 2 5" xfId="6022" xr:uid="{00000000-0005-0000-0000-0000E3210000}"/>
    <cellStyle name="20% - Accent6 54 2 5 2" xfId="17310" xr:uid="{00000000-0005-0000-0000-0000E4210000}"/>
    <cellStyle name="20% - Accent6 54 2 6" xfId="15316" xr:uid="{00000000-0005-0000-0000-0000E5210000}"/>
    <cellStyle name="20% - Accent6 54 3" xfId="11007" xr:uid="{00000000-0005-0000-0000-0000E6210000}"/>
    <cellStyle name="20% - Accent6 54 3 2" xfId="22295" xr:uid="{00000000-0005-0000-0000-0000E7210000}"/>
    <cellStyle name="20% - Accent6 54 4" xfId="9013" xr:uid="{00000000-0005-0000-0000-0000E8210000}"/>
    <cellStyle name="20% - Accent6 54 4 2" xfId="20301" xr:uid="{00000000-0005-0000-0000-0000E9210000}"/>
    <cellStyle name="20% - Accent6 54 5" xfId="7019" xr:uid="{00000000-0005-0000-0000-0000EA210000}"/>
    <cellStyle name="20% - Accent6 54 5 2" xfId="18307" xr:uid="{00000000-0005-0000-0000-0000EB210000}"/>
    <cellStyle name="20% - Accent6 54 6" xfId="5025" xr:uid="{00000000-0005-0000-0000-0000EC210000}"/>
    <cellStyle name="20% - Accent6 54 6 2" xfId="16313" xr:uid="{00000000-0005-0000-0000-0000ED210000}"/>
    <cellStyle name="20% - Accent6 54 7" xfId="14319" xr:uid="{00000000-0005-0000-0000-0000EE210000}"/>
    <cellStyle name="20% - Accent6 54 8" xfId="13005" xr:uid="{00000000-0005-0000-0000-0000EF210000}"/>
    <cellStyle name="20% - Accent6 55" xfId="1070" xr:uid="{00000000-0005-0000-0000-0000F0210000}"/>
    <cellStyle name="20% - Accent6 55 2" xfId="4026" xr:uid="{00000000-0005-0000-0000-0000F1210000}"/>
    <cellStyle name="20% - Accent6 55 2 2" xfId="12005" xr:uid="{00000000-0005-0000-0000-0000F2210000}"/>
    <cellStyle name="20% - Accent6 55 2 2 2" xfId="23293" xr:uid="{00000000-0005-0000-0000-0000F3210000}"/>
    <cellStyle name="20% - Accent6 55 2 3" xfId="10011" xr:uid="{00000000-0005-0000-0000-0000F4210000}"/>
    <cellStyle name="20% - Accent6 55 2 3 2" xfId="21299" xr:uid="{00000000-0005-0000-0000-0000F5210000}"/>
    <cellStyle name="20% - Accent6 55 2 4" xfId="8017" xr:uid="{00000000-0005-0000-0000-0000F6210000}"/>
    <cellStyle name="20% - Accent6 55 2 4 2" xfId="19305" xr:uid="{00000000-0005-0000-0000-0000F7210000}"/>
    <cellStyle name="20% - Accent6 55 2 5" xfId="6023" xr:uid="{00000000-0005-0000-0000-0000F8210000}"/>
    <cellStyle name="20% - Accent6 55 2 5 2" xfId="17311" xr:uid="{00000000-0005-0000-0000-0000F9210000}"/>
    <cellStyle name="20% - Accent6 55 2 6" xfId="15317" xr:uid="{00000000-0005-0000-0000-0000FA210000}"/>
    <cellStyle name="20% - Accent6 55 3" xfId="11008" xr:uid="{00000000-0005-0000-0000-0000FB210000}"/>
    <cellStyle name="20% - Accent6 55 3 2" xfId="22296" xr:uid="{00000000-0005-0000-0000-0000FC210000}"/>
    <cellStyle name="20% - Accent6 55 4" xfId="9014" xr:uid="{00000000-0005-0000-0000-0000FD210000}"/>
    <cellStyle name="20% - Accent6 55 4 2" xfId="20302" xr:uid="{00000000-0005-0000-0000-0000FE210000}"/>
    <cellStyle name="20% - Accent6 55 5" xfId="7020" xr:uid="{00000000-0005-0000-0000-0000FF210000}"/>
    <cellStyle name="20% - Accent6 55 5 2" xfId="18308" xr:uid="{00000000-0005-0000-0000-000000220000}"/>
    <cellStyle name="20% - Accent6 55 6" xfId="5026" xr:uid="{00000000-0005-0000-0000-000001220000}"/>
    <cellStyle name="20% - Accent6 55 6 2" xfId="16314" xr:uid="{00000000-0005-0000-0000-000002220000}"/>
    <cellStyle name="20% - Accent6 55 7" xfId="14320" xr:uid="{00000000-0005-0000-0000-000003220000}"/>
    <cellStyle name="20% - Accent6 55 8" xfId="13006" xr:uid="{00000000-0005-0000-0000-000004220000}"/>
    <cellStyle name="20% - Accent6 56" xfId="1071" xr:uid="{00000000-0005-0000-0000-000005220000}"/>
    <cellStyle name="20% - Accent6 56 2" xfId="4027" xr:uid="{00000000-0005-0000-0000-000006220000}"/>
    <cellStyle name="20% - Accent6 56 2 2" xfId="12006" xr:uid="{00000000-0005-0000-0000-000007220000}"/>
    <cellStyle name="20% - Accent6 56 2 2 2" xfId="23294" xr:uid="{00000000-0005-0000-0000-000008220000}"/>
    <cellStyle name="20% - Accent6 56 2 3" xfId="10012" xr:uid="{00000000-0005-0000-0000-000009220000}"/>
    <cellStyle name="20% - Accent6 56 2 3 2" xfId="21300" xr:uid="{00000000-0005-0000-0000-00000A220000}"/>
    <cellStyle name="20% - Accent6 56 2 4" xfId="8018" xr:uid="{00000000-0005-0000-0000-00000B220000}"/>
    <cellStyle name="20% - Accent6 56 2 4 2" xfId="19306" xr:uid="{00000000-0005-0000-0000-00000C220000}"/>
    <cellStyle name="20% - Accent6 56 2 5" xfId="6024" xr:uid="{00000000-0005-0000-0000-00000D220000}"/>
    <cellStyle name="20% - Accent6 56 2 5 2" xfId="17312" xr:uid="{00000000-0005-0000-0000-00000E220000}"/>
    <cellStyle name="20% - Accent6 56 2 6" xfId="15318" xr:uid="{00000000-0005-0000-0000-00000F220000}"/>
    <cellStyle name="20% - Accent6 56 3" xfId="11009" xr:uid="{00000000-0005-0000-0000-000010220000}"/>
    <cellStyle name="20% - Accent6 56 3 2" xfId="22297" xr:uid="{00000000-0005-0000-0000-000011220000}"/>
    <cellStyle name="20% - Accent6 56 4" xfId="9015" xr:uid="{00000000-0005-0000-0000-000012220000}"/>
    <cellStyle name="20% - Accent6 56 4 2" xfId="20303" xr:uid="{00000000-0005-0000-0000-000013220000}"/>
    <cellStyle name="20% - Accent6 56 5" xfId="7021" xr:uid="{00000000-0005-0000-0000-000014220000}"/>
    <cellStyle name="20% - Accent6 56 5 2" xfId="18309" xr:uid="{00000000-0005-0000-0000-000015220000}"/>
    <cellStyle name="20% - Accent6 56 6" xfId="5027" xr:uid="{00000000-0005-0000-0000-000016220000}"/>
    <cellStyle name="20% - Accent6 56 6 2" xfId="16315" xr:uid="{00000000-0005-0000-0000-000017220000}"/>
    <cellStyle name="20% - Accent6 56 7" xfId="14321" xr:uid="{00000000-0005-0000-0000-000018220000}"/>
    <cellStyle name="20% - Accent6 56 8" xfId="13007" xr:uid="{00000000-0005-0000-0000-000019220000}"/>
    <cellStyle name="20% - Accent6 57" xfId="1072" xr:uid="{00000000-0005-0000-0000-00001A220000}"/>
    <cellStyle name="20% - Accent6 57 2" xfId="4028" xr:uid="{00000000-0005-0000-0000-00001B220000}"/>
    <cellStyle name="20% - Accent6 57 2 2" xfId="12007" xr:uid="{00000000-0005-0000-0000-00001C220000}"/>
    <cellStyle name="20% - Accent6 57 2 2 2" xfId="23295" xr:uid="{00000000-0005-0000-0000-00001D220000}"/>
    <cellStyle name="20% - Accent6 57 2 3" xfId="10013" xr:uid="{00000000-0005-0000-0000-00001E220000}"/>
    <cellStyle name="20% - Accent6 57 2 3 2" xfId="21301" xr:uid="{00000000-0005-0000-0000-00001F220000}"/>
    <cellStyle name="20% - Accent6 57 2 4" xfId="8019" xr:uid="{00000000-0005-0000-0000-000020220000}"/>
    <cellStyle name="20% - Accent6 57 2 4 2" xfId="19307" xr:uid="{00000000-0005-0000-0000-000021220000}"/>
    <cellStyle name="20% - Accent6 57 2 5" xfId="6025" xr:uid="{00000000-0005-0000-0000-000022220000}"/>
    <cellStyle name="20% - Accent6 57 2 5 2" xfId="17313" xr:uid="{00000000-0005-0000-0000-000023220000}"/>
    <cellStyle name="20% - Accent6 57 2 6" xfId="15319" xr:uid="{00000000-0005-0000-0000-000024220000}"/>
    <cellStyle name="20% - Accent6 57 3" xfId="11010" xr:uid="{00000000-0005-0000-0000-000025220000}"/>
    <cellStyle name="20% - Accent6 57 3 2" xfId="22298" xr:uid="{00000000-0005-0000-0000-000026220000}"/>
    <cellStyle name="20% - Accent6 57 4" xfId="9016" xr:uid="{00000000-0005-0000-0000-000027220000}"/>
    <cellStyle name="20% - Accent6 57 4 2" xfId="20304" xr:uid="{00000000-0005-0000-0000-000028220000}"/>
    <cellStyle name="20% - Accent6 57 5" xfId="7022" xr:uid="{00000000-0005-0000-0000-000029220000}"/>
    <cellStyle name="20% - Accent6 57 5 2" xfId="18310" xr:uid="{00000000-0005-0000-0000-00002A220000}"/>
    <cellStyle name="20% - Accent6 57 6" xfId="5028" xr:uid="{00000000-0005-0000-0000-00002B220000}"/>
    <cellStyle name="20% - Accent6 57 6 2" xfId="16316" xr:uid="{00000000-0005-0000-0000-00002C220000}"/>
    <cellStyle name="20% - Accent6 57 7" xfId="14322" xr:uid="{00000000-0005-0000-0000-00002D220000}"/>
    <cellStyle name="20% - Accent6 57 8" xfId="13008" xr:uid="{00000000-0005-0000-0000-00002E220000}"/>
    <cellStyle name="20% - Accent6 58" xfId="1073" xr:uid="{00000000-0005-0000-0000-00002F220000}"/>
    <cellStyle name="20% - Accent6 58 2" xfId="4029" xr:uid="{00000000-0005-0000-0000-000030220000}"/>
    <cellStyle name="20% - Accent6 58 2 2" xfId="12008" xr:uid="{00000000-0005-0000-0000-000031220000}"/>
    <cellStyle name="20% - Accent6 58 2 2 2" xfId="23296" xr:uid="{00000000-0005-0000-0000-000032220000}"/>
    <cellStyle name="20% - Accent6 58 2 3" xfId="10014" xr:uid="{00000000-0005-0000-0000-000033220000}"/>
    <cellStyle name="20% - Accent6 58 2 3 2" xfId="21302" xr:uid="{00000000-0005-0000-0000-000034220000}"/>
    <cellStyle name="20% - Accent6 58 2 4" xfId="8020" xr:uid="{00000000-0005-0000-0000-000035220000}"/>
    <cellStyle name="20% - Accent6 58 2 4 2" xfId="19308" xr:uid="{00000000-0005-0000-0000-000036220000}"/>
    <cellStyle name="20% - Accent6 58 2 5" xfId="6026" xr:uid="{00000000-0005-0000-0000-000037220000}"/>
    <cellStyle name="20% - Accent6 58 2 5 2" xfId="17314" xr:uid="{00000000-0005-0000-0000-000038220000}"/>
    <cellStyle name="20% - Accent6 58 2 6" xfId="15320" xr:uid="{00000000-0005-0000-0000-000039220000}"/>
    <cellStyle name="20% - Accent6 58 3" xfId="11011" xr:uid="{00000000-0005-0000-0000-00003A220000}"/>
    <cellStyle name="20% - Accent6 58 3 2" xfId="22299" xr:uid="{00000000-0005-0000-0000-00003B220000}"/>
    <cellStyle name="20% - Accent6 58 4" xfId="9017" xr:uid="{00000000-0005-0000-0000-00003C220000}"/>
    <cellStyle name="20% - Accent6 58 4 2" xfId="20305" xr:uid="{00000000-0005-0000-0000-00003D220000}"/>
    <cellStyle name="20% - Accent6 58 5" xfId="7023" xr:uid="{00000000-0005-0000-0000-00003E220000}"/>
    <cellStyle name="20% - Accent6 58 5 2" xfId="18311" xr:uid="{00000000-0005-0000-0000-00003F220000}"/>
    <cellStyle name="20% - Accent6 58 6" xfId="5029" xr:uid="{00000000-0005-0000-0000-000040220000}"/>
    <cellStyle name="20% - Accent6 58 6 2" xfId="16317" xr:uid="{00000000-0005-0000-0000-000041220000}"/>
    <cellStyle name="20% - Accent6 58 7" xfId="14323" xr:uid="{00000000-0005-0000-0000-000042220000}"/>
    <cellStyle name="20% - Accent6 58 8" xfId="13009" xr:uid="{00000000-0005-0000-0000-000043220000}"/>
    <cellStyle name="20% - Accent6 59" xfId="1074" xr:uid="{00000000-0005-0000-0000-000044220000}"/>
    <cellStyle name="20% - Accent6 59 2" xfId="4030" xr:uid="{00000000-0005-0000-0000-000045220000}"/>
    <cellStyle name="20% - Accent6 59 2 2" xfId="12009" xr:uid="{00000000-0005-0000-0000-000046220000}"/>
    <cellStyle name="20% - Accent6 59 2 2 2" xfId="23297" xr:uid="{00000000-0005-0000-0000-000047220000}"/>
    <cellStyle name="20% - Accent6 59 2 3" xfId="10015" xr:uid="{00000000-0005-0000-0000-000048220000}"/>
    <cellStyle name="20% - Accent6 59 2 3 2" xfId="21303" xr:uid="{00000000-0005-0000-0000-000049220000}"/>
    <cellStyle name="20% - Accent6 59 2 4" xfId="8021" xr:uid="{00000000-0005-0000-0000-00004A220000}"/>
    <cellStyle name="20% - Accent6 59 2 4 2" xfId="19309" xr:uid="{00000000-0005-0000-0000-00004B220000}"/>
    <cellStyle name="20% - Accent6 59 2 5" xfId="6027" xr:uid="{00000000-0005-0000-0000-00004C220000}"/>
    <cellStyle name="20% - Accent6 59 2 5 2" xfId="17315" xr:uid="{00000000-0005-0000-0000-00004D220000}"/>
    <cellStyle name="20% - Accent6 59 2 6" xfId="15321" xr:uid="{00000000-0005-0000-0000-00004E220000}"/>
    <cellStyle name="20% - Accent6 59 3" xfId="11012" xr:uid="{00000000-0005-0000-0000-00004F220000}"/>
    <cellStyle name="20% - Accent6 59 3 2" xfId="22300" xr:uid="{00000000-0005-0000-0000-000050220000}"/>
    <cellStyle name="20% - Accent6 59 4" xfId="9018" xr:uid="{00000000-0005-0000-0000-000051220000}"/>
    <cellStyle name="20% - Accent6 59 4 2" xfId="20306" xr:uid="{00000000-0005-0000-0000-000052220000}"/>
    <cellStyle name="20% - Accent6 59 5" xfId="7024" xr:uid="{00000000-0005-0000-0000-000053220000}"/>
    <cellStyle name="20% - Accent6 59 5 2" xfId="18312" xr:uid="{00000000-0005-0000-0000-000054220000}"/>
    <cellStyle name="20% - Accent6 59 6" xfId="5030" xr:uid="{00000000-0005-0000-0000-000055220000}"/>
    <cellStyle name="20% - Accent6 59 6 2" xfId="16318" xr:uid="{00000000-0005-0000-0000-000056220000}"/>
    <cellStyle name="20% - Accent6 59 7" xfId="14324" xr:uid="{00000000-0005-0000-0000-000057220000}"/>
    <cellStyle name="20% - Accent6 59 8" xfId="13010" xr:uid="{00000000-0005-0000-0000-000058220000}"/>
    <cellStyle name="20% - Accent6 6" xfId="1075" xr:uid="{00000000-0005-0000-0000-000059220000}"/>
    <cellStyle name="20% - Accent6 6 10" xfId="24593" xr:uid="{00000000-0005-0000-0000-00005A220000}"/>
    <cellStyle name="20% - Accent6 6 11" xfId="24983" xr:uid="{00000000-0005-0000-0000-00005B220000}"/>
    <cellStyle name="20% - Accent6 6 2" xfId="4031" xr:uid="{00000000-0005-0000-0000-00005C220000}"/>
    <cellStyle name="20% - Accent6 6 2 2" xfId="12010" xr:uid="{00000000-0005-0000-0000-00005D220000}"/>
    <cellStyle name="20% - Accent6 6 2 2 2" xfId="23298" xr:uid="{00000000-0005-0000-0000-00005E220000}"/>
    <cellStyle name="20% - Accent6 6 2 3" xfId="10016" xr:uid="{00000000-0005-0000-0000-00005F220000}"/>
    <cellStyle name="20% - Accent6 6 2 3 2" xfId="21304" xr:uid="{00000000-0005-0000-0000-000060220000}"/>
    <cellStyle name="20% - Accent6 6 2 4" xfId="8022" xr:uid="{00000000-0005-0000-0000-000061220000}"/>
    <cellStyle name="20% - Accent6 6 2 4 2" xfId="19310" xr:uid="{00000000-0005-0000-0000-000062220000}"/>
    <cellStyle name="20% - Accent6 6 2 5" xfId="6028" xr:uid="{00000000-0005-0000-0000-000063220000}"/>
    <cellStyle name="20% - Accent6 6 2 5 2" xfId="17316" xr:uid="{00000000-0005-0000-0000-000064220000}"/>
    <cellStyle name="20% - Accent6 6 2 6" xfId="15322" xr:uid="{00000000-0005-0000-0000-000065220000}"/>
    <cellStyle name="20% - Accent6 6 2 7" xfId="24354" xr:uid="{00000000-0005-0000-0000-000066220000}"/>
    <cellStyle name="20% - Accent6 6 2 8" xfId="24818" xr:uid="{00000000-0005-0000-0000-000067220000}"/>
    <cellStyle name="20% - Accent6 6 2 9" xfId="25185" xr:uid="{00000000-0005-0000-0000-000068220000}"/>
    <cellStyle name="20% - Accent6 6 3" xfId="11013" xr:uid="{00000000-0005-0000-0000-000069220000}"/>
    <cellStyle name="20% - Accent6 6 3 2" xfId="22301" xr:uid="{00000000-0005-0000-0000-00006A220000}"/>
    <cellStyle name="20% - Accent6 6 4" xfId="9019" xr:uid="{00000000-0005-0000-0000-00006B220000}"/>
    <cellStyle name="20% - Accent6 6 4 2" xfId="20307" xr:uid="{00000000-0005-0000-0000-00006C220000}"/>
    <cellStyle name="20% - Accent6 6 5" xfId="7025" xr:uid="{00000000-0005-0000-0000-00006D220000}"/>
    <cellStyle name="20% - Accent6 6 5 2" xfId="18313" xr:uid="{00000000-0005-0000-0000-00006E220000}"/>
    <cellStyle name="20% - Accent6 6 6" xfId="5031" xr:uid="{00000000-0005-0000-0000-00006F220000}"/>
    <cellStyle name="20% - Accent6 6 6 2" xfId="16319" xr:uid="{00000000-0005-0000-0000-000070220000}"/>
    <cellStyle name="20% - Accent6 6 7" xfId="14325" xr:uid="{00000000-0005-0000-0000-000071220000}"/>
    <cellStyle name="20% - Accent6 6 8" xfId="13011" xr:uid="{00000000-0005-0000-0000-000072220000}"/>
    <cellStyle name="20% - Accent6 6 9" xfId="23966" xr:uid="{00000000-0005-0000-0000-000073220000}"/>
    <cellStyle name="20% - Accent6 60" xfId="1076" xr:uid="{00000000-0005-0000-0000-000074220000}"/>
    <cellStyle name="20% - Accent6 60 2" xfId="4032" xr:uid="{00000000-0005-0000-0000-000075220000}"/>
    <cellStyle name="20% - Accent6 60 2 2" xfId="12011" xr:uid="{00000000-0005-0000-0000-000076220000}"/>
    <cellStyle name="20% - Accent6 60 2 2 2" xfId="23299" xr:uid="{00000000-0005-0000-0000-000077220000}"/>
    <cellStyle name="20% - Accent6 60 2 3" xfId="10017" xr:uid="{00000000-0005-0000-0000-000078220000}"/>
    <cellStyle name="20% - Accent6 60 2 3 2" xfId="21305" xr:uid="{00000000-0005-0000-0000-000079220000}"/>
    <cellStyle name="20% - Accent6 60 2 4" xfId="8023" xr:uid="{00000000-0005-0000-0000-00007A220000}"/>
    <cellStyle name="20% - Accent6 60 2 4 2" xfId="19311" xr:uid="{00000000-0005-0000-0000-00007B220000}"/>
    <cellStyle name="20% - Accent6 60 2 5" xfId="6029" xr:uid="{00000000-0005-0000-0000-00007C220000}"/>
    <cellStyle name="20% - Accent6 60 2 5 2" xfId="17317" xr:uid="{00000000-0005-0000-0000-00007D220000}"/>
    <cellStyle name="20% - Accent6 60 2 6" xfId="15323" xr:uid="{00000000-0005-0000-0000-00007E220000}"/>
    <cellStyle name="20% - Accent6 60 3" xfId="11014" xr:uid="{00000000-0005-0000-0000-00007F220000}"/>
    <cellStyle name="20% - Accent6 60 3 2" xfId="22302" xr:uid="{00000000-0005-0000-0000-000080220000}"/>
    <cellStyle name="20% - Accent6 60 4" xfId="9020" xr:uid="{00000000-0005-0000-0000-000081220000}"/>
    <cellStyle name="20% - Accent6 60 4 2" xfId="20308" xr:uid="{00000000-0005-0000-0000-000082220000}"/>
    <cellStyle name="20% - Accent6 60 5" xfId="7026" xr:uid="{00000000-0005-0000-0000-000083220000}"/>
    <cellStyle name="20% - Accent6 60 5 2" xfId="18314" xr:uid="{00000000-0005-0000-0000-000084220000}"/>
    <cellStyle name="20% - Accent6 60 6" xfId="5032" xr:uid="{00000000-0005-0000-0000-000085220000}"/>
    <cellStyle name="20% - Accent6 60 6 2" xfId="16320" xr:uid="{00000000-0005-0000-0000-000086220000}"/>
    <cellStyle name="20% - Accent6 60 7" xfId="14326" xr:uid="{00000000-0005-0000-0000-000087220000}"/>
    <cellStyle name="20% - Accent6 60 8" xfId="13012" xr:uid="{00000000-0005-0000-0000-000088220000}"/>
    <cellStyle name="20% - Accent6 61" xfId="1077" xr:uid="{00000000-0005-0000-0000-000089220000}"/>
    <cellStyle name="20% - Accent6 61 2" xfId="4033" xr:uid="{00000000-0005-0000-0000-00008A220000}"/>
    <cellStyle name="20% - Accent6 61 2 2" xfId="12012" xr:uid="{00000000-0005-0000-0000-00008B220000}"/>
    <cellStyle name="20% - Accent6 61 2 2 2" xfId="23300" xr:uid="{00000000-0005-0000-0000-00008C220000}"/>
    <cellStyle name="20% - Accent6 61 2 3" xfId="10018" xr:uid="{00000000-0005-0000-0000-00008D220000}"/>
    <cellStyle name="20% - Accent6 61 2 3 2" xfId="21306" xr:uid="{00000000-0005-0000-0000-00008E220000}"/>
    <cellStyle name="20% - Accent6 61 2 4" xfId="8024" xr:uid="{00000000-0005-0000-0000-00008F220000}"/>
    <cellStyle name="20% - Accent6 61 2 4 2" xfId="19312" xr:uid="{00000000-0005-0000-0000-000090220000}"/>
    <cellStyle name="20% - Accent6 61 2 5" xfId="6030" xr:uid="{00000000-0005-0000-0000-000091220000}"/>
    <cellStyle name="20% - Accent6 61 2 5 2" xfId="17318" xr:uid="{00000000-0005-0000-0000-000092220000}"/>
    <cellStyle name="20% - Accent6 61 2 6" xfId="15324" xr:uid="{00000000-0005-0000-0000-000093220000}"/>
    <cellStyle name="20% - Accent6 61 3" xfId="11015" xr:uid="{00000000-0005-0000-0000-000094220000}"/>
    <cellStyle name="20% - Accent6 61 3 2" xfId="22303" xr:uid="{00000000-0005-0000-0000-000095220000}"/>
    <cellStyle name="20% - Accent6 61 4" xfId="9021" xr:uid="{00000000-0005-0000-0000-000096220000}"/>
    <cellStyle name="20% - Accent6 61 4 2" xfId="20309" xr:uid="{00000000-0005-0000-0000-000097220000}"/>
    <cellStyle name="20% - Accent6 61 5" xfId="7027" xr:uid="{00000000-0005-0000-0000-000098220000}"/>
    <cellStyle name="20% - Accent6 61 5 2" xfId="18315" xr:uid="{00000000-0005-0000-0000-000099220000}"/>
    <cellStyle name="20% - Accent6 61 6" xfId="5033" xr:uid="{00000000-0005-0000-0000-00009A220000}"/>
    <cellStyle name="20% - Accent6 61 6 2" xfId="16321" xr:uid="{00000000-0005-0000-0000-00009B220000}"/>
    <cellStyle name="20% - Accent6 61 7" xfId="14327" xr:uid="{00000000-0005-0000-0000-00009C220000}"/>
    <cellStyle name="20% - Accent6 61 8" xfId="13013" xr:uid="{00000000-0005-0000-0000-00009D220000}"/>
    <cellStyle name="20% - Accent6 62" xfId="1078" xr:uid="{00000000-0005-0000-0000-00009E220000}"/>
    <cellStyle name="20% - Accent6 62 2" xfId="4034" xr:uid="{00000000-0005-0000-0000-00009F220000}"/>
    <cellStyle name="20% - Accent6 62 2 2" xfId="12013" xr:uid="{00000000-0005-0000-0000-0000A0220000}"/>
    <cellStyle name="20% - Accent6 62 2 2 2" xfId="23301" xr:uid="{00000000-0005-0000-0000-0000A1220000}"/>
    <cellStyle name="20% - Accent6 62 2 3" xfId="10019" xr:uid="{00000000-0005-0000-0000-0000A2220000}"/>
    <cellStyle name="20% - Accent6 62 2 3 2" xfId="21307" xr:uid="{00000000-0005-0000-0000-0000A3220000}"/>
    <cellStyle name="20% - Accent6 62 2 4" xfId="8025" xr:uid="{00000000-0005-0000-0000-0000A4220000}"/>
    <cellStyle name="20% - Accent6 62 2 4 2" xfId="19313" xr:uid="{00000000-0005-0000-0000-0000A5220000}"/>
    <cellStyle name="20% - Accent6 62 2 5" xfId="6031" xr:uid="{00000000-0005-0000-0000-0000A6220000}"/>
    <cellStyle name="20% - Accent6 62 2 5 2" xfId="17319" xr:uid="{00000000-0005-0000-0000-0000A7220000}"/>
    <cellStyle name="20% - Accent6 62 2 6" xfId="15325" xr:uid="{00000000-0005-0000-0000-0000A8220000}"/>
    <cellStyle name="20% - Accent6 62 3" xfId="11016" xr:uid="{00000000-0005-0000-0000-0000A9220000}"/>
    <cellStyle name="20% - Accent6 62 3 2" xfId="22304" xr:uid="{00000000-0005-0000-0000-0000AA220000}"/>
    <cellStyle name="20% - Accent6 62 4" xfId="9022" xr:uid="{00000000-0005-0000-0000-0000AB220000}"/>
    <cellStyle name="20% - Accent6 62 4 2" xfId="20310" xr:uid="{00000000-0005-0000-0000-0000AC220000}"/>
    <cellStyle name="20% - Accent6 62 5" xfId="7028" xr:uid="{00000000-0005-0000-0000-0000AD220000}"/>
    <cellStyle name="20% - Accent6 62 5 2" xfId="18316" xr:uid="{00000000-0005-0000-0000-0000AE220000}"/>
    <cellStyle name="20% - Accent6 62 6" xfId="5034" xr:uid="{00000000-0005-0000-0000-0000AF220000}"/>
    <cellStyle name="20% - Accent6 62 6 2" xfId="16322" xr:uid="{00000000-0005-0000-0000-0000B0220000}"/>
    <cellStyle name="20% - Accent6 62 7" xfId="14328" xr:uid="{00000000-0005-0000-0000-0000B1220000}"/>
    <cellStyle name="20% - Accent6 62 8" xfId="13014" xr:uid="{00000000-0005-0000-0000-0000B2220000}"/>
    <cellStyle name="20% - Accent6 63" xfId="1079" xr:uid="{00000000-0005-0000-0000-0000B3220000}"/>
    <cellStyle name="20% - Accent6 63 2" xfId="4035" xr:uid="{00000000-0005-0000-0000-0000B4220000}"/>
    <cellStyle name="20% - Accent6 63 2 2" xfId="12014" xr:uid="{00000000-0005-0000-0000-0000B5220000}"/>
    <cellStyle name="20% - Accent6 63 2 2 2" xfId="23302" xr:uid="{00000000-0005-0000-0000-0000B6220000}"/>
    <cellStyle name="20% - Accent6 63 2 3" xfId="10020" xr:uid="{00000000-0005-0000-0000-0000B7220000}"/>
    <cellStyle name="20% - Accent6 63 2 3 2" xfId="21308" xr:uid="{00000000-0005-0000-0000-0000B8220000}"/>
    <cellStyle name="20% - Accent6 63 2 4" xfId="8026" xr:uid="{00000000-0005-0000-0000-0000B9220000}"/>
    <cellStyle name="20% - Accent6 63 2 4 2" xfId="19314" xr:uid="{00000000-0005-0000-0000-0000BA220000}"/>
    <cellStyle name="20% - Accent6 63 2 5" xfId="6032" xr:uid="{00000000-0005-0000-0000-0000BB220000}"/>
    <cellStyle name="20% - Accent6 63 2 5 2" xfId="17320" xr:uid="{00000000-0005-0000-0000-0000BC220000}"/>
    <cellStyle name="20% - Accent6 63 2 6" xfId="15326" xr:uid="{00000000-0005-0000-0000-0000BD220000}"/>
    <cellStyle name="20% - Accent6 63 3" xfId="11017" xr:uid="{00000000-0005-0000-0000-0000BE220000}"/>
    <cellStyle name="20% - Accent6 63 3 2" xfId="22305" xr:uid="{00000000-0005-0000-0000-0000BF220000}"/>
    <cellStyle name="20% - Accent6 63 4" xfId="9023" xr:uid="{00000000-0005-0000-0000-0000C0220000}"/>
    <cellStyle name="20% - Accent6 63 4 2" xfId="20311" xr:uid="{00000000-0005-0000-0000-0000C1220000}"/>
    <cellStyle name="20% - Accent6 63 5" xfId="7029" xr:uid="{00000000-0005-0000-0000-0000C2220000}"/>
    <cellStyle name="20% - Accent6 63 5 2" xfId="18317" xr:uid="{00000000-0005-0000-0000-0000C3220000}"/>
    <cellStyle name="20% - Accent6 63 6" xfId="5035" xr:uid="{00000000-0005-0000-0000-0000C4220000}"/>
    <cellStyle name="20% - Accent6 63 6 2" xfId="16323" xr:uid="{00000000-0005-0000-0000-0000C5220000}"/>
    <cellStyle name="20% - Accent6 63 7" xfId="14329" xr:uid="{00000000-0005-0000-0000-0000C6220000}"/>
    <cellStyle name="20% - Accent6 63 8" xfId="13015" xr:uid="{00000000-0005-0000-0000-0000C7220000}"/>
    <cellStyle name="20% - Accent6 64" xfId="1080" xr:uid="{00000000-0005-0000-0000-0000C8220000}"/>
    <cellStyle name="20% - Accent6 64 2" xfId="4036" xr:uid="{00000000-0005-0000-0000-0000C9220000}"/>
    <cellStyle name="20% - Accent6 64 2 2" xfId="12015" xr:uid="{00000000-0005-0000-0000-0000CA220000}"/>
    <cellStyle name="20% - Accent6 64 2 2 2" xfId="23303" xr:uid="{00000000-0005-0000-0000-0000CB220000}"/>
    <cellStyle name="20% - Accent6 64 2 3" xfId="10021" xr:uid="{00000000-0005-0000-0000-0000CC220000}"/>
    <cellStyle name="20% - Accent6 64 2 3 2" xfId="21309" xr:uid="{00000000-0005-0000-0000-0000CD220000}"/>
    <cellStyle name="20% - Accent6 64 2 4" xfId="8027" xr:uid="{00000000-0005-0000-0000-0000CE220000}"/>
    <cellStyle name="20% - Accent6 64 2 4 2" xfId="19315" xr:uid="{00000000-0005-0000-0000-0000CF220000}"/>
    <cellStyle name="20% - Accent6 64 2 5" xfId="6033" xr:uid="{00000000-0005-0000-0000-0000D0220000}"/>
    <cellStyle name="20% - Accent6 64 2 5 2" xfId="17321" xr:uid="{00000000-0005-0000-0000-0000D1220000}"/>
    <cellStyle name="20% - Accent6 64 2 6" xfId="15327" xr:uid="{00000000-0005-0000-0000-0000D2220000}"/>
    <cellStyle name="20% - Accent6 64 3" xfId="11018" xr:uid="{00000000-0005-0000-0000-0000D3220000}"/>
    <cellStyle name="20% - Accent6 64 3 2" xfId="22306" xr:uid="{00000000-0005-0000-0000-0000D4220000}"/>
    <cellStyle name="20% - Accent6 64 4" xfId="9024" xr:uid="{00000000-0005-0000-0000-0000D5220000}"/>
    <cellStyle name="20% - Accent6 64 4 2" xfId="20312" xr:uid="{00000000-0005-0000-0000-0000D6220000}"/>
    <cellStyle name="20% - Accent6 64 5" xfId="7030" xr:uid="{00000000-0005-0000-0000-0000D7220000}"/>
    <cellStyle name="20% - Accent6 64 5 2" xfId="18318" xr:uid="{00000000-0005-0000-0000-0000D8220000}"/>
    <cellStyle name="20% - Accent6 64 6" xfId="5036" xr:uid="{00000000-0005-0000-0000-0000D9220000}"/>
    <cellStyle name="20% - Accent6 64 6 2" xfId="16324" xr:uid="{00000000-0005-0000-0000-0000DA220000}"/>
    <cellStyle name="20% - Accent6 64 7" xfId="14330" xr:uid="{00000000-0005-0000-0000-0000DB220000}"/>
    <cellStyle name="20% - Accent6 64 8" xfId="13016" xr:uid="{00000000-0005-0000-0000-0000DC220000}"/>
    <cellStyle name="20% - Accent6 65" xfId="1081" xr:uid="{00000000-0005-0000-0000-0000DD220000}"/>
    <cellStyle name="20% - Accent6 65 2" xfId="4037" xr:uid="{00000000-0005-0000-0000-0000DE220000}"/>
    <cellStyle name="20% - Accent6 65 2 2" xfId="12016" xr:uid="{00000000-0005-0000-0000-0000DF220000}"/>
    <cellStyle name="20% - Accent6 65 2 2 2" xfId="23304" xr:uid="{00000000-0005-0000-0000-0000E0220000}"/>
    <cellStyle name="20% - Accent6 65 2 3" xfId="10022" xr:uid="{00000000-0005-0000-0000-0000E1220000}"/>
    <cellStyle name="20% - Accent6 65 2 3 2" xfId="21310" xr:uid="{00000000-0005-0000-0000-0000E2220000}"/>
    <cellStyle name="20% - Accent6 65 2 4" xfId="8028" xr:uid="{00000000-0005-0000-0000-0000E3220000}"/>
    <cellStyle name="20% - Accent6 65 2 4 2" xfId="19316" xr:uid="{00000000-0005-0000-0000-0000E4220000}"/>
    <cellStyle name="20% - Accent6 65 2 5" xfId="6034" xr:uid="{00000000-0005-0000-0000-0000E5220000}"/>
    <cellStyle name="20% - Accent6 65 2 5 2" xfId="17322" xr:uid="{00000000-0005-0000-0000-0000E6220000}"/>
    <cellStyle name="20% - Accent6 65 2 6" xfId="15328" xr:uid="{00000000-0005-0000-0000-0000E7220000}"/>
    <cellStyle name="20% - Accent6 65 3" xfId="11019" xr:uid="{00000000-0005-0000-0000-0000E8220000}"/>
    <cellStyle name="20% - Accent6 65 3 2" xfId="22307" xr:uid="{00000000-0005-0000-0000-0000E9220000}"/>
    <cellStyle name="20% - Accent6 65 4" xfId="9025" xr:uid="{00000000-0005-0000-0000-0000EA220000}"/>
    <cellStyle name="20% - Accent6 65 4 2" xfId="20313" xr:uid="{00000000-0005-0000-0000-0000EB220000}"/>
    <cellStyle name="20% - Accent6 65 5" xfId="7031" xr:uid="{00000000-0005-0000-0000-0000EC220000}"/>
    <cellStyle name="20% - Accent6 65 5 2" xfId="18319" xr:uid="{00000000-0005-0000-0000-0000ED220000}"/>
    <cellStyle name="20% - Accent6 65 6" xfId="5037" xr:uid="{00000000-0005-0000-0000-0000EE220000}"/>
    <cellStyle name="20% - Accent6 65 6 2" xfId="16325" xr:uid="{00000000-0005-0000-0000-0000EF220000}"/>
    <cellStyle name="20% - Accent6 65 7" xfId="14331" xr:uid="{00000000-0005-0000-0000-0000F0220000}"/>
    <cellStyle name="20% - Accent6 65 8" xfId="13017" xr:uid="{00000000-0005-0000-0000-0000F1220000}"/>
    <cellStyle name="20% - Accent6 66" xfId="1082" xr:uid="{00000000-0005-0000-0000-0000F2220000}"/>
    <cellStyle name="20% - Accent6 66 2" xfId="4038" xr:uid="{00000000-0005-0000-0000-0000F3220000}"/>
    <cellStyle name="20% - Accent6 66 2 2" xfId="12017" xr:uid="{00000000-0005-0000-0000-0000F4220000}"/>
    <cellStyle name="20% - Accent6 66 2 2 2" xfId="23305" xr:uid="{00000000-0005-0000-0000-0000F5220000}"/>
    <cellStyle name="20% - Accent6 66 2 3" xfId="10023" xr:uid="{00000000-0005-0000-0000-0000F6220000}"/>
    <cellStyle name="20% - Accent6 66 2 3 2" xfId="21311" xr:uid="{00000000-0005-0000-0000-0000F7220000}"/>
    <cellStyle name="20% - Accent6 66 2 4" xfId="8029" xr:uid="{00000000-0005-0000-0000-0000F8220000}"/>
    <cellStyle name="20% - Accent6 66 2 4 2" xfId="19317" xr:uid="{00000000-0005-0000-0000-0000F9220000}"/>
    <cellStyle name="20% - Accent6 66 2 5" xfId="6035" xr:uid="{00000000-0005-0000-0000-0000FA220000}"/>
    <cellStyle name="20% - Accent6 66 2 5 2" xfId="17323" xr:uid="{00000000-0005-0000-0000-0000FB220000}"/>
    <cellStyle name="20% - Accent6 66 2 6" xfId="15329" xr:uid="{00000000-0005-0000-0000-0000FC220000}"/>
    <cellStyle name="20% - Accent6 66 3" xfId="11020" xr:uid="{00000000-0005-0000-0000-0000FD220000}"/>
    <cellStyle name="20% - Accent6 66 3 2" xfId="22308" xr:uid="{00000000-0005-0000-0000-0000FE220000}"/>
    <cellStyle name="20% - Accent6 66 4" xfId="9026" xr:uid="{00000000-0005-0000-0000-0000FF220000}"/>
    <cellStyle name="20% - Accent6 66 4 2" xfId="20314" xr:uid="{00000000-0005-0000-0000-000000230000}"/>
    <cellStyle name="20% - Accent6 66 5" xfId="7032" xr:uid="{00000000-0005-0000-0000-000001230000}"/>
    <cellStyle name="20% - Accent6 66 5 2" xfId="18320" xr:uid="{00000000-0005-0000-0000-000002230000}"/>
    <cellStyle name="20% - Accent6 66 6" xfId="5038" xr:uid="{00000000-0005-0000-0000-000003230000}"/>
    <cellStyle name="20% - Accent6 66 6 2" xfId="16326" xr:uid="{00000000-0005-0000-0000-000004230000}"/>
    <cellStyle name="20% - Accent6 66 7" xfId="14332" xr:uid="{00000000-0005-0000-0000-000005230000}"/>
    <cellStyle name="20% - Accent6 66 8" xfId="13018" xr:uid="{00000000-0005-0000-0000-000006230000}"/>
    <cellStyle name="20% - Accent6 67" xfId="1083" xr:uid="{00000000-0005-0000-0000-000007230000}"/>
    <cellStyle name="20% - Accent6 67 2" xfId="4039" xr:uid="{00000000-0005-0000-0000-000008230000}"/>
    <cellStyle name="20% - Accent6 67 2 2" xfId="12018" xr:uid="{00000000-0005-0000-0000-000009230000}"/>
    <cellStyle name="20% - Accent6 67 2 2 2" xfId="23306" xr:uid="{00000000-0005-0000-0000-00000A230000}"/>
    <cellStyle name="20% - Accent6 67 2 3" xfId="10024" xr:uid="{00000000-0005-0000-0000-00000B230000}"/>
    <cellStyle name="20% - Accent6 67 2 3 2" xfId="21312" xr:uid="{00000000-0005-0000-0000-00000C230000}"/>
    <cellStyle name="20% - Accent6 67 2 4" xfId="8030" xr:uid="{00000000-0005-0000-0000-00000D230000}"/>
    <cellStyle name="20% - Accent6 67 2 4 2" xfId="19318" xr:uid="{00000000-0005-0000-0000-00000E230000}"/>
    <cellStyle name="20% - Accent6 67 2 5" xfId="6036" xr:uid="{00000000-0005-0000-0000-00000F230000}"/>
    <cellStyle name="20% - Accent6 67 2 5 2" xfId="17324" xr:uid="{00000000-0005-0000-0000-000010230000}"/>
    <cellStyle name="20% - Accent6 67 2 6" xfId="15330" xr:uid="{00000000-0005-0000-0000-000011230000}"/>
    <cellStyle name="20% - Accent6 67 3" xfId="11021" xr:uid="{00000000-0005-0000-0000-000012230000}"/>
    <cellStyle name="20% - Accent6 67 3 2" xfId="22309" xr:uid="{00000000-0005-0000-0000-000013230000}"/>
    <cellStyle name="20% - Accent6 67 4" xfId="9027" xr:uid="{00000000-0005-0000-0000-000014230000}"/>
    <cellStyle name="20% - Accent6 67 4 2" xfId="20315" xr:uid="{00000000-0005-0000-0000-000015230000}"/>
    <cellStyle name="20% - Accent6 67 5" xfId="7033" xr:uid="{00000000-0005-0000-0000-000016230000}"/>
    <cellStyle name="20% - Accent6 67 5 2" xfId="18321" xr:uid="{00000000-0005-0000-0000-000017230000}"/>
    <cellStyle name="20% - Accent6 67 6" xfId="5039" xr:uid="{00000000-0005-0000-0000-000018230000}"/>
    <cellStyle name="20% - Accent6 67 6 2" xfId="16327" xr:uid="{00000000-0005-0000-0000-000019230000}"/>
    <cellStyle name="20% - Accent6 67 7" xfId="14333" xr:uid="{00000000-0005-0000-0000-00001A230000}"/>
    <cellStyle name="20% - Accent6 67 8" xfId="13019" xr:uid="{00000000-0005-0000-0000-00001B230000}"/>
    <cellStyle name="20% - Accent6 68" xfId="1084" xr:uid="{00000000-0005-0000-0000-00001C230000}"/>
    <cellStyle name="20% - Accent6 68 2" xfId="4040" xr:uid="{00000000-0005-0000-0000-00001D230000}"/>
    <cellStyle name="20% - Accent6 68 2 2" xfId="12019" xr:uid="{00000000-0005-0000-0000-00001E230000}"/>
    <cellStyle name="20% - Accent6 68 2 2 2" xfId="23307" xr:uid="{00000000-0005-0000-0000-00001F230000}"/>
    <cellStyle name="20% - Accent6 68 2 3" xfId="10025" xr:uid="{00000000-0005-0000-0000-000020230000}"/>
    <cellStyle name="20% - Accent6 68 2 3 2" xfId="21313" xr:uid="{00000000-0005-0000-0000-000021230000}"/>
    <cellStyle name="20% - Accent6 68 2 4" xfId="8031" xr:uid="{00000000-0005-0000-0000-000022230000}"/>
    <cellStyle name="20% - Accent6 68 2 4 2" xfId="19319" xr:uid="{00000000-0005-0000-0000-000023230000}"/>
    <cellStyle name="20% - Accent6 68 2 5" xfId="6037" xr:uid="{00000000-0005-0000-0000-000024230000}"/>
    <cellStyle name="20% - Accent6 68 2 5 2" xfId="17325" xr:uid="{00000000-0005-0000-0000-000025230000}"/>
    <cellStyle name="20% - Accent6 68 2 6" xfId="15331" xr:uid="{00000000-0005-0000-0000-000026230000}"/>
    <cellStyle name="20% - Accent6 68 3" xfId="11022" xr:uid="{00000000-0005-0000-0000-000027230000}"/>
    <cellStyle name="20% - Accent6 68 3 2" xfId="22310" xr:uid="{00000000-0005-0000-0000-000028230000}"/>
    <cellStyle name="20% - Accent6 68 4" xfId="9028" xr:uid="{00000000-0005-0000-0000-000029230000}"/>
    <cellStyle name="20% - Accent6 68 4 2" xfId="20316" xr:uid="{00000000-0005-0000-0000-00002A230000}"/>
    <cellStyle name="20% - Accent6 68 5" xfId="7034" xr:uid="{00000000-0005-0000-0000-00002B230000}"/>
    <cellStyle name="20% - Accent6 68 5 2" xfId="18322" xr:uid="{00000000-0005-0000-0000-00002C230000}"/>
    <cellStyle name="20% - Accent6 68 6" xfId="5040" xr:uid="{00000000-0005-0000-0000-00002D230000}"/>
    <cellStyle name="20% - Accent6 68 6 2" xfId="16328" xr:uid="{00000000-0005-0000-0000-00002E230000}"/>
    <cellStyle name="20% - Accent6 68 7" xfId="14334" xr:uid="{00000000-0005-0000-0000-00002F230000}"/>
    <cellStyle name="20% - Accent6 68 8" xfId="13020" xr:uid="{00000000-0005-0000-0000-000030230000}"/>
    <cellStyle name="20% - Accent6 69" xfId="1085" xr:uid="{00000000-0005-0000-0000-000031230000}"/>
    <cellStyle name="20% - Accent6 69 2" xfId="4041" xr:uid="{00000000-0005-0000-0000-000032230000}"/>
    <cellStyle name="20% - Accent6 69 2 2" xfId="12020" xr:uid="{00000000-0005-0000-0000-000033230000}"/>
    <cellStyle name="20% - Accent6 69 2 2 2" xfId="23308" xr:uid="{00000000-0005-0000-0000-000034230000}"/>
    <cellStyle name="20% - Accent6 69 2 3" xfId="10026" xr:uid="{00000000-0005-0000-0000-000035230000}"/>
    <cellStyle name="20% - Accent6 69 2 3 2" xfId="21314" xr:uid="{00000000-0005-0000-0000-000036230000}"/>
    <cellStyle name="20% - Accent6 69 2 4" xfId="8032" xr:uid="{00000000-0005-0000-0000-000037230000}"/>
    <cellStyle name="20% - Accent6 69 2 4 2" xfId="19320" xr:uid="{00000000-0005-0000-0000-000038230000}"/>
    <cellStyle name="20% - Accent6 69 2 5" xfId="6038" xr:uid="{00000000-0005-0000-0000-000039230000}"/>
    <cellStyle name="20% - Accent6 69 2 5 2" xfId="17326" xr:uid="{00000000-0005-0000-0000-00003A230000}"/>
    <cellStyle name="20% - Accent6 69 2 6" xfId="15332" xr:uid="{00000000-0005-0000-0000-00003B230000}"/>
    <cellStyle name="20% - Accent6 69 3" xfId="11023" xr:uid="{00000000-0005-0000-0000-00003C230000}"/>
    <cellStyle name="20% - Accent6 69 3 2" xfId="22311" xr:uid="{00000000-0005-0000-0000-00003D230000}"/>
    <cellStyle name="20% - Accent6 69 4" xfId="9029" xr:uid="{00000000-0005-0000-0000-00003E230000}"/>
    <cellStyle name="20% - Accent6 69 4 2" xfId="20317" xr:uid="{00000000-0005-0000-0000-00003F230000}"/>
    <cellStyle name="20% - Accent6 69 5" xfId="7035" xr:uid="{00000000-0005-0000-0000-000040230000}"/>
    <cellStyle name="20% - Accent6 69 5 2" xfId="18323" xr:uid="{00000000-0005-0000-0000-000041230000}"/>
    <cellStyle name="20% - Accent6 69 6" xfId="5041" xr:uid="{00000000-0005-0000-0000-000042230000}"/>
    <cellStyle name="20% - Accent6 69 6 2" xfId="16329" xr:uid="{00000000-0005-0000-0000-000043230000}"/>
    <cellStyle name="20% - Accent6 69 7" xfId="14335" xr:uid="{00000000-0005-0000-0000-000044230000}"/>
    <cellStyle name="20% - Accent6 69 8" xfId="13021" xr:uid="{00000000-0005-0000-0000-000045230000}"/>
    <cellStyle name="20% - Accent6 7" xfId="1086" xr:uid="{00000000-0005-0000-0000-000046230000}"/>
    <cellStyle name="20% - Accent6 7 10" xfId="24594" xr:uid="{00000000-0005-0000-0000-000047230000}"/>
    <cellStyle name="20% - Accent6 7 11" xfId="24984" xr:uid="{00000000-0005-0000-0000-000048230000}"/>
    <cellStyle name="20% - Accent6 7 2" xfId="4042" xr:uid="{00000000-0005-0000-0000-000049230000}"/>
    <cellStyle name="20% - Accent6 7 2 2" xfId="12021" xr:uid="{00000000-0005-0000-0000-00004A230000}"/>
    <cellStyle name="20% - Accent6 7 2 2 2" xfId="23309" xr:uid="{00000000-0005-0000-0000-00004B230000}"/>
    <cellStyle name="20% - Accent6 7 2 3" xfId="10027" xr:uid="{00000000-0005-0000-0000-00004C230000}"/>
    <cellStyle name="20% - Accent6 7 2 3 2" xfId="21315" xr:uid="{00000000-0005-0000-0000-00004D230000}"/>
    <cellStyle name="20% - Accent6 7 2 4" xfId="8033" xr:uid="{00000000-0005-0000-0000-00004E230000}"/>
    <cellStyle name="20% - Accent6 7 2 4 2" xfId="19321" xr:uid="{00000000-0005-0000-0000-00004F230000}"/>
    <cellStyle name="20% - Accent6 7 2 5" xfId="6039" xr:uid="{00000000-0005-0000-0000-000050230000}"/>
    <cellStyle name="20% - Accent6 7 2 5 2" xfId="17327" xr:uid="{00000000-0005-0000-0000-000051230000}"/>
    <cellStyle name="20% - Accent6 7 2 6" xfId="15333" xr:uid="{00000000-0005-0000-0000-000052230000}"/>
    <cellStyle name="20% - Accent6 7 2 7" xfId="24355" xr:uid="{00000000-0005-0000-0000-000053230000}"/>
    <cellStyle name="20% - Accent6 7 2 8" xfId="24819" xr:uid="{00000000-0005-0000-0000-000054230000}"/>
    <cellStyle name="20% - Accent6 7 2 9" xfId="25186" xr:uid="{00000000-0005-0000-0000-000055230000}"/>
    <cellStyle name="20% - Accent6 7 3" xfId="11024" xr:uid="{00000000-0005-0000-0000-000056230000}"/>
    <cellStyle name="20% - Accent6 7 3 2" xfId="22312" xr:uid="{00000000-0005-0000-0000-000057230000}"/>
    <cellStyle name="20% - Accent6 7 4" xfId="9030" xr:uid="{00000000-0005-0000-0000-000058230000}"/>
    <cellStyle name="20% - Accent6 7 4 2" xfId="20318" xr:uid="{00000000-0005-0000-0000-000059230000}"/>
    <cellStyle name="20% - Accent6 7 5" xfId="7036" xr:uid="{00000000-0005-0000-0000-00005A230000}"/>
    <cellStyle name="20% - Accent6 7 5 2" xfId="18324" xr:uid="{00000000-0005-0000-0000-00005B230000}"/>
    <cellStyle name="20% - Accent6 7 6" xfId="5042" xr:uid="{00000000-0005-0000-0000-00005C230000}"/>
    <cellStyle name="20% - Accent6 7 6 2" xfId="16330" xr:uid="{00000000-0005-0000-0000-00005D230000}"/>
    <cellStyle name="20% - Accent6 7 7" xfId="14336" xr:uid="{00000000-0005-0000-0000-00005E230000}"/>
    <cellStyle name="20% - Accent6 7 8" xfId="13022" xr:uid="{00000000-0005-0000-0000-00005F230000}"/>
    <cellStyle name="20% - Accent6 7 9" xfId="23967" xr:uid="{00000000-0005-0000-0000-000060230000}"/>
    <cellStyle name="20% - Accent6 70" xfId="1087" xr:uid="{00000000-0005-0000-0000-000061230000}"/>
    <cellStyle name="20% - Accent6 70 2" xfId="4043" xr:uid="{00000000-0005-0000-0000-000062230000}"/>
    <cellStyle name="20% - Accent6 70 2 2" xfId="12022" xr:uid="{00000000-0005-0000-0000-000063230000}"/>
    <cellStyle name="20% - Accent6 70 2 2 2" xfId="23310" xr:uid="{00000000-0005-0000-0000-000064230000}"/>
    <cellStyle name="20% - Accent6 70 2 3" xfId="10028" xr:uid="{00000000-0005-0000-0000-000065230000}"/>
    <cellStyle name="20% - Accent6 70 2 3 2" xfId="21316" xr:uid="{00000000-0005-0000-0000-000066230000}"/>
    <cellStyle name="20% - Accent6 70 2 4" xfId="8034" xr:uid="{00000000-0005-0000-0000-000067230000}"/>
    <cellStyle name="20% - Accent6 70 2 4 2" xfId="19322" xr:uid="{00000000-0005-0000-0000-000068230000}"/>
    <cellStyle name="20% - Accent6 70 2 5" xfId="6040" xr:uid="{00000000-0005-0000-0000-000069230000}"/>
    <cellStyle name="20% - Accent6 70 2 5 2" xfId="17328" xr:uid="{00000000-0005-0000-0000-00006A230000}"/>
    <cellStyle name="20% - Accent6 70 2 6" xfId="15334" xr:uid="{00000000-0005-0000-0000-00006B230000}"/>
    <cellStyle name="20% - Accent6 70 3" xfId="11025" xr:uid="{00000000-0005-0000-0000-00006C230000}"/>
    <cellStyle name="20% - Accent6 70 3 2" xfId="22313" xr:uid="{00000000-0005-0000-0000-00006D230000}"/>
    <cellStyle name="20% - Accent6 70 4" xfId="9031" xr:uid="{00000000-0005-0000-0000-00006E230000}"/>
    <cellStyle name="20% - Accent6 70 4 2" xfId="20319" xr:uid="{00000000-0005-0000-0000-00006F230000}"/>
    <cellStyle name="20% - Accent6 70 5" xfId="7037" xr:uid="{00000000-0005-0000-0000-000070230000}"/>
    <cellStyle name="20% - Accent6 70 5 2" xfId="18325" xr:uid="{00000000-0005-0000-0000-000071230000}"/>
    <cellStyle name="20% - Accent6 70 6" xfId="5043" xr:uid="{00000000-0005-0000-0000-000072230000}"/>
    <cellStyle name="20% - Accent6 70 6 2" xfId="16331" xr:uid="{00000000-0005-0000-0000-000073230000}"/>
    <cellStyle name="20% - Accent6 70 7" xfId="14337" xr:uid="{00000000-0005-0000-0000-000074230000}"/>
    <cellStyle name="20% - Accent6 70 8" xfId="13023" xr:uid="{00000000-0005-0000-0000-000075230000}"/>
    <cellStyle name="20% - Accent6 71" xfId="1088" xr:uid="{00000000-0005-0000-0000-000076230000}"/>
    <cellStyle name="20% - Accent6 71 2" xfId="4044" xr:uid="{00000000-0005-0000-0000-000077230000}"/>
    <cellStyle name="20% - Accent6 71 2 2" xfId="12023" xr:uid="{00000000-0005-0000-0000-000078230000}"/>
    <cellStyle name="20% - Accent6 71 2 2 2" xfId="23311" xr:uid="{00000000-0005-0000-0000-000079230000}"/>
    <cellStyle name="20% - Accent6 71 2 3" xfId="10029" xr:uid="{00000000-0005-0000-0000-00007A230000}"/>
    <cellStyle name="20% - Accent6 71 2 3 2" xfId="21317" xr:uid="{00000000-0005-0000-0000-00007B230000}"/>
    <cellStyle name="20% - Accent6 71 2 4" xfId="8035" xr:uid="{00000000-0005-0000-0000-00007C230000}"/>
    <cellStyle name="20% - Accent6 71 2 4 2" xfId="19323" xr:uid="{00000000-0005-0000-0000-00007D230000}"/>
    <cellStyle name="20% - Accent6 71 2 5" xfId="6041" xr:uid="{00000000-0005-0000-0000-00007E230000}"/>
    <cellStyle name="20% - Accent6 71 2 5 2" xfId="17329" xr:uid="{00000000-0005-0000-0000-00007F230000}"/>
    <cellStyle name="20% - Accent6 71 2 6" xfId="15335" xr:uid="{00000000-0005-0000-0000-000080230000}"/>
    <cellStyle name="20% - Accent6 71 3" xfId="11026" xr:uid="{00000000-0005-0000-0000-000081230000}"/>
    <cellStyle name="20% - Accent6 71 3 2" xfId="22314" xr:uid="{00000000-0005-0000-0000-000082230000}"/>
    <cellStyle name="20% - Accent6 71 4" xfId="9032" xr:uid="{00000000-0005-0000-0000-000083230000}"/>
    <cellStyle name="20% - Accent6 71 4 2" xfId="20320" xr:uid="{00000000-0005-0000-0000-000084230000}"/>
    <cellStyle name="20% - Accent6 71 5" xfId="7038" xr:uid="{00000000-0005-0000-0000-000085230000}"/>
    <cellStyle name="20% - Accent6 71 5 2" xfId="18326" xr:uid="{00000000-0005-0000-0000-000086230000}"/>
    <cellStyle name="20% - Accent6 71 6" xfId="5044" xr:uid="{00000000-0005-0000-0000-000087230000}"/>
    <cellStyle name="20% - Accent6 71 6 2" xfId="16332" xr:uid="{00000000-0005-0000-0000-000088230000}"/>
    <cellStyle name="20% - Accent6 71 7" xfId="14338" xr:uid="{00000000-0005-0000-0000-000089230000}"/>
    <cellStyle name="20% - Accent6 71 8" xfId="13024" xr:uid="{00000000-0005-0000-0000-00008A230000}"/>
    <cellStyle name="20% - Accent6 72" xfId="1089" xr:uid="{00000000-0005-0000-0000-00008B230000}"/>
    <cellStyle name="20% - Accent6 72 2" xfId="4045" xr:uid="{00000000-0005-0000-0000-00008C230000}"/>
    <cellStyle name="20% - Accent6 72 2 2" xfId="12024" xr:uid="{00000000-0005-0000-0000-00008D230000}"/>
    <cellStyle name="20% - Accent6 72 2 2 2" xfId="23312" xr:uid="{00000000-0005-0000-0000-00008E230000}"/>
    <cellStyle name="20% - Accent6 72 2 3" xfId="10030" xr:uid="{00000000-0005-0000-0000-00008F230000}"/>
    <cellStyle name="20% - Accent6 72 2 3 2" xfId="21318" xr:uid="{00000000-0005-0000-0000-000090230000}"/>
    <cellStyle name="20% - Accent6 72 2 4" xfId="8036" xr:uid="{00000000-0005-0000-0000-000091230000}"/>
    <cellStyle name="20% - Accent6 72 2 4 2" xfId="19324" xr:uid="{00000000-0005-0000-0000-000092230000}"/>
    <cellStyle name="20% - Accent6 72 2 5" xfId="6042" xr:uid="{00000000-0005-0000-0000-000093230000}"/>
    <cellStyle name="20% - Accent6 72 2 5 2" xfId="17330" xr:uid="{00000000-0005-0000-0000-000094230000}"/>
    <cellStyle name="20% - Accent6 72 2 6" xfId="15336" xr:uid="{00000000-0005-0000-0000-000095230000}"/>
    <cellStyle name="20% - Accent6 72 3" xfId="11027" xr:uid="{00000000-0005-0000-0000-000096230000}"/>
    <cellStyle name="20% - Accent6 72 3 2" xfId="22315" xr:uid="{00000000-0005-0000-0000-000097230000}"/>
    <cellStyle name="20% - Accent6 72 4" xfId="9033" xr:uid="{00000000-0005-0000-0000-000098230000}"/>
    <cellStyle name="20% - Accent6 72 4 2" xfId="20321" xr:uid="{00000000-0005-0000-0000-000099230000}"/>
    <cellStyle name="20% - Accent6 72 5" xfId="7039" xr:uid="{00000000-0005-0000-0000-00009A230000}"/>
    <cellStyle name="20% - Accent6 72 5 2" xfId="18327" xr:uid="{00000000-0005-0000-0000-00009B230000}"/>
    <cellStyle name="20% - Accent6 72 6" xfId="5045" xr:uid="{00000000-0005-0000-0000-00009C230000}"/>
    <cellStyle name="20% - Accent6 72 6 2" xfId="16333" xr:uid="{00000000-0005-0000-0000-00009D230000}"/>
    <cellStyle name="20% - Accent6 72 7" xfId="14339" xr:uid="{00000000-0005-0000-0000-00009E230000}"/>
    <cellStyle name="20% - Accent6 72 8" xfId="13025" xr:uid="{00000000-0005-0000-0000-00009F230000}"/>
    <cellStyle name="20% - Accent6 8" xfId="1090" xr:uid="{00000000-0005-0000-0000-0000A0230000}"/>
    <cellStyle name="20% - Accent6 8 2" xfId="4046" xr:uid="{00000000-0005-0000-0000-0000A1230000}"/>
    <cellStyle name="20% - Accent6 8 2 2" xfId="12025" xr:uid="{00000000-0005-0000-0000-0000A2230000}"/>
    <cellStyle name="20% - Accent6 8 2 2 2" xfId="23313" xr:uid="{00000000-0005-0000-0000-0000A3230000}"/>
    <cellStyle name="20% - Accent6 8 2 3" xfId="10031" xr:uid="{00000000-0005-0000-0000-0000A4230000}"/>
    <cellStyle name="20% - Accent6 8 2 3 2" xfId="21319" xr:uid="{00000000-0005-0000-0000-0000A5230000}"/>
    <cellStyle name="20% - Accent6 8 2 4" xfId="8037" xr:uid="{00000000-0005-0000-0000-0000A6230000}"/>
    <cellStyle name="20% - Accent6 8 2 4 2" xfId="19325" xr:uid="{00000000-0005-0000-0000-0000A7230000}"/>
    <cellStyle name="20% - Accent6 8 2 5" xfId="6043" xr:uid="{00000000-0005-0000-0000-0000A8230000}"/>
    <cellStyle name="20% - Accent6 8 2 5 2" xfId="17331" xr:uid="{00000000-0005-0000-0000-0000A9230000}"/>
    <cellStyle name="20% - Accent6 8 2 6" xfId="15337" xr:uid="{00000000-0005-0000-0000-0000AA230000}"/>
    <cellStyle name="20% - Accent6 8 3" xfId="11028" xr:uid="{00000000-0005-0000-0000-0000AB230000}"/>
    <cellStyle name="20% - Accent6 8 3 2" xfId="22316" xr:uid="{00000000-0005-0000-0000-0000AC230000}"/>
    <cellStyle name="20% - Accent6 8 4" xfId="9034" xr:uid="{00000000-0005-0000-0000-0000AD230000}"/>
    <cellStyle name="20% - Accent6 8 4 2" xfId="20322" xr:uid="{00000000-0005-0000-0000-0000AE230000}"/>
    <cellStyle name="20% - Accent6 8 5" xfId="7040" xr:uid="{00000000-0005-0000-0000-0000AF230000}"/>
    <cellStyle name="20% - Accent6 8 5 2" xfId="18328" xr:uid="{00000000-0005-0000-0000-0000B0230000}"/>
    <cellStyle name="20% - Accent6 8 6" xfId="5046" xr:uid="{00000000-0005-0000-0000-0000B1230000}"/>
    <cellStyle name="20% - Accent6 8 6 2" xfId="16334" xr:uid="{00000000-0005-0000-0000-0000B2230000}"/>
    <cellStyle name="20% - Accent6 8 7" xfId="14340" xr:uid="{00000000-0005-0000-0000-0000B3230000}"/>
    <cellStyle name="20% - Accent6 8 8" xfId="13026" xr:uid="{00000000-0005-0000-0000-0000B4230000}"/>
    <cellStyle name="20% - Accent6 9" xfId="1091" xr:uid="{00000000-0005-0000-0000-0000B5230000}"/>
    <cellStyle name="20% - Accent6 9 2" xfId="4047" xr:uid="{00000000-0005-0000-0000-0000B6230000}"/>
    <cellStyle name="20% - Accent6 9 2 2" xfId="12026" xr:uid="{00000000-0005-0000-0000-0000B7230000}"/>
    <cellStyle name="20% - Accent6 9 2 2 2" xfId="23314" xr:uid="{00000000-0005-0000-0000-0000B8230000}"/>
    <cellStyle name="20% - Accent6 9 2 3" xfId="10032" xr:uid="{00000000-0005-0000-0000-0000B9230000}"/>
    <cellStyle name="20% - Accent6 9 2 3 2" xfId="21320" xr:uid="{00000000-0005-0000-0000-0000BA230000}"/>
    <cellStyle name="20% - Accent6 9 2 4" xfId="8038" xr:uid="{00000000-0005-0000-0000-0000BB230000}"/>
    <cellStyle name="20% - Accent6 9 2 4 2" xfId="19326" xr:uid="{00000000-0005-0000-0000-0000BC230000}"/>
    <cellStyle name="20% - Accent6 9 2 5" xfId="6044" xr:uid="{00000000-0005-0000-0000-0000BD230000}"/>
    <cellStyle name="20% - Accent6 9 2 5 2" xfId="17332" xr:uid="{00000000-0005-0000-0000-0000BE230000}"/>
    <cellStyle name="20% - Accent6 9 2 6" xfId="15338" xr:uid="{00000000-0005-0000-0000-0000BF230000}"/>
    <cellStyle name="20% - Accent6 9 3" xfId="11029" xr:uid="{00000000-0005-0000-0000-0000C0230000}"/>
    <cellStyle name="20% - Accent6 9 3 2" xfId="22317" xr:uid="{00000000-0005-0000-0000-0000C1230000}"/>
    <cellStyle name="20% - Accent6 9 4" xfId="9035" xr:uid="{00000000-0005-0000-0000-0000C2230000}"/>
    <cellStyle name="20% - Accent6 9 4 2" xfId="20323" xr:uid="{00000000-0005-0000-0000-0000C3230000}"/>
    <cellStyle name="20% - Accent6 9 5" xfId="7041" xr:uid="{00000000-0005-0000-0000-0000C4230000}"/>
    <cellStyle name="20% - Accent6 9 5 2" xfId="18329" xr:uid="{00000000-0005-0000-0000-0000C5230000}"/>
    <cellStyle name="20% - Accent6 9 6" xfId="5047" xr:uid="{00000000-0005-0000-0000-0000C6230000}"/>
    <cellStyle name="20% - Accent6 9 6 2" xfId="16335" xr:uid="{00000000-0005-0000-0000-0000C7230000}"/>
    <cellStyle name="20% - Accent6 9 7" xfId="14341" xr:uid="{00000000-0005-0000-0000-0000C8230000}"/>
    <cellStyle name="20% - Accent6 9 8" xfId="13027" xr:uid="{00000000-0005-0000-0000-0000C9230000}"/>
    <cellStyle name="40% - Accent1 10" xfId="1092" xr:uid="{00000000-0005-0000-0000-0000CA230000}"/>
    <cellStyle name="40% - Accent1 10 2" xfId="4048" xr:uid="{00000000-0005-0000-0000-0000CB230000}"/>
    <cellStyle name="40% - Accent1 10 2 2" xfId="12027" xr:uid="{00000000-0005-0000-0000-0000CC230000}"/>
    <cellStyle name="40% - Accent1 10 2 2 2" xfId="23315" xr:uid="{00000000-0005-0000-0000-0000CD230000}"/>
    <cellStyle name="40% - Accent1 10 2 3" xfId="10033" xr:uid="{00000000-0005-0000-0000-0000CE230000}"/>
    <cellStyle name="40% - Accent1 10 2 3 2" xfId="21321" xr:uid="{00000000-0005-0000-0000-0000CF230000}"/>
    <cellStyle name="40% - Accent1 10 2 4" xfId="8039" xr:uid="{00000000-0005-0000-0000-0000D0230000}"/>
    <cellStyle name="40% - Accent1 10 2 4 2" xfId="19327" xr:uid="{00000000-0005-0000-0000-0000D1230000}"/>
    <cellStyle name="40% - Accent1 10 2 5" xfId="6045" xr:uid="{00000000-0005-0000-0000-0000D2230000}"/>
    <cellStyle name="40% - Accent1 10 2 5 2" xfId="17333" xr:uid="{00000000-0005-0000-0000-0000D3230000}"/>
    <cellStyle name="40% - Accent1 10 2 6" xfId="15339" xr:uid="{00000000-0005-0000-0000-0000D4230000}"/>
    <cellStyle name="40% - Accent1 10 3" xfId="11030" xr:uid="{00000000-0005-0000-0000-0000D5230000}"/>
    <cellStyle name="40% - Accent1 10 3 2" xfId="22318" xr:uid="{00000000-0005-0000-0000-0000D6230000}"/>
    <cellStyle name="40% - Accent1 10 4" xfId="9036" xr:uid="{00000000-0005-0000-0000-0000D7230000}"/>
    <cellStyle name="40% - Accent1 10 4 2" xfId="20324" xr:uid="{00000000-0005-0000-0000-0000D8230000}"/>
    <cellStyle name="40% - Accent1 10 5" xfId="7042" xr:uid="{00000000-0005-0000-0000-0000D9230000}"/>
    <cellStyle name="40% - Accent1 10 5 2" xfId="18330" xr:uid="{00000000-0005-0000-0000-0000DA230000}"/>
    <cellStyle name="40% - Accent1 10 6" xfId="5048" xr:uid="{00000000-0005-0000-0000-0000DB230000}"/>
    <cellStyle name="40% - Accent1 10 6 2" xfId="16336" xr:uid="{00000000-0005-0000-0000-0000DC230000}"/>
    <cellStyle name="40% - Accent1 10 7" xfId="14342" xr:uid="{00000000-0005-0000-0000-0000DD230000}"/>
    <cellStyle name="40% - Accent1 10 8" xfId="13028" xr:uid="{00000000-0005-0000-0000-0000DE230000}"/>
    <cellStyle name="40% - Accent1 11" xfId="1093" xr:uid="{00000000-0005-0000-0000-0000DF230000}"/>
    <cellStyle name="40% - Accent1 11 2" xfId="4049" xr:uid="{00000000-0005-0000-0000-0000E0230000}"/>
    <cellStyle name="40% - Accent1 11 2 2" xfId="12028" xr:uid="{00000000-0005-0000-0000-0000E1230000}"/>
    <cellStyle name="40% - Accent1 11 2 2 2" xfId="23316" xr:uid="{00000000-0005-0000-0000-0000E2230000}"/>
    <cellStyle name="40% - Accent1 11 2 3" xfId="10034" xr:uid="{00000000-0005-0000-0000-0000E3230000}"/>
    <cellStyle name="40% - Accent1 11 2 3 2" xfId="21322" xr:uid="{00000000-0005-0000-0000-0000E4230000}"/>
    <cellStyle name="40% - Accent1 11 2 4" xfId="8040" xr:uid="{00000000-0005-0000-0000-0000E5230000}"/>
    <cellStyle name="40% - Accent1 11 2 4 2" xfId="19328" xr:uid="{00000000-0005-0000-0000-0000E6230000}"/>
    <cellStyle name="40% - Accent1 11 2 5" xfId="6046" xr:uid="{00000000-0005-0000-0000-0000E7230000}"/>
    <cellStyle name="40% - Accent1 11 2 5 2" xfId="17334" xr:uid="{00000000-0005-0000-0000-0000E8230000}"/>
    <cellStyle name="40% - Accent1 11 2 6" xfId="15340" xr:uid="{00000000-0005-0000-0000-0000E9230000}"/>
    <cellStyle name="40% - Accent1 11 3" xfId="11031" xr:uid="{00000000-0005-0000-0000-0000EA230000}"/>
    <cellStyle name="40% - Accent1 11 3 2" xfId="22319" xr:uid="{00000000-0005-0000-0000-0000EB230000}"/>
    <cellStyle name="40% - Accent1 11 4" xfId="9037" xr:uid="{00000000-0005-0000-0000-0000EC230000}"/>
    <cellStyle name="40% - Accent1 11 4 2" xfId="20325" xr:uid="{00000000-0005-0000-0000-0000ED230000}"/>
    <cellStyle name="40% - Accent1 11 5" xfId="7043" xr:uid="{00000000-0005-0000-0000-0000EE230000}"/>
    <cellStyle name="40% - Accent1 11 5 2" xfId="18331" xr:uid="{00000000-0005-0000-0000-0000EF230000}"/>
    <cellStyle name="40% - Accent1 11 6" xfId="5049" xr:uid="{00000000-0005-0000-0000-0000F0230000}"/>
    <cellStyle name="40% - Accent1 11 6 2" xfId="16337" xr:uid="{00000000-0005-0000-0000-0000F1230000}"/>
    <cellStyle name="40% - Accent1 11 7" xfId="14343" xr:uid="{00000000-0005-0000-0000-0000F2230000}"/>
    <cellStyle name="40% - Accent1 11 8" xfId="13029" xr:uid="{00000000-0005-0000-0000-0000F3230000}"/>
    <cellStyle name="40% - Accent1 12" xfId="1094" xr:uid="{00000000-0005-0000-0000-0000F4230000}"/>
    <cellStyle name="40% - Accent1 12 2" xfId="4050" xr:uid="{00000000-0005-0000-0000-0000F5230000}"/>
    <cellStyle name="40% - Accent1 12 2 2" xfId="12029" xr:uid="{00000000-0005-0000-0000-0000F6230000}"/>
    <cellStyle name="40% - Accent1 12 2 2 2" xfId="23317" xr:uid="{00000000-0005-0000-0000-0000F7230000}"/>
    <cellStyle name="40% - Accent1 12 2 3" xfId="10035" xr:uid="{00000000-0005-0000-0000-0000F8230000}"/>
    <cellStyle name="40% - Accent1 12 2 3 2" xfId="21323" xr:uid="{00000000-0005-0000-0000-0000F9230000}"/>
    <cellStyle name="40% - Accent1 12 2 4" xfId="8041" xr:uid="{00000000-0005-0000-0000-0000FA230000}"/>
    <cellStyle name="40% - Accent1 12 2 4 2" xfId="19329" xr:uid="{00000000-0005-0000-0000-0000FB230000}"/>
    <cellStyle name="40% - Accent1 12 2 5" xfId="6047" xr:uid="{00000000-0005-0000-0000-0000FC230000}"/>
    <cellStyle name="40% - Accent1 12 2 5 2" xfId="17335" xr:uid="{00000000-0005-0000-0000-0000FD230000}"/>
    <cellStyle name="40% - Accent1 12 2 6" xfId="15341" xr:uid="{00000000-0005-0000-0000-0000FE230000}"/>
    <cellStyle name="40% - Accent1 12 3" xfId="11032" xr:uid="{00000000-0005-0000-0000-0000FF230000}"/>
    <cellStyle name="40% - Accent1 12 3 2" xfId="22320" xr:uid="{00000000-0005-0000-0000-000000240000}"/>
    <cellStyle name="40% - Accent1 12 4" xfId="9038" xr:uid="{00000000-0005-0000-0000-000001240000}"/>
    <cellStyle name="40% - Accent1 12 4 2" xfId="20326" xr:uid="{00000000-0005-0000-0000-000002240000}"/>
    <cellStyle name="40% - Accent1 12 5" xfId="7044" xr:uid="{00000000-0005-0000-0000-000003240000}"/>
    <cellStyle name="40% - Accent1 12 5 2" xfId="18332" xr:uid="{00000000-0005-0000-0000-000004240000}"/>
    <cellStyle name="40% - Accent1 12 6" xfId="5050" xr:uid="{00000000-0005-0000-0000-000005240000}"/>
    <cellStyle name="40% - Accent1 12 6 2" xfId="16338" xr:uid="{00000000-0005-0000-0000-000006240000}"/>
    <cellStyle name="40% - Accent1 12 7" xfId="14344" xr:uid="{00000000-0005-0000-0000-000007240000}"/>
    <cellStyle name="40% - Accent1 12 8" xfId="13030" xr:uid="{00000000-0005-0000-0000-000008240000}"/>
    <cellStyle name="40% - Accent1 13" xfId="1095" xr:uid="{00000000-0005-0000-0000-000009240000}"/>
    <cellStyle name="40% - Accent1 13 2" xfId="4051" xr:uid="{00000000-0005-0000-0000-00000A240000}"/>
    <cellStyle name="40% - Accent1 13 2 2" xfId="12030" xr:uid="{00000000-0005-0000-0000-00000B240000}"/>
    <cellStyle name="40% - Accent1 13 2 2 2" xfId="23318" xr:uid="{00000000-0005-0000-0000-00000C240000}"/>
    <cellStyle name="40% - Accent1 13 2 3" xfId="10036" xr:uid="{00000000-0005-0000-0000-00000D240000}"/>
    <cellStyle name="40% - Accent1 13 2 3 2" xfId="21324" xr:uid="{00000000-0005-0000-0000-00000E240000}"/>
    <cellStyle name="40% - Accent1 13 2 4" xfId="8042" xr:uid="{00000000-0005-0000-0000-00000F240000}"/>
    <cellStyle name="40% - Accent1 13 2 4 2" xfId="19330" xr:uid="{00000000-0005-0000-0000-000010240000}"/>
    <cellStyle name="40% - Accent1 13 2 5" xfId="6048" xr:uid="{00000000-0005-0000-0000-000011240000}"/>
    <cellStyle name="40% - Accent1 13 2 5 2" xfId="17336" xr:uid="{00000000-0005-0000-0000-000012240000}"/>
    <cellStyle name="40% - Accent1 13 2 6" xfId="15342" xr:uid="{00000000-0005-0000-0000-000013240000}"/>
    <cellStyle name="40% - Accent1 13 3" xfId="11033" xr:uid="{00000000-0005-0000-0000-000014240000}"/>
    <cellStyle name="40% - Accent1 13 3 2" xfId="22321" xr:uid="{00000000-0005-0000-0000-000015240000}"/>
    <cellStyle name="40% - Accent1 13 4" xfId="9039" xr:uid="{00000000-0005-0000-0000-000016240000}"/>
    <cellStyle name="40% - Accent1 13 4 2" xfId="20327" xr:uid="{00000000-0005-0000-0000-000017240000}"/>
    <cellStyle name="40% - Accent1 13 5" xfId="7045" xr:uid="{00000000-0005-0000-0000-000018240000}"/>
    <cellStyle name="40% - Accent1 13 5 2" xfId="18333" xr:uid="{00000000-0005-0000-0000-000019240000}"/>
    <cellStyle name="40% - Accent1 13 6" xfId="5051" xr:uid="{00000000-0005-0000-0000-00001A240000}"/>
    <cellStyle name="40% - Accent1 13 6 2" xfId="16339" xr:uid="{00000000-0005-0000-0000-00001B240000}"/>
    <cellStyle name="40% - Accent1 13 7" xfId="14345" xr:uid="{00000000-0005-0000-0000-00001C240000}"/>
    <cellStyle name="40% - Accent1 13 8" xfId="13031" xr:uid="{00000000-0005-0000-0000-00001D240000}"/>
    <cellStyle name="40% - Accent1 14" xfId="1096" xr:uid="{00000000-0005-0000-0000-00001E240000}"/>
    <cellStyle name="40% - Accent1 14 2" xfId="4052" xr:uid="{00000000-0005-0000-0000-00001F240000}"/>
    <cellStyle name="40% - Accent1 14 2 2" xfId="12031" xr:uid="{00000000-0005-0000-0000-000020240000}"/>
    <cellStyle name="40% - Accent1 14 2 2 2" xfId="23319" xr:uid="{00000000-0005-0000-0000-000021240000}"/>
    <cellStyle name="40% - Accent1 14 2 3" xfId="10037" xr:uid="{00000000-0005-0000-0000-000022240000}"/>
    <cellStyle name="40% - Accent1 14 2 3 2" xfId="21325" xr:uid="{00000000-0005-0000-0000-000023240000}"/>
    <cellStyle name="40% - Accent1 14 2 4" xfId="8043" xr:uid="{00000000-0005-0000-0000-000024240000}"/>
    <cellStyle name="40% - Accent1 14 2 4 2" xfId="19331" xr:uid="{00000000-0005-0000-0000-000025240000}"/>
    <cellStyle name="40% - Accent1 14 2 5" xfId="6049" xr:uid="{00000000-0005-0000-0000-000026240000}"/>
    <cellStyle name="40% - Accent1 14 2 5 2" xfId="17337" xr:uid="{00000000-0005-0000-0000-000027240000}"/>
    <cellStyle name="40% - Accent1 14 2 6" xfId="15343" xr:uid="{00000000-0005-0000-0000-000028240000}"/>
    <cellStyle name="40% - Accent1 14 3" xfId="11034" xr:uid="{00000000-0005-0000-0000-000029240000}"/>
    <cellStyle name="40% - Accent1 14 3 2" xfId="22322" xr:uid="{00000000-0005-0000-0000-00002A240000}"/>
    <cellStyle name="40% - Accent1 14 4" xfId="9040" xr:uid="{00000000-0005-0000-0000-00002B240000}"/>
    <cellStyle name="40% - Accent1 14 4 2" xfId="20328" xr:uid="{00000000-0005-0000-0000-00002C240000}"/>
    <cellStyle name="40% - Accent1 14 5" xfId="7046" xr:uid="{00000000-0005-0000-0000-00002D240000}"/>
    <cellStyle name="40% - Accent1 14 5 2" xfId="18334" xr:uid="{00000000-0005-0000-0000-00002E240000}"/>
    <cellStyle name="40% - Accent1 14 6" xfId="5052" xr:uid="{00000000-0005-0000-0000-00002F240000}"/>
    <cellStyle name="40% - Accent1 14 6 2" xfId="16340" xr:uid="{00000000-0005-0000-0000-000030240000}"/>
    <cellStyle name="40% - Accent1 14 7" xfId="14346" xr:uid="{00000000-0005-0000-0000-000031240000}"/>
    <cellStyle name="40% - Accent1 14 8" xfId="13032" xr:uid="{00000000-0005-0000-0000-000032240000}"/>
    <cellStyle name="40% - Accent1 15" xfId="1097" xr:uid="{00000000-0005-0000-0000-000033240000}"/>
    <cellStyle name="40% - Accent1 15 2" xfId="4053" xr:uid="{00000000-0005-0000-0000-000034240000}"/>
    <cellStyle name="40% - Accent1 15 2 2" xfId="12032" xr:uid="{00000000-0005-0000-0000-000035240000}"/>
    <cellStyle name="40% - Accent1 15 2 2 2" xfId="23320" xr:uid="{00000000-0005-0000-0000-000036240000}"/>
    <cellStyle name="40% - Accent1 15 2 3" xfId="10038" xr:uid="{00000000-0005-0000-0000-000037240000}"/>
    <cellStyle name="40% - Accent1 15 2 3 2" xfId="21326" xr:uid="{00000000-0005-0000-0000-000038240000}"/>
    <cellStyle name="40% - Accent1 15 2 4" xfId="8044" xr:uid="{00000000-0005-0000-0000-000039240000}"/>
    <cellStyle name="40% - Accent1 15 2 4 2" xfId="19332" xr:uid="{00000000-0005-0000-0000-00003A240000}"/>
    <cellStyle name="40% - Accent1 15 2 5" xfId="6050" xr:uid="{00000000-0005-0000-0000-00003B240000}"/>
    <cellStyle name="40% - Accent1 15 2 5 2" xfId="17338" xr:uid="{00000000-0005-0000-0000-00003C240000}"/>
    <cellStyle name="40% - Accent1 15 2 6" xfId="15344" xr:uid="{00000000-0005-0000-0000-00003D240000}"/>
    <cellStyle name="40% - Accent1 15 3" xfId="11035" xr:uid="{00000000-0005-0000-0000-00003E240000}"/>
    <cellStyle name="40% - Accent1 15 3 2" xfId="22323" xr:uid="{00000000-0005-0000-0000-00003F240000}"/>
    <cellStyle name="40% - Accent1 15 4" xfId="9041" xr:uid="{00000000-0005-0000-0000-000040240000}"/>
    <cellStyle name="40% - Accent1 15 4 2" xfId="20329" xr:uid="{00000000-0005-0000-0000-000041240000}"/>
    <cellStyle name="40% - Accent1 15 5" xfId="7047" xr:uid="{00000000-0005-0000-0000-000042240000}"/>
    <cellStyle name="40% - Accent1 15 5 2" xfId="18335" xr:uid="{00000000-0005-0000-0000-000043240000}"/>
    <cellStyle name="40% - Accent1 15 6" xfId="5053" xr:uid="{00000000-0005-0000-0000-000044240000}"/>
    <cellStyle name="40% - Accent1 15 6 2" xfId="16341" xr:uid="{00000000-0005-0000-0000-000045240000}"/>
    <cellStyle name="40% - Accent1 15 7" xfId="14347" xr:uid="{00000000-0005-0000-0000-000046240000}"/>
    <cellStyle name="40% - Accent1 15 8" xfId="13033" xr:uid="{00000000-0005-0000-0000-000047240000}"/>
    <cellStyle name="40% - Accent1 16" xfId="1098" xr:uid="{00000000-0005-0000-0000-000048240000}"/>
    <cellStyle name="40% - Accent1 16 2" xfId="4054" xr:uid="{00000000-0005-0000-0000-000049240000}"/>
    <cellStyle name="40% - Accent1 16 2 2" xfId="12033" xr:uid="{00000000-0005-0000-0000-00004A240000}"/>
    <cellStyle name="40% - Accent1 16 2 2 2" xfId="23321" xr:uid="{00000000-0005-0000-0000-00004B240000}"/>
    <cellStyle name="40% - Accent1 16 2 3" xfId="10039" xr:uid="{00000000-0005-0000-0000-00004C240000}"/>
    <cellStyle name="40% - Accent1 16 2 3 2" xfId="21327" xr:uid="{00000000-0005-0000-0000-00004D240000}"/>
    <cellStyle name="40% - Accent1 16 2 4" xfId="8045" xr:uid="{00000000-0005-0000-0000-00004E240000}"/>
    <cellStyle name="40% - Accent1 16 2 4 2" xfId="19333" xr:uid="{00000000-0005-0000-0000-00004F240000}"/>
    <cellStyle name="40% - Accent1 16 2 5" xfId="6051" xr:uid="{00000000-0005-0000-0000-000050240000}"/>
    <cellStyle name="40% - Accent1 16 2 5 2" xfId="17339" xr:uid="{00000000-0005-0000-0000-000051240000}"/>
    <cellStyle name="40% - Accent1 16 2 6" xfId="15345" xr:uid="{00000000-0005-0000-0000-000052240000}"/>
    <cellStyle name="40% - Accent1 16 3" xfId="11036" xr:uid="{00000000-0005-0000-0000-000053240000}"/>
    <cellStyle name="40% - Accent1 16 3 2" xfId="22324" xr:uid="{00000000-0005-0000-0000-000054240000}"/>
    <cellStyle name="40% - Accent1 16 4" xfId="9042" xr:uid="{00000000-0005-0000-0000-000055240000}"/>
    <cellStyle name="40% - Accent1 16 4 2" xfId="20330" xr:uid="{00000000-0005-0000-0000-000056240000}"/>
    <cellStyle name="40% - Accent1 16 5" xfId="7048" xr:uid="{00000000-0005-0000-0000-000057240000}"/>
    <cellStyle name="40% - Accent1 16 5 2" xfId="18336" xr:uid="{00000000-0005-0000-0000-000058240000}"/>
    <cellStyle name="40% - Accent1 16 6" xfId="5054" xr:uid="{00000000-0005-0000-0000-000059240000}"/>
    <cellStyle name="40% - Accent1 16 6 2" xfId="16342" xr:uid="{00000000-0005-0000-0000-00005A240000}"/>
    <cellStyle name="40% - Accent1 16 7" xfId="14348" xr:uid="{00000000-0005-0000-0000-00005B240000}"/>
    <cellStyle name="40% - Accent1 16 8" xfId="13034" xr:uid="{00000000-0005-0000-0000-00005C240000}"/>
    <cellStyle name="40% - Accent1 17" xfId="1099" xr:uid="{00000000-0005-0000-0000-00005D240000}"/>
    <cellStyle name="40% - Accent1 17 2" xfId="4055" xr:uid="{00000000-0005-0000-0000-00005E240000}"/>
    <cellStyle name="40% - Accent1 17 2 2" xfId="12034" xr:uid="{00000000-0005-0000-0000-00005F240000}"/>
    <cellStyle name="40% - Accent1 17 2 2 2" xfId="23322" xr:uid="{00000000-0005-0000-0000-000060240000}"/>
    <cellStyle name="40% - Accent1 17 2 3" xfId="10040" xr:uid="{00000000-0005-0000-0000-000061240000}"/>
    <cellStyle name="40% - Accent1 17 2 3 2" xfId="21328" xr:uid="{00000000-0005-0000-0000-000062240000}"/>
    <cellStyle name="40% - Accent1 17 2 4" xfId="8046" xr:uid="{00000000-0005-0000-0000-000063240000}"/>
    <cellStyle name="40% - Accent1 17 2 4 2" xfId="19334" xr:uid="{00000000-0005-0000-0000-000064240000}"/>
    <cellStyle name="40% - Accent1 17 2 5" xfId="6052" xr:uid="{00000000-0005-0000-0000-000065240000}"/>
    <cellStyle name="40% - Accent1 17 2 5 2" xfId="17340" xr:uid="{00000000-0005-0000-0000-000066240000}"/>
    <cellStyle name="40% - Accent1 17 2 6" xfId="15346" xr:uid="{00000000-0005-0000-0000-000067240000}"/>
    <cellStyle name="40% - Accent1 17 3" xfId="11037" xr:uid="{00000000-0005-0000-0000-000068240000}"/>
    <cellStyle name="40% - Accent1 17 3 2" xfId="22325" xr:uid="{00000000-0005-0000-0000-000069240000}"/>
    <cellStyle name="40% - Accent1 17 4" xfId="9043" xr:uid="{00000000-0005-0000-0000-00006A240000}"/>
    <cellStyle name="40% - Accent1 17 4 2" xfId="20331" xr:uid="{00000000-0005-0000-0000-00006B240000}"/>
    <cellStyle name="40% - Accent1 17 5" xfId="7049" xr:uid="{00000000-0005-0000-0000-00006C240000}"/>
    <cellStyle name="40% - Accent1 17 5 2" xfId="18337" xr:uid="{00000000-0005-0000-0000-00006D240000}"/>
    <cellStyle name="40% - Accent1 17 6" xfId="5055" xr:uid="{00000000-0005-0000-0000-00006E240000}"/>
    <cellStyle name="40% - Accent1 17 6 2" xfId="16343" xr:uid="{00000000-0005-0000-0000-00006F240000}"/>
    <cellStyle name="40% - Accent1 17 7" xfId="14349" xr:uid="{00000000-0005-0000-0000-000070240000}"/>
    <cellStyle name="40% - Accent1 17 8" xfId="13035" xr:uid="{00000000-0005-0000-0000-000071240000}"/>
    <cellStyle name="40% - Accent1 18" xfId="1100" xr:uid="{00000000-0005-0000-0000-000072240000}"/>
    <cellStyle name="40% - Accent1 18 2" xfId="4056" xr:uid="{00000000-0005-0000-0000-000073240000}"/>
    <cellStyle name="40% - Accent1 18 2 2" xfId="12035" xr:uid="{00000000-0005-0000-0000-000074240000}"/>
    <cellStyle name="40% - Accent1 18 2 2 2" xfId="23323" xr:uid="{00000000-0005-0000-0000-000075240000}"/>
    <cellStyle name="40% - Accent1 18 2 3" xfId="10041" xr:uid="{00000000-0005-0000-0000-000076240000}"/>
    <cellStyle name="40% - Accent1 18 2 3 2" xfId="21329" xr:uid="{00000000-0005-0000-0000-000077240000}"/>
    <cellStyle name="40% - Accent1 18 2 4" xfId="8047" xr:uid="{00000000-0005-0000-0000-000078240000}"/>
    <cellStyle name="40% - Accent1 18 2 4 2" xfId="19335" xr:uid="{00000000-0005-0000-0000-000079240000}"/>
    <cellStyle name="40% - Accent1 18 2 5" xfId="6053" xr:uid="{00000000-0005-0000-0000-00007A240000}"/>
    <cellStyle name="40% - Accent1 18 2 5 2" xfId="17341" xr:uid="{00000000-0005-0000-0000-00007B240000}"/>
    <cellStyle name="40% - Accent1 18 2 6" xfId="15347" xr:uid="{00000000-0005-0000-0000-00007C240000}"/>
    <cellStyle name="40% - Accent1 18 3" xfId="11038" xr:uid="{00000000-0005-0000-0000-00007D240000}"/>
    <cellStyle name="40% - Accent1 18 3 2" xfId="22326" xr:uid="{00000000-0005-0000-0000-00007E240000}"/>
    <cellStyle name="40% - Accent1 18 4" xfId="9044" xr:uid="{00000000-0005-0000-0000-00007F240000}"/>
    <cellStyle name="40% - Accent1 18 4 2" xfId="20332" xr:uid="{00000000-0005-0000-0000-000080240000}"/>
    <cellStyle name="40% - Accent1 18 5" xfId="7050" xr:uid="{00000000-0005-0000-0000-000081240000}"/>
    <cellStyle name="40% - Accent1 18 5 2" xfId="18338" xr:uid="{00000000-0005-0000-0000-000082240000}"/>
    <cellStyle name="40% - Accent1 18 6" xfId="5056" xr:uid="{00000000-0005-0000-0000-000083240000}"/>
    <cellStyle name="40% - Accent1 18 6 2" xfId="16344" xr:uid="{00000000-0005-0000-0000-000084240000}"/>
    <cellStyle name="40% - Accent1 18 7" xfId="14350" xr:uid="{00000000-0005-0000-0000-000085240000}"/>
    <cellStyle name="40% - Accent1 18 8" xfId="13036" xr:uid="{00000000-0005-0000-0000-000086240000}"/>
    <cellStyle name="40% - Accent1 19" xfId="1101" xr:uid="{00000000-0005-0000-0000-000087240000}"/>
    <cellStyle name="40% - Accent1 19 2" xfId="4057" xr:uid="{00000000-0005-0000-0000-000088240000}"/>
    <cellStyle name="40% - Accent1 19 2 2" xfId="12036" xr:uid="{00000000-0005-0000-0000-000089240000}"/>
    <cellStyle name="40% - Accent1 19 2 2 2" xfId="23324" xr:uid="{00000000-0005-0000-0000-00008A240000}"/>
    <cellStyle name="40% - Accent1 19 2 3" xfId="10042" xr:uid="{00000000-0005-0000-0000-00008B240000}"/>
    <cellStyle name="40% - Accent1 19 2 3 2" xfId="21330" xr:uid="{00000000-0005-0000-0000-00008C240000}"/>
    <cellStyle name="40% - Accent1 19 2 4" xfId="8048" xr:uid="{00000000-0005-0000-0000-00008D240000}"/>
    <cellStyle name="40% - Accent1 19 2 4 2" xfId="19336" xr:uid="{00000000-0005-0000-0000-00008E240000}"/>
    <cellStyle name="40% - Accent1 19 2 5" xfId="6054" xr:uid="{00000000-0005-0000-0000-00008F240000}"/>
    <cellStyle name="40% - Accent1 19 2 5 2" xfId="17342" xr:uid="{00000000-0005-0000-0000-000090240000}"/>
    <cellStyle name="40% - Accent1 19 2 6" xfId="15348" xr:uid="{00000000-0005-0000-0000-000091240000}"/>
    <cellStyle name="40% - Accent1 19 3" xfId="11039" xr:uid="{00000000-0005-0000-0000-000092240000}"/>
    <cellStyle name="40% - Accent1 19 3 2" xfId="22327" xr:uid="{00000000-0005-0000-0000-000093240000}"/>
    <cellStyle name="40% - Accent1 19 4" xfId="9045" xr:uid="{00000000-0005-0000-0000-000094240000}"/>
    <cellStyle name="40% - Accent1 19 4 2" xfId="20333" xr:uid="{00000000-0005-0000-0000-000095240000}"/>
    <cellStyle name="40% - Accent1 19 5" xfId="7051" xr:uid="{00000000-0005-0000-0000-000096240000}"/>
    <cellStyle name="40% - Accent1 19 5 2" xfId="18339" xr:uid="{00000000-0005-0000-0000-000097240000}"/>
    <cellStyle name="40% - Accent1 19 6" xfId="5057" xr:uid="{00000000-0005-0000-0000-000098240000}"/>
    <cellStyle name="40% - Accent1 19 6 2" xfId="16345" xr:uid="{00000000-0005-0000-0000-000099240000}"/>
    <cellStyle name="40% - Accent1 19 7" xfId="14351" xr:uid="{00000000-0005-0000-0000-00009A240000}"/>
    <cellStyle name="40% - Accent1 19 8" xfId="13037" xr:uid="{00000000-0005-0000-0000-00009B240000}"/>
    <cellStyle name="40% - Accent1 2" xfId="1102" xr:uid="{00000000-0005-0000-0000-00009C240000}"/>
    <cellStyle name="40% - Accent1 2 10" xfId="24595" xr:uid="{00000000-0005-0000-0000-00009D240000}"/>
    <cellStyle name="40% - Accent1 2 11" xfId="24985" xr:uid="{00000000-0005-0000-0000-00009E240000}"/>
    <cellStyle name="40% - Accent1 2 2" xfId="4058" xr:uid="{00000000-0005-0000-0000-00009F240000}"/>
    <cellStyle name="40% - Accent1 2 2 2" xfId="12037" xr:uid="{00000000-0005-0000-0000-0000A0240000}"/>
    <cellStyle name="40% - Accent1 2 2 2 2" xfId="23325" xr:uid="{00000000-0005-0000-0000-0000A1240000}"/>
    <cellStyle name="40% - Accent1 2 2 3" xfId="10043" xr:uid="{00000000-0005-0000-0000-0000A2240000}"/>
    <cellStyle name="40% - Accent1 2 2 3 2" xfId="21331" xr:uid="{00000000-0005-0000-0000-0000A3240000}"/>
    <cellStyle name="40% - Accent1 2 2 4" xfId="8049" xr:uid="{00000000-0005-0000-0000-0000A4240000}"/>
    <cellStyle name="40% - Accent1 2 2 4 2" xfId="19337" xr:uid="{00000000-0005-0000-0000-0000A5240000}"/>
    <cellStyle name="40% - Accent1 2 2 5" xfId="6055" xr:uid="{00000000-0005-0000-0000-0000A6240000}"/>
    <cellStyle name="40% - Accent1 2 2 5 2" xfId="17343" xr:uid="{00000000-0005-0000-0000-0000A7240000}"/>
    <cellStyle name="40% - Accent1 2 2 6" xfId="15349" xr:uid="{00000000-0005-0000-0000-0000A8240000}"/>
    <cellStyle name="40% - Accent1 2 2 7" xfId="24356" xr:uid="{00000000-0005-0000-0000-0000A9240000}"/>
    <cellStyle name="40% - Accent1 2 2 8" xfId="24820" xr:uid="{00000000-0005-0000-0000-0000AA240000}"/>
    <cellStyle name="40% - Accent1 2 2 9" xfId="25187" xr:uid="{00000000-0005-0000-0000-0000AB240000}"/>
    <cellStyle name="40% - Accent1 2 3" xfId="11040" xr:uid="{00000000-0005-0000-0000-0000AC240000}"/>
    <cellStyle name="40% - Accent1 2 3 2" xfId="22328" xr:uid="{00000000-0005-0000-0000-0000AD240000}"/>
    <cellStyle name="40% - Accent1 2 4" xfId="9046" xr:uid="{00000000-0005-0000-0000-0000AE240000}"/>
    <cellStyle name="40% - Accent1 2 4 2" xfId="20334" xr:uid="{00000000-0005-0000-0000-0000AF240000}"/>
    <cellStyle name="40% - Accent1 2 5" xfId="7052" xr:uid="{00000000-0005-0000-0000-0000B0240000}"/>
    <cellStyle name="40% - Accent1 2 5 2" xfId="18340" xr:uid="{00000000-0005-0000-0000-0000B1240000}"/>
    <cellStyle name="40% - Accent1 2 6" xfId="5058" xr:uid="{00000000-0005-0000-0000-0000B2240000}"/>
    <cellStyle name="40% - Accent1 2 6 2" xfId="16346" xr:uid="{00000000-0005-0000-0000-0000B3240000}"/>
    <cellStyle name="40% - Accent1 2 7" xfId="14352" xr:uid="{00000000-0005-0000-0000-0000B4240000}"/>
    <cellStyle name="40% - Accent1 2 8" xfId="13038" xr:uid="{00000000-0005-0000-0000-0000B5240000}"/>
    <cellStyle name="40% - Accent1 2 9" xfId="23968" xr:uid="{00000000-0005-0000-0000-0000B6240000}"/>
    <cellStyle name="40% - Accent1 20" xfId="1103" xr:uid="{00000000-0005-0000-0000-0000B7240000}"/>
    <cellStyle name="40% - Accent1 20 2" xfId="4059" xr:uid="{00000000-0005-0000-0000-0000B8240000}"/>
    <cellStyle name="40% - Accent1 20 2 2" xfId="12038" xr:uid="{00000000-0005-0000-0000-0000B9240000}"/>
    <cellStyle name="40% - Accent1 20 2 2 2" xfId="23326" xr:uid="{00000000-0005-0000-0000-0000BA240000}"/>
    <cellStyle name="40% - Accent1 20 2 3" xfId="10044" xr:uid="{00000000-0005-0000-0000-0000BB240000}"/>
    <cellStyle name="40% - Accent1 20 2 3 2" xfId="21332" xr:uid="{00000000-0005-0000-0000-0000BC240000}"/>
    <cellStyle name="40% - Accent1 20 2 4" xfId="8050" xr:uid="{00000000-0005-0000-0000-0000BD240000}"/>
    <cellStyle name="40% - Accent1 20 2 4 2" xfId="19338" xr:uid="{00000000-0005-0000-0000-0000BE240000}"/>
    <cellStyle name="40% - Accent1 20 2 5" xfId="6056" xr:uid="{00000000-0005-0000-0000-0000BF240000}"/>
    <cellStyle name="40% - Accent1 20 2 5 2" xfId="17344" xr:uid="{00000000-0005-0000-0000-0000C0240000}"/>
    <cellStyle name="40% - Accent1 20 2 6" xfId="15350" xr:uid="{00000000-0005-0000-0000-0000C1240000}"/>
    <cellStyle name="40% - Accent1 20 3" xfId="11041" xr:uid="{00000000-0005-0000-0000-0000C2240000}"/>
    <cellStyle name="40% - Accent1 20 3 2" xfId="22329" xr:uid="{00000000-0005-0000-0000-0000C3240000}"/>
    <cellStyle name="40% - Accent1 20 4" xfId="9047" xr:uid="{00000000-0005-0000-0000-0000C4240000}"/>
    <cellStyle name="40% - Accent1 20 4 2" xfId="20335" xr:uid="{00000000-0005-0000-0000-0000C5240000}"/>
    <cellStyle name="40% - Accent1 20 5" xfId="7053" xr:uid="{00000000-0005-0000-0000-0000C6240000}"/>
    <cellStyle name="40% - Accent1 20 5 2" xfId="18341" xr:uid="{00000000-0005-0000-0000-0000C7240000}"/>
    <cellStyle name="40% - Accent1 20 6" xfId="5059" xr:uid="{00000000-0005-0000-0000-0000C8240000}"/>
    <cellStyle name="40% - Accent1 20 6 2" xfId="16347" xr:uid="{00000000-0005-0000-0000-0000C9240000}"/>
    <cellStyle name="40% - Accent1 20 7" xfId="14353" xr:uid="{00000000-0005-0000-0000-0000CA240000}"/>
    <cellStyle name="40% - Accent1 20 8" xfId="13039" xr:uid="{00000000-0005-0000-0000-0000CB240000}"/>
    <cellStyle name="40% - Accent1 21" xfId="1104" xr:uid="{00000000-0005-0000-0000-0000CC240000}"/>
    <cellStyle name="40% - Accent1 21 2" xfId="4060" xr:uid="{00000000-0005-0000-0000-0000CD240000}"/>
    <cellStyle name="40% - Accent1 21 2 2" xfId="12039" xr:uid="{00000000-0005-0000-0000-0000CE240000}"/>
    <cellStyle name="40% - Accent1 21 2 2 2" xfId="23327" xr:uid="{00000000-0005-0000-0000-0000CF240000}"/>
    <cellStyle name="40% - Accent1 21 2 3" xfId="10045" xr:uid="{00000000-0005-0000-0000-0000D0240000}"/>
    <cellStyle name="40% - Accent1 21 2 3 2" xfId="21333" xr:uid="{00000000-0005-0000-0000-0000D1240000}"/>
    <cellStyle name="40% - Accent1 21 2 4" xfId="8051" xr:uid="{00000000-0005-0000-0000-0000D2240000}"/>
    <cellStyle name="40% - Accent1 21 2 4 2" xfId="19339" xr:uid="{00000000-0005-0000-0000-0000D3240000}"/>
    <cellStyle name="40% - Accent1 21 2 5" xfId="6057" xr:uid="{00000000-0005-0000-0000-0000D4240000}"/>
    <cellStyle name="40% - Accent1 21 2 5 2" xfId="17345" xr:uid="{00000000-0005-0000-0000-0000D5240000}"/>
    <cellStyle name="40% - Accent1 21 2 6" xfId="15351" xr:uid="{00000000-0005-0000-0000-0000D6240000}"/>
    <cellStyle name="40% - Accent1 21 3" xfId="11042" xr:uid="{00000000-0005-0000-0000-0000D7240000}"/>
    <cellStyle name="40% - Accent1 21 3 2" xfId="22330" xr:uid="{00000000-0005-0000-0000-0000D8240000}"/>
    <cellStyle name="40% - Accent1 21 4" xfId="9048" xr:uid="{00000000-0005-0000-0000-0000D9240000}"/>
    <cellStyle name="40% - Accent1 21 4 2" xfId="20336" xr:uid="{00000000-0005-0000-0000-0000DA240000}"/>
    <cellStyle name="40% - Accent1 21 5" xfId="7054" xr:uid="{00000000-0005-0000-0000-0000DB240000}"/>
    <cellStyle name="40% - Accent1 21 5 2" xfId="18342" xr:uid="{00000000-0005-0000-0000-0000DC240000}"/>
    <cellStyle name="40% - Accent1 21 6" xfId="5060" xr:uid="{00000000-0005-0000-0000-0000DD240000}"/>
    <cellStyle name="40% - Accent1 21 6 2" xfId="16348" xr:uid="{00000000-0005-0000-0000-0000DE240000}"/>
    <cellStyle name="40% - Accent1 21 7" xfId="14354" xr:uid="{00000000-0005-0000-0000-0000DF240000}"/>
    <cellStyle name="40% - Accent1 21 8" xfId="13040" xr:uid="{00000000-0005-0000-0000-0000E0240000}"/>
    <cellStyle name="40% - Accent1 22" xfId="1105" xr:uid="{00000000-0005-0000-0000-0000E1240000}"/>
    <cellStyle name="40% - Accent1 22 2" xfId="4061" xr:uid="{00000000-0005-0000-0000-0000E2240000}"/>
    <cellStyle name="40% - Accent1 22 2 2" xfId="12040" xr:uid="{00000000-0005-0000-0000-0000E3240000}"/>
    <cellStyle name="40% - Accent1 22 2 2 2" xfId="23328" xr:uid="{00000000-0005-0000-0000-0000E4240000}"/>
    <cellStyle name="40% - Accent1 22 2 3" xfId="10046" xr:uid="{00000000-0005-0000-0000-0000E5240000}"/>
    <cellStyle name="40% - Accent1 22 2 3 2" xfId="21334" xr:uid="{00000000-0005-0000-0000-0000E6240000}"/>
    <cellStyle name="40% - Accent1 22 2 4" xfId="8052" xr:uid="{00000000-0005-0000-0000-0000E7240000}"/>
    <cellStyle name="40% - Accent1 22 2 4 2" xfId="19340" xr:uid="{00000000-0005-0000-0000-0000E8240000}"/>
    <cellStyle name="40% - Accent1 22 2 5" xfId="6058" xr:uid="{00000000-0005-0000-0000-0000E9240000}"/>
    <cellStyle name="40% - Accent1 22 2 5 2" xfId="17346" xr:uid="{00000000-0005-0000-0000-0000EA240000}"/>
    <cellStyle name="40% - Accent1 22 2 6" xfId="15352" xr:uid="{00000000-0005-0000-0000-0000EB240000}"/>
    <cellStyle name="40% - Accent1 22 3" xfId="11043" xr:uid="{00000000-0005-0000-0000-0000EC240000}"/>
    <cellStyle name="40% - Accent1 22 3 2" xfId="22331" xr:uid="{00000000-0005-0000-0000-0000ED240000}"/>
    <cellStyle name="40% - Accent1 22 4" xfId="9049" xr:uid="{00000000-0005-0000-0000-0000EE240000}"/>
    <cellStyle name="40% - Accent1 22 4 2" xfId="20337" xr:uid="{00000000-0005-0000-0000-0000EF240000}"/>
    <cellStyle name="40% - Accent1 22 5" xfId="7055" xr:uid="{00000000-0005-0000-0000-0000F0240000}"/>
    <cellStyle name="40% - Accent1 22 5 2" xfId="18343" xr:uid="{00000000-0005-0000-0000-0000F1240000}"/>
    <cellStyle name="40% - Accent1 22 6" xfId="5061" xr:uid="{00000000-0005-0000-0000-0000F2240000}"/>
    <cellStyle name="40% - Accent1 22 6 2" xfId="16349" xr:uid="{00000000-0005-0000-0000-0000F3240000}"/>
    <cellStyle name="40% - Accent1 22 7" xfId="14355" xr:uid="{00000000-0005-0000-0000-0000F4240000}"/>
    <cellStyle name="40% - Accent1 22 8" xfId="13041" xr:uid="{00000000-0005-0000-0000-0000F5240000}"/>
    <cellStyle name="40% - Accent1 23" xfId="1106" xr:uid="{00000000-0005-0000-0000-0000F6240000}"/>
    <cellStyle name="40% - Accent1 23 2" xfId="4062" xr:uid="{00000000-0005-0000-0000-0000F7240000}"/>
    <cellStyle name="40% - Accent1 23 2 2" xfId="12041" xr:uid="{00000000-0005-0000-0000-0000F8240000}"/>
    <cellStyle name="40% - Accent1 23 2 2 2" xfId="23329" xr:uid="{00000000-0005-0000-0000-0000F9240000}"/>
    <cellStyle name="40% - Accent1 23 2 3" xfId="10047" xr:uid="{00000000-0005-0000-0000-0000FA240000}"/>
    <cellStyle name="40% - Accent1 23 2 3 2" xfId="21335" xr:uid="{00000000-0005-0000-0000-0000FB240000}"/>
    <cellStyle name="40% - Accent1 23 2 4" xfId="8053" xr:uid="{00000000-0005-0000-0000-0000FC240000}"/>
    <cellStyle name="40% - Accent1 23 2 4 2" xfId="19341" xr:uid="{00000000-0005-0000-0000-0000FD240000}"/>
    <cellStyle name="40% - Accent1 23 2 5" xfId="6059" xr:uid="{00000000-0005-0000-0000-0000FE240000}"/>
    <cellStyle name="40% - Accent1 23 2 5 2" xfId="17347" xr:uid="{00000000-0005-0000-0000-0000FF240000}"/>
    <cellStyle name="40% - Accent1 23 2 6" xfId="15353" xr:uid="{00000000-0005-0000-0000-000000250000}"/>
    <cellStyle name="40% - Accent1 23 3" xfId="11044" xr:uid="{00000000-0005-0000-0000-000001250000}"/>
    <cellStyle name="40% - Accent1 23 3 2" xfId="22332" xr:uid="{00000000-0005-0000-0000-000002250000}"/>
    <cellStyle name="40% - Accent1 23 4" xfId="9050" xr:uid="{00000000-0005-0000-0000-000003250000}"/>
    <cellStyle name="40% - Accent1 23 4 2" xfId="20338" xr:uid="{00000000-0005-0000-0000-000004250000}"/>
    <cellStyle name="40% - Accent1 23 5" xfId="7056" xr:uid="{00000000-0005-0000-0000-000005250000}"/>
    <cellStyle name="40% - Accent1 23 5 2" xfId="18344" xr:uid="{00000000-0005-0000-0000-000006250000}"/>
    <cellStyle name="40% - Accent1 23 6" xfId="5062" xr:uid="{00000000-0005-0000-0000-000007250000}"/>
    <cellStyle name="40% - Accent1 23 6 2" xfId="16350" xr:uid="{00000000-0005-0000-0000-000008250000}"/>
    <cellStyle name="40% - Accent1 23 7" xfId="14356" xr:uid="{00000000-0005-0000-0000-000009250000}"/>
    <cellStyle name="40% - Accent1 23 8" xfId="13042" xr:uid="{00000000-0005-0000-0000-00000A250000}"/>
    <cellStyle name="40% - Accent1 24" xfId="1107" xr:uid="{00000000-0005-0000-0000-00000B250000}"/>
    <cellStyle name="40% - Accent1 24 2" xfId="4063" xr:uid="{00000000-0005-0000-0000-00000C250000}"/>
    <cellStyle name="40% - Accent1 24 2 2" xfId="12042" xr:uid="{00000000-0005-0000-0000-00000D250000}"/>
    <cellStyle name="40% - Accent1 24 2 2 2" xfId="23330" xr:uid="{00000000-0005-0000-0000-00000E250000}"/>
    <cellStyle name="40% - Accent1 24 2 3" xfId="10048" xr:uid="{00000000-0005-0000-0000-00000F250000}"/>
    <cellStyle name="40% - Accent1 24 2 3 2" xfId="21336" xr:uid="{00000000-0005-0000-0000-000010250000}"/>
    <cellStyle name="40% - Accent1 24 2 4" xfId="8054" xr:uid="{00000000-0005-0000-0000-000011250000}"/>
    <cellStyle name="40% - Accent1 24 2 4 2" xfId="19342" xr:uid="{00000000-0005-0000-0000-000012250000}"/>
    <cellStyle name="40% - Accent1 24 2 5" xfId="6060" xr:uid="{00000000-0005-0000-0000-000013250000}"/>
    <cellStyle name="40% - Accent1 24 2 5 2" xfId="17348" xr:uid="{00000000-0005-0000-0000-000014250000}"/>
    <cellStyle name="40% - Accent1 24 2 6" xfId="15354" xr:uid="{00000000-0005-0000-0000-000015250000}"/>
    <cellStyle name="40% - Accent1 24 3" xfId="11045" xr:uid="{00000000-0005-0000-0000-000016250000}"/>
    <cellStyle name="40% - Accent1 24 3 2" xfId="22333" xr:uid="{00000000-0005-0000-0000-000017250000}"/>
    <cellStyle name="40% - Accent1 24 4" xfId="9051" xr:uid="{00000000-0005-0000-0000-000018250000}"/>
    <cellStyle name="40% - Accent1 24 4 2" xfId="20339" xr:uid="{00000000-0005-0000-0000-000019250000}"/>
    <cellStyle name="40% - Accent1 24 5" xfId="7057" xr:uid="{00000000-0005-0000-0000-00001A250000}"/>
    <cellStyle name="40% - Accent1 24 5 2" xfId="18345" xr:uid="{00000000-0005-0000-0000-00001B250000}"/>
    <cellStyle name="40% - Accent1 24 6" xfId="5063" xr:uid="{00000000-0005-0000-0000-00001C250000}"/>
    <cellStyle name="40% - Accent1 24 6 2" xfId="16351" xr:uid="{00000000-0005-0000-0000-00001D250000}"/>
    <cellStyle name="40% - Accent1 24 7" xfId="14357" xr:uid="{00000000-0005-0000-0000-00001E250000}"/>
    <cellStyle name="40% - Accent1 24 8" xfId="13043" xr:uid="{00000000-0005-0000-0000-00001F250000}"/>
    <cellStyle name="40% - Accent1 25" xfId="1108" xr:uid="{00000000-0005-0000-0000-000020250000}"/>
    <cellStyle name="40% - Accent1 25 2" xfId="4064" xr:uid="{00000000-0005-0000-0000-000021250000}"/>
    <cellStyle name="40% - Accent1 25 2 2" xfId="12043" xr:uid="{00000000-0005-0000-0000-000022250000}"/>
    <cellStyle name="40% - Accent1 25 2 2 2" xfId="23331" xr:uid="{00000000-0005-0000-0000-000023250000}"/>
    <cellStyle name="40% - Accent1 25 2 3" xfId="10049" xr:uid="{00000000-0005-0000-0000-000024250000}"/>
    <cellStyle name="40% - Accent1 25 2 3 2" xfId="21337" xr:uid="{00000000-0005-0000-0000-000025250000}"/>
    <cellStyle name="40% - Accent1 25 2 4" xfId="8055" xr:uid="{00000000-0005-0000-0000-000026250000}"/>
    <cellStyle name="40% - Accent1 25 2 4 2" xfId="19343" xr:uid="{00000000-0005-0000-0000-000027250000}"/>
    <cellStyle name="40% - Accent1 25 2 5" xfId="6061" xr:uid="{00000000-0005-0000-0000-000028250000}"/>
    <cellStyle name="40% - Accent1 25 2 5 2" xfId="17349" xr:uid="{00000000-0005-0000-0000-000029250000}"/>
    <cellStyle name="40% - Accent1 25 2 6" xfId="15355" xr:uid="{00000000-0005-0000-0000-00002A250000}"/>
    <cellStyle name="40% - Accent1 25 3" xfId="11046" xr:uid="{00000000-0005-0000-0000-00002B250000}"/>
    <cellStyle name="40% - Accent1 25 3 2" xfId="22334" xr:uid="{00000000-0005-0000-0000-00002C250000}"/>
    <cellStyle name="40% - Accent1 25 4" xfId="9052" xr:uid="{00000000-0005-0000-0000-00002D250000}"/>
    <cellStyle name="40% - Accent1 25 4 2" xfId="20340" xr:uid="{00000000-0005-0000-0000-00002E250000}"/>
    <cellStyle name="40% - Accent1 25 5" xfId="7058" xr:uid="{00000000-0005-0000-0000-00002F250000}"/>
    <cellStyle name="40% - Accent1 25 5 2" xfId="18346" xr:uid="{00000000-0005-0000-0000-000030250000}"/>
    <cellStyle name="40% - Accent1 25 6" xfId="5064" xr:uid="{00000000-0005-0000-0000-000031250000}"/>
    <cellStyle name="40% - Accent1 25 6 2" xfId="16352" xr:uid="{00000000-0005-0000-0000-000032250000}"/>
    <cellStyle name="40% - Accent1 25 7" xfId="14358" xr:uid="{00000000-0005-0000-0000-000033250000}"/>
    <cellStyle name="40% - Accent1 25 8" xfId="13044" xr:uid="{00000000-0005-0000-0000-000034250000}"/>
    <cellStyle name="40% - Accent1 26" xfId="1109" xr:uid="{00000000-0005-0000-0000-000035250000}"/>
    <cellStyle name="40% - Accent1 26 2" xfId="4065" xr:uid="{00000000-0005-0000-0000-000036250000}"/>
    <cellStyle name="40% - Accent1 26 2 2" xfId="12044" xr:uid="{00000000-0005-0000-0000-000037250000}"/>
    <cellStyle name="40% - Accent1 26 2 2 2" xfId="23332" xr:uid="{00000000-0005-0000-0000-000038250000}"/>
    <cellStyle name="40% - Accent1 26 2 3" xfId="10050" xr:uid="{00000000-0005-0000-0000-000039250000}"/>
    <cellStyle name="40% - Accent1 26 2 3 2" xfId="21338" xr:uid="{00000000-0005-0000-0000-00003A250000}"/>
    <cellStyle name="40% - Accent1 26 2 4" xfId="8056" xr:uid="{00000000-0005-0000-0000-00003B250000}"/>
    <cellStyle name="40% - Accent1 26 2 4 2" xfId="19344" xr:uid="{00000000-0005-0000-0000-00003C250000}"/>
    <cellStyle name="40% - Accent1 26 2 5" xfId="6062" xr:uid="{00000000-0005-0000-0000-00003D250000}"/>
    <cellStyle name="40% - Accent1 26 2 5 2" xfId="17350" xr:uid="{00000000-0005-0000-0000-00003E250000}"/>
    <cellStyle name="40% - Accent1 26 2 6" xfId="15356" xr:uid="{00000000-0005-0000-0000-00003F250000}"/>
    <cellStyle name="40% - Accent1 26 3" xfId="11047" xr:uid="{00000000-0005-0000-0000-000040250000}"/>
    <cellStyle name="40% - Accent1 26 3 2" xfId="22335" xr:uid="{00000000-0005-0000-0000-000041250000}"/>
    <cellStyle name="40% - Accent1 26 4" xfId="9053" xr:uid="{00000000-0005-0000-0000-000042250000}"/>
    <cellStyle name="40% - Accent1 26 4 2" xfId="20341" xr:uid="{00000000-0005-0000-0000-000043250000}"/>
    <cellStyle name="40% - Accent1 26 5" xfId="7059" xr:uid="{00000000-0005-0000-0000-000044250000}"/>
    <cellStyle name="40% - Accent1 26 5 2" xfId="18347" xr:uid="{00000000-0005-0000-0000-000045250000}"/>
    <cellStyle name="40% - Accent1 26 6" xfId="5065" xr:uid="{00000000-0005-0000-0000-000046250000}"/>
    <cellStyle name="40% - Accent1 26 6 2" xfId="16353" xr:uid="{00000000-0005-0000-0000-000047250000}"/>
    <cellStyle name="40% - Accent1 26 7" xfId="14359" xr:uid="{00000000-0005-0000-0000-000048250000}"/>
    <cellStyle name="40% - Accent1 26 8" xfId="13045" xr:uid="{00000000-0005-0000-0000-000049250000}"/>
    <cellStyle name="40% - Accent1 27" xfId="1110" xr:uid="{00000000-0005-0000-0000-00004A250000}"/>
    <cellStyle name="40% - Accent1 27 2" xfId="4066" xr:uid="{00000000-0005-0000-0000-00004B250000}"/>
    <cellStyle name="40% - Accent1 27 2 2" xfId="12045" xr:uid="{00000000-0005-0000-0000-00004C250000}"/>
    <cellStyle name="40% - Accent1 27 2 2 2" xfId="23333" xr:uid="{00000000-0005-0000-0000-00004D250000}"/>
    <cellStyle name="40% - Accent1 27 2 3" xfId="10051" xr:uid="{00000000-0005-0000-0000-00004E250000}"/>
    <cellStyle name="40% - Accent1 27 2 3 2" xfId="21339" xr:uid="{00000000-0005-0000-0000-00004F250000}"/>
    <cellStyle name="40% - Accent1 27 2 4" xfId="8057" xr:uid="{00000000-0005-0000-0000-000050250000}"/>
    <cellStyle name="40% - Accent1 27 2 4 2" xfId="19345" xr:uid="{00000000-0005-0000-0000-000051250000}"/>
    <cellStyle name="40% - Accent1 27 2 5" xfId="6063" xr:uid="{00000000-0005-0000-0000-000052250000}"/>
    <cellStyle name="40% - Accent1 27 2 5 2" xfId="17351" xr:uid="{00000000-0005-0000-0000-000053250000}"/>
    <cellStyle name="40% - Accent1 27 2 6" xfId="15357" xr:uid="{00000000-0005-0000-0000-000054250000}"/>
    <cellStyle name="40% - Accent1 27 3" xfId="11048" xr:uid="{00000000-0005-0000-0000-000055250000}"/>
    <cellStyle name="40% - Accent1 27 3 2" xfId="22336" xr:uid="{00000000-0005-0000-0000-000056250000}"/>
    <cellStyle name="40% - Accent1 27 4" xfId="9054" xr:uid="{00000000-0005-0000-0000-000057250000}"/>
    <cellStyle name="40% - Accent1 27 4 2" xfId="20342" xr:uid="{00000000-0005-0000-0000-000058250000}"/>
    <cellStyle name="40% - Accent1 27 5" xfId="7060" xr:uid="{00000000-0005-0000-0000-000059250000}"/>
    <cellStyle name="40% - Accent1 27 5 2" xfId="18348" xr:uid="{00000000-0005-0000-0000-00005A250000}"/>
    <cellStyle name="40% - Accent1 27 6" xfId="5066" xr:uid="{00000000-0005-0000-0000-00005B250000}"/>
    <cellStyle name="40% - Accent1 27 6 2" xfId="16354" xr:uid="{00000000-0005-0000-0000-00005C250000}"/>
    <cellStyle name="40% - Accent1 27 7" xfId="14360" xr:uid="{00000000-0005-0000-0000-00005D250000}"/>
    <cellStyle name="40% - Accent1 27 8" xfId="13046" xr:uid="{00000000-0005-0000-0000-00005E250000}"/>
    <cellStyle name="40% - Accent1 28" xfId="1111" xr:uid="{00000000-0005-0000-0000-00005F250000}"/>
    <cellStyle name="40% - Accent1 28 2" xfId="4067" xr:uid="{00000000-0005-0000-0000-000060250000}"/>
    <cellStyle name="40% - Accent1 28 2 2" xfId="12046" xr:uid="{00000000-0005-0000-0000-000061250000}"/>
    <cellStyle name="40% - Accent1 28 2 2 2" xfId="23334" xr:uid="{00000000-0005-0000-0000-000062250000}"/>
    <cellStyle name="40% - Accent1 28 2 3" xfId="10052" xr:uid="{00000000-0005-0000-0000-000063250000}"/>
    <cellStyle name="40% - Accent1 28 2 3 2" xfId="21340" xr:uid="{00000000-0005-0000-0000-000064250000}"/>
    <cellStyle name="40% - Accent1 28 2 4" xfId="8058" xr:uid="{00000000-0005-0000-0000-000065250000}"/>
    <cellStyle name="40% - Accent1 28 2 4 2" xfId="19346" xr:uid="{00000000-0005-0000-0000-000066250000}"/>
    <cellStyle name="40% - Accent1 28 2 5" xfId="6064" xr:uid="{00000000-0005-0000-0000-000067250000}"/>
    <cellStyle name="40% - Accent1 28 2 5 2" xfId="17352" xr:uid="{00000000-0005-0000-0000-000068250000}"/>
    <cellStyle name="40% - Accent1 28 2 6" xfId="15358" xr:uid="{00000000-0005-0000-0000-000069250000}"/>
    <cellStyle name="40% - Accent1 28 3" xfId="11049" xr:uid="{00000000-0005-0000-0000-00006A250000}"/>
    <cellStyle name="40% - Accent1 28 3 2" xfId="22337" xr:uid="{00000000-0005-0000-0000-00006B250000}"/>
    <cellStyle name="40% - Accent1 28 4" xfId="9055" xr:uid="{00000000-0005-0000-0000-00006C250000}"/>
    <cellStyle name="40% - Accent1 28 4 2" xfId="20343" xr:uid="{00000000-0005-0000-0000-00006D250000}"/>
    <cellStyle name="40% - Accent1 28 5" xfId="7061" xr:uid="{00000000-0005-0000-0000-00006E250000}"/>
    <cellStyle name="40% - Accent1 28 5 2" xfId="18349" xr:uid="{00000000-0005-0000-0000-00006F250000}"/>
    <cellStyle name="40% - Accent1 28 6" xfId="5067" xr:uid="{00000000-0005-0000-0000-000070250000}"/>
    <cellStyle name="40% - Accent1 28 6 2" xfId="16355" xr:uid="{00000000-0005-0000-0000-000071250000}"/>
    <cellStyle name="40% - Accent1 28 7" xfId="14361" xr:uid="{00000000-0005-0000-0000-000072250000}"/>
    <cellStyle name="40% - Accent1 28 8" xfId="13047" xr:uid="{00000000-0005-0000-0000-000073250000}"/>
    <cellStyle name="40% - Accent1 29" xfId="1112" xr:uid="{00000000-0005-0000-0000-000074250000}"/>
    <cellStyle name="40% - Accent1 29 2" xfId="4068" xr:uid="{00000000-0005-0000-0000-000075250000}"/>
    <cellStyle name="40% - Accent1 29 2 2" xfId="12047" xr:uid="{00000000-0005-0000-0000-000076250000}"/>
    <cellStyle name="40% - Accent1 29 2 2 2" xfId="23335" xr:uid="{00000000-0005-0000-0000-000077250000}"/>
    <cellStyle name="40% - Accent1 29 2 3" xfId="10053" xr:uid="{00000000-0005-0000-0000-000078250000}"/>
    <cellStyle name="40% - Accent1 29 2 3 2" xfId="21341" xr:uid="{00000000-0005-0000-0000-000079250000}"/>
    <cellStyle name="40% - Accent1 29 2 4" xfId="8059" xr:uid="{00000000-0005-0000-0000-00007A250000}"/>
    <cellStyle name="40% - Accent1 29 2 4 2" xfId="19347" xr:uid="{00000000-0005-0000-0000-00007B250000}"/>
    <cellStyle name="40% - Accent1 29 2 5" xfId="6065" xr:uid="{00000000-0005-0000-0000-00007C250000}"/>
    <cellStyle name="40% - Accent1 29 2 5 2" xfId="17353" xr:uid="{00000000-0005-0000-0000-00007D250000}"/>
    <cellStyle name="40% - Accent1 29 2 6" xfId="15359" xr:uid="{00000000-0005-0000-0000-00007E250000}"/>
    <cellStyle name="40% - Accent1 29 3" xfId="11050" xr:uid="{00000000-0005-0000-0000-00007F250000}"/>
    <cellStyle name="40% - Accent1 29 3 2" xfId="22338" xr:uid="{00000000-0005-0000-0000-000080250000}"/>
    <cellStyle name="40% - Accent1 29 4" xfId="9056" xr:uid="{00000000-0005-0000-0000-000081250000}"/>
    <cellStyle name="40% - Accent1 29 4 2" xfId="20344" xr:uid="{00000000-0005-0000-0000-000082250000}"/>
    <cellStyle name="40% - Accent1 29 5" xfId="7062" xr:uid="{00000000-0005-0000-0000-000083250000}"/>
    <cellStyle name="40% - Accent1 29 5 2" xfId="18350" xr:uid="{00000000-0005-0000-0000-000084250000}"/>
    <cellStyle name="40% - Accent1 29 6" xfId="5068" xr:uid="{00000000-0005-0000-0000-000085250000}"/>
    <cellStyle name="40% - Accent1 29 6 2" xfId="16356" xr:uid="{00000000-0005-0000-0000-000086250000}"/>
    <cellStyle name="40% - Accent1 29 7" xfId="14362" xr:uid="{00000000-0005-0000-0000-000087250000}"/>
    <cellStyle name="40% - Accent1 29 8" xfId="13048" xr:uid="{00000000-0005-0000-0000-000088250000}"/>
    <cellStyle name="40% - Accent1 3" xfId="1113" xr:uid="{00000000-0005-0000-0000-000089250000}"/>
    <cellStyle name="40% - Accent1 3 10" xfId="24596" xr:uid="{00000000-0005-0000-0000-00008A250000}"/>
    <cellStyle name="40% - Accent1 3 11" xfId="24986" xr:uid="{00000000-0005-0000-0000-00008B250000}"/>
    <cellStyle name="40% - Accent1 3 2" xfId="4069" xr:uid="{00000000-0005-0000-0000-00008C250000}"/>
    <cellStyle name="40% - Accent1 3 2 2" xfId="12048" xr:uid="{00000000-0005-0000-0000-00008D250000}"/>
    <cellStyle name="40% - Accent1 3 2 2 2" xfId="23336" xr:uid="{00000000-0005-0000-0000-00008E250000}"/>
    <cellStyle name="40% - Accent1 3 2 3" xfId="10054" xr:uid="{00000000-0005-0000-0000-00008F250000}"/>
    <cellStyle name="40% - Accent1 3 2 3 2" xfId="21342" xr:uid="{00000000-0005-0000-0000-000090250000}"/>
    <cellStyle name="40% - Accent1 3 2 4" xfId="8060" xr:uid="{00000000-0005-0000-0000-000091250000}"/>
    <cellStyle name="40% - Accent1 3 2 4 2" xfId="19348" xr:uid="{00000000-0005-0000-0000-000092250000}"/>
    <cellStyle name="40% - Accent1 3 2 5" xfId="6066" xr:uid="{00000000-0005-0000-0000-000093250000}"/>
    <cellStyle name="40% - Accent1 3 2 5 2" xfId="17354" xr:uid="{00000000-0005-0000-0000-000094250000}"/>
    <cellStyle name="40% - Accent1 3 2 6" xfId="15360" xr:uid="{00000000-0005-0000-0000-000095250000}"/>
    <cellStyle name="40% - Accent1 3 2 7" xfId="24357" xr:uid="{00000000-0005-0000-0000-000096250000}"/>
    <cellStyle name="40% - Accent1 3 2 8" xfId="24821" xr:uid="{00000000-0005-0000-0000-000097250000}"/>
    <cellStyle name="40% - Accent1 3 2 9" xfId="25188" xr:uid="{00000000-0005-0000-0000-000098250000}"/>
    <cellStyle name="40% - Accent1 3 3" xfId="11051" xr:uid="{00000000-0005-0000-0000-000099250000}"/>
    <cellStyle name="40% - Accent1 3 3 2" xfId="22339" xr:uid="{00000000-0005-0000-0000-00009A250000}"/>
    <cellStyle name="40% - Accent1 3 4" xfId="9057" xr:uid="{00000000-0005-0000-0000-00009B250000}"/>
    <cellStyle name="40% - Accent1 3 4 2" xfId="20345" xr:uid="{00000000-0005-0000-0000-00009C250000}"/>
    <cellStyle name="40% - Accent1 3 5" xfId="7063" xr:uid="{00000000-0005-0000-0000-00009D250000}"/>
    <cellStyle name="40% - Accent1 3 5 2" xfId="18351" xr:uid="{00000000-0005-0000-0000-00009E250000}"/>
    <cellStyle name="40% - Accent1 3 6" xfId="5069" xr:uid="{00000000-0005-0000-0000-00009F250000}"/>
    <cellStyle name="40% - Accent1 3 6 2" xfId="16357" xr:uid="{00000000-0005-0000-0000-0000A0250000}"/>
    <cellStyle name="40% - Accent1 3 7" xfId="14363" xr:uid="{00000000-0005-0000-0000-0000A1250000}"/>
    <cellStyle name="40% - Accent1 3 8" xfId="13049" xr:uid="{00000000-0005-0000-0000-0000A2250000}"/>
    <cellStyle name="40% - Accent1 3 9" xfId="23969" xr:uid="{00000000-0005-0000-0000-0000A3250000}"/>
    <cellStyle name="40% - Accent1 30" xfId="1114" xr:uid="{00000000-0005-0000-0000-0000A4250000}"/>
    <cellStyle name="40% - Accent1 30 2" xfId="4070" xr:uid="{00000000-0005-0000-0000-0000A5250000}"/>
    <cellStyle name="40% - Accent1 30 2 2" xfId="12049" xr:uid="{00000000-0005-0000-0000-0000A6250000}"/>
    <cellStyle name="40% - Accent1 30 2 2 2" xfId="23337" xr:uid="{00000000-0005-0000-0000-0000A7250000}"/>
    <cellStyle name="40% - Accent1 30 2 3" xfId="10055" xr:uid="{00000000-0005-0000-0000-0000A8250000}"/>
    <cellStyle name="40% - Accent1 30 2 3 2" xfId="21343" xr:uid="{00000000-0005-0000-0000-0000A9250000}"/>
    <cellStyle name="40% - Accent1 30 2 4" xfId="8061" xr:uid="{00000000-0005-0000-0000-0000AA250000}"/>
    <cellStyle name="40% - Accent1 30 2 4 2" xfId="19349" xr:uid="{00000000-0005-0000-0000-0000AB250000}"/>
    <cellStyle name="40% - Accent1 30 2 5" xfId="6067" xr:uid="{00000000-0005-0000-0000-0000AC250000}"/>
    <cellStyle name="40% - Accent1 30 2 5 2" xfId="17355" xr:uid="{00000000-0005-0000-0000-0000AD250000}"/>
    <cellStyle name="40% - Accent1 30 2 6" xfId="15361" xr:uid="{00000000-0005-0000-0000-0000AE250000}"/>
    <cellStyle name="40% - Accent1 30 3" xfId="11052" xr:uid="{00000000-0005-0000-0000-0000AF250000}"/>
    <cellStyle name="40% - Accent1 30 3 2" xfId="22340" xr:uid="{00000000-0005-0000-0000-0000B0250000}"/>
    <cellStyle name="40% - Accent1 30 4" xfId="9058" xr:uid="{00000000-0005-0000-0000-0000B1250000}"/>
    <cellStyle name="40% - Accent1 30 4 2" xfId="20346" xr:uid="{00000000-0005-0000-0000-0000B2250000}"/>
    <cellStyle name="40% - Accent1 30 5" xfId="7064" xr:uid="{00000000-0005-0000-0000-0000B3250000}"/>
    <cellStyle name="40% - Accent1 30 5 2" xfId="18352" xr:uid="{00000000-0005-0000-0000-0000B4250000}"/>
    <cellStyle name="40% - Accent1 30 6" xfId="5070" xr:uid="{00000000-0005-0000-0000-0000B5250000}"/>
    <cellStyle name="40% - Accent1 30 6 2" xfId="16358" xr:uid="{00000000-0005-0000-0000-0000B6250000}"/>
    <cellStyle name="40% - Accent1 30 7" xfId="14364" xr:uid="{00000000-0005-0000-0000-0000B7250000}"/>
    <cellStyle name="40% - Accent1 30 8" xfId="13050" xr:uid="{00000000-0005-0000-0000-0000B8250000}"/>
    <cellStyle name="40% - Accent1 31" xfId="1115" xr:uid="{00000000-0005-0000-0000-0000B9250000}"/>
    <cellStyle name="40% - Accent1 31 2" xfId="4071" xr:uid="{00000000-0005-0000-0000-0000BA250000}"/>
    <cellStyle name="40% - Accent1 31 2 2" xfId="12050" xr:uid="{00000000-0005-0000-0000-0000BB250000}"/>
    <cellStyle name="40% - Accent1 31 2 2 2" xfId="23338" xr:uid="{00000000-0005-0000-0000-0000BC250000}"/>
    <cellStyle name="40% - Accent1 31 2 3" xfId="10056" xr:uid="{00000000-0005-0000-0000-0000BD250000}"/>
    <cellStyle name="40% - Accent1 31 2 3 2" xfId="21344" xr:uid="{00000000-0005-0000-0000-0000BE250000}"/>
    <cellStyle name="40% - Accent1 31 2 4" xfId="8062" xr:uid="{00000000-0005-0000-0000-0000BF250000}"/>
    <cellStyle name="40% - Accent1 31 2 4 2" xfId="19350" xr:uid="{00000000-0005-0000-0000-0000C0250000}"/>
    <cellStyle name="40% - Accent1 31 2 5" xfId="6068" xr:uid="{00000000-0005-0000-0000-0000C1250000}"/>
    <cellStyle name="40% - Accent1 31 2 5 2" xfId="17356" xr:uid="{00000000-0005-0000-0000-0000C2250000}"/>
    <cellStyle name="40% - Accent1 31 2 6" xfId="15362" xr:uid="{00000000-0005-0000-0000-0000C3250000}"/>
    <cellStyle name="40% - Accent1 31 3" xfId="11053" xr:uid="{00000000-0005-0000-0000-0000C4250000}"/>
    <cellStyle name="40% - Accent1 31 3 2" xfId="22341" xr:uid="{00000000-0005-0000-0000-0000C5250000}"/>
    <cellStyle name="40% - Accent1 31 4" xfId="9059" xr:uid="{00000000-0005-0000-0000-0000C6250000}"/>
    <cellStyle name="40% - Accent1 31 4 2" xfId="20347" xr:uid="{00000000-0005-0000-0000-0000C7250000}"/>
    <cellStyle name="40% - Accent1 31 5" xfId="7065" xr:uid="{00000000-0005-0000-0000-0000C8250000}"/>
    <cellStyle name="40% - Accent1 31 5 2" xfId="18353" xr:uid="{00000000-0005-0000-0000-0000C9250000}"/>
    <cellStyle name="40% - Accent1 31 6" xfId="5071" xr:uid="{00000000-0005-0000-0000-0000CA250000}"/>
    <cellStyle name="40% - Accent1 31 6 2" xfId="16359" xr:uid="{00000000-0005-0000-0000-0000CB250000}"/>
    <cellStyle name="40% - Accent1 31 7" xfId="14365" xr:uid="{00000000-0005-0000-0000-0000CC250000}"/>
    <cellStyle name="40% - Accent1 31 8" xfId="13051" xr:uid="{00000000-0005-0000-0000-0000CD250000}"/>
    <cellStyle name="40% - Accent1 32" xfId="1116" xr:uid="{00000000-0005-0000-0000-0000CE250000}"/>
    <cellStyle name="40% - Accent1 32 2" xfId="4072" xr:uid="{00000000-0005-0000-0000-0000CF250000}"/>
    <cellStyle name="40% - Accent1 32 2 2" xfId="12051" xr:uid="{00000000-0005-0000-0000-0000D0250000}"/>
    <cellStyle name="40% - Accent1 32 2 2 2" xfId="23339" xr:uid="{00000000-0005-0000-0000-0000D1250000}"/>
    <cellStyle name="40% - Accent1 32 2 3" xfId="10057" xr:uid="{00000000-0005-0000-0000-0000D2250000}"/>
    <cellStyle name="40% - Accent1 32 2 3 2" xfId="21345" xr:uid="{00000000-0005-0000-0000-0000D3250000}"/>
    <cellStyle name="40% - Accent1 32 2 4" xfId="8063" xr:uid="{00000000-0005-0000-0000-0000D4250000}"/>
    <cellStyle name="40% - Accent1 32 2 4 2" xfId="19351" xr:uid="{00000000-0005-0000-0000-0000D5250000}"/>
    <cellStyle name="40% - Accent1 32 2 5" xfId="6069" xr:uid="{00000000-0005-0000-0000-0000D6250000}"/>
    <cellStyle name="40% - Accent1 32 2 5 2" xfId="17357" xr:uid="{00000000-0005-0000-0000-0000D7250000}"/>
    <cellStyle name="40% - Accent1 32 2 6" xfId="15363" xr:uid="{00000000-0005-0000-0000-0000D8250000}"/>
    <cellStyle name="40% - Accent1 32 3" xfId="11054" xr:uid="{00000000-0005-0000-0000-0000D9250000}"/>
    <cellStyle name="40% - Accent1 32 3 2" xfId="22342" xr:uid="{00000000-0005-0000-0000-0000DA250000}"/>
    <cellStyle name="40% - Accent1 32 4" xfId="9060" xr:uid="{00000000-0005-0000-0000-0000DB250000}"/>
    <cellStyle name="40% - Accent1 32 4 2" xfId="20348" xr:uid="{00000000-0005-0000-0000-0000DC250000}"/>
    <cellStyle name="40% - Accent1 32 5" xfId="7066" xr:uid="{00000000-0005-0000-0000-0000DD250000}"/>
    <cellStyle name="40% - Accent1 32 5 2" xfId="18354" xr:uid="{00000000-0005-0000-0000-0000DE250000}"/>
    <cellStyle name="40% - Accent1 32 6" xfId="5072" xr:uid="{00000000-0005-0000-0000-0000DF250000}"/>
    <cellStyle name="40% - Accent1 32 6 2" xfId="16360" xr:uid="{00000000-0005-0000-0000-0000E0250000}"/>
    <cellStyle name="40% - Accent1 32 7" xfId="14366" xr:uid="{00000000-0005-0000-0000-0000E1250000}"/>
    <cellStyle name="40% - Accent1 32 8" xfId="13052" xr:uid="{00000000-0005-0000-0000-0000E2250000}"/>
    <cellStyle name="40% - Accent1 33" xfId="1117" xr:uid="{00000000-0005-0000-0000-0000E3250000}"/>
    <cellStyle name="40% - Accent1 33 2" xfId="4073" xr:uid="{00000000-0005-0000-0000-0000E4250000}"/>
    <cellStyle name="40% - Accent1 33 2 2" xfId="12052" xr:uid="{00000000-0005-0000-0000-0000E5250000}"/>
    <cellStyle name="40% - Accent1 33 2 2 2" xfId="23340" xr:uid="{00000000-0005-0000-0000-0000E6250000}"/>
    <cellStyle name="40% - Accent1 33 2 3" xfId="10058" xr:uid="{00000000-0005-0000-0000-0000E7250000}"/>
    <cellStyle name="40% - Accent1 33 2 3 2" xfId="21346" xr:uid="{00000000-0005-0000-0000-0000E8250000}"/>
    <cellStyle name="40% - Accent1 33 2 4" xfId="8064" xr:uid="{00000000-0005-0000-0000-0000E9250000}"/>
    <cellStyle name="40% - Accent1 33 2 4 2" xfId="19352" xr:uid="{00000000-0005-0000-0000-0000EA250000}"/>
    <cellStyle name="40% - Accent1 33 2 5" xfId="6070" xr:uid="{00000000-0005-0000-0000-0000EB250000}"/>
    <cellStyle name="40% - Accent1 33 2 5 2" xfId="17358" xr:uid="{00000000-0005-0000-0000-0000EC250000}"/>
    <cellStyle name="40% - Accent1 33 2 6" xfId="15364" xr:uid="{00000000-0005-0000-0000-0000ED250000}"/>
    <cellStyle name="40% - Accent1 33 3" xfId="11055" xr:uid="{00000000-0005-0000-0000-0000EE250000}"/>
    <cellStyle name="40% - Accent1 33 3 2" xfId="22343" xr:uid="{00000000-0005-0000-0000-0000EF250000}"/>
    <cellStyle name="40% - Accent1 33 4" xfId="9061" xr:uid="{00000000-0005-0000-0000-0000F0250000}"/>
    <cellStyle name="40% - Accent1 33 4 2" xfId="20349" xr:uid="{00000000-0005-0000-0000-0000F1250000}"/>
    <cellStyle name="40% - Accent1 33 5" xfId="7067" xr:uid="{00000000-0005-0000-0000-0000F2250000}"/>
    <cellStyle name="40% - Accent1 33 5 2" xfId="18355" xr:uid="{00000000-0005-0000-0000-0000F3250000}"/>
    <cellStyle name="40% - Accent1 33 6" xfId="5073" xr:uid="{00000000-0005-0000-0000-0000F4250000}"/>
    <cellStyle name="40% - Accent1 33 6 2" xfId="16361" xr:uid="{00000000-0005-0000-0000-0000F5250000}"/>
    <cellStyle name="40% - Accent1 33 7" xfId="14367" xr:uid="{00000000-0005-0000-0000-0000F6250000}"/>
    <cellStyle name="40% - Accent1 33 8" xfId="13053" xr:uid="{00000000-0005-0000-0000-0000F7250000}"/>
    <cellStyle name="40% - Accent1 34" xfId="1118" xr:uid="{00000000-0005-0000-0000-0000F8250000}"/>
    <cellStyle name="40% - Accent1 34 2" xfId="4074" xr:uid="{00000000-0005-0000-0000-0000F9250000}"/>
    <cellStyle name="40% - Accent1 34 2 2" xfId="12053" xr:uid="{00000000-0005-0000-0000-0000FA250000}"/>
    <cellStyle name="40% - Accent1 34 2 2 2" xfId="23341" xr:uid="{00000000-0005-0000-0000-0000FB250000}"/>
    <cellStyle name="40% - Accent1 34 2 3" xfId="10059" xr:uid="{00000000-0005-0000-0000-0000FC250000}"/>
    <cellStyle name="40% - Accent1 34 2 3 2" xfId="21347" xr:uid="{00000000-0005-0000-0000-0000FD250000}"/>
    <cellStyle name="40% - Accent1 34 2 4" xfId="8065" xr:uid="{00000000-0005-0000-0000-0000FE250000}"/>
    <cellStyle name="40% - Accent1 34 2 4 2" xfId="19353" xr:uid="{00000000-0005-0000-0000-0000FF250000}"/>
    <cellStyle name="40% - Accent1 34 2 5" xfId="6071" xr:uid="{00000000-0005-0000-0000-000000260000}"/>
    <cellStyle name="40% - Accent1 34 2 5 2" xfId="17359" xr:uid="{00000000-0005-0000-0000-000001260000}"/>
    <cellStyle name="40% - Accent1 34 2 6" xfId="15365" xr:uid="{00000000-0005-0000-0000-000002260000}"/>
    <cellStyle name="40% - Accent1 34 3" xfId="11056" xr:uid="{00000000-0005-0000-0000-000003260000}"/>
    <cellStyle name="40% - Accent1 34 3 2" xfId="22344" xr:uid="{00000000-0005-0000-0000-000004260000}"/>
    <cellStyle name="40% - Accent1 34 4" xfId="9062" xr:uid="{00000000-0005-0000-0000-000005260000}"/>
    <cellStyle name="40% - Accent1 34 4 2" xfId="20350" xr:uid="{00000000-0005-0000-0000-000006260000}"/>
    <cellStyle name="40% - Accent1 34 5" xfId="7068" xr:uid="{00000000-0005-0000-0000-000007260000}"/>
    <cellStyle name="40% - Accent1 34 5 2" xfId="18356" xr:uid="{00000000-0005-0000-0000-000008260000}"/>
    <cellStyle name="40% - Accent1 34 6" xfId="5074" xr:uid="{00000000-0005-0000-0000-000009260000}"/>
    <cellStyle name="40% - Accent1 34 6 2" xfId="16362" xr:uid="{00000000-0005-0000-0000-00000A260000}"/>
    <cellStyle name="40% - Accent1 34 7" xfId="14368" xr:uid="{00000000-0005-0000-0000-00000B260000}"/>
    <cellStyle name="40% - Accent1 34 8" xfId="13054" xr:uid="{00000000-0005-0000-0000-00000C260000}"/>
    <cellStyle name="40% - Accent1 35" xfId="1119" xr:uid="{00000000-0005-0000-0000-00000D260000}"/>
    <cellStyle name="40% - Accent1 35 2" xfId="4075" xr:uid="{00000000-0005-0000-0000-00000E260000}"/>
    <cellStyle name="40% - Accent1 35 2 2" xfId="12054" xr:uid="{00000000-0005-0000-0000-00000F260000}"/>
    <cellStyle name="40% - Accent1 35 2 2 2" xfId="23342" xr:uid="{00000000-0005-0000-0000-000010260000}"/>
    <cellStyle name="40% - Accent1 35 2 3" xfId="10060" xr:uid="{00000000-0005-0000-0000-000011260000}"/>
    <cellStyle name="40% - Accent1 35 2 3 2" xfId="21348" xr:uid="{00000000-0005-0000-0000-000012260000}"/>
    <cellStyle name="40% - Accent1 35 2 4" xfId="8066" xr:uid="{00000000-0005-0000-0000-000013260000}"/>
    <cellStyle name="40% - Accent1 35 2 4 2" xfId="19354" xr:uid="{00000000-0005-0000-0000-000014260000}"/>
    <cellStyle name="40% - Accent1 35 2 5" xfId="6072" xr:uid="{00000000-0005-0000-0000-000015260000}"/>
    <cellStyle name="40% - Accent1 35 2 5 2" xfId="17360" xr:uid="{00000000-0005-0000-0000-000016260000}"/>
    <cellStyle name="40% - Accent1 35 2 6" xfId="15366" xr:uid="{00000000-0005-0000-0000-000017260000}"/>
    <cellStyle name="40% - Accent1 35 3" xfId="11057" xr:uid="{00000000-0005-0000-0000-000018260000}"/>
    <cellStyle name="40% - Accent1 35 3 2" xfId="22345" xr:uid="{00000000-0005-0000-0000-000019260000}"/>
    <cellStyle name="40% - Accent1 35 4" xfId="9063" xr:uid="{00000000-0005-0000-0000-00001A260000}"/>
    <cellStyle name="40% - Accent1 35 4 2" xfId="20351" xr:uid="{00000000-0005-0000-0000-00001B260000}"/>
    <cellStyle name="40% - Accent1 35 5" xfId="7069" xr:uid="{00000000-0005-0000-0000-00001C260000}"/>
    <cellStyle name="40% - Accent1 35 5 2" xfId="18357" xr:uid="{00000000-0005-0000-0000-00001D260000}"/>
    <cellStyle name="40% - Accent1 35 6" xfId="5075" xr:uid="{00000000-0005-0000-0000-00001E260000}"/>
    <cellStyle name="40% - Accent1 35 6 2" xfId="16363" xr:uid="{00000000-0005-0000-0000-00001F260000}"/>
    <cellStyle name="40% - Accent1 35 7" xfId="14369" xr:uid="{00000000-0005-0000-0000-000020260000}"/>
    <cellStyle name="40% - Accent1 35 8" xfId="13055" xr:uid="{00000000-0005-0000-0000-000021260000}"/>
    <cellStyle name="40% - Accent1 36" xfId="1120" xr:uid="{00000000-0005-0000-0000-000022260000}"/>
    <cellStyle name="40% - Accent1 36 2" xfId="4076" xr:uid="{00000000-0005-0000-0000-000023260000}"/>
    <cellStyle name="40% - Accent1 36 2 2" xfId="12055" xr:uid="{00000000-0005-0000-0000-000024260000}"/>
    <cellStyle name="40% - Accent1 36 2 2 2" xfId="23343" xr:uid="{00000000-0005-0000-0000-000025260000}"/>
    <cellStyle name="40% - Accent1 36 2 3" xfId="10061" xr:uid="{00000000-0005-0000-0000-000026260000}"/>
    <cellStyle name="40% - Accent1 36 2 3 2" xfId="21349" xr:uid="{00000000-0005-0000-0000-000027260000}"/>
    <cellStyle name="40% - Accent1 36 2 4" xfId="8067" xr:uid="{00000000-0005-0000-0000-000028260000}"/>
    <cellStyle name="40% - Accent1 36 2 4 2" xfId="19355" xr:uid="{00000000-0005-0000-0000-000029260000}"/>
    <cellStyle name="40% - Accent1 36 2 5" xfId="6073" xr:uid="{00000000-0005-0000-0000-00002A260000}"/>
    <cellStyle name="40% - Accent1 36 2 5 2" xfId="17361" xr:uid="{00000000-0005-0000-0000-00002B260000}"/>
    <cellStyle name="40% - Accent1 36 2 6" xfId="15367" xr:uid="{00000000-0005-0000-0000-00002C260000}"/>
    <cellStyle name="40% - Accent1 36 3" xfId="11058" xr:uid="{00000000-0005-0000-0000-00002D260000}"/>
    <cellStyle name="40% - Accent1 36 3 2" xfId="22346" xr:uid="{00000000-0005-0000-0000-00002E260000}"/>
    <cellStyle name="40% - Accent1 36 4" xfId="9064" xr:uid="{00000000-0005-0000-0000-00002F260000}"/>
    <cellStyle name="40% - Accent1 36 4 2" xfId="20352" xr:uid="{00000000-0005-0000-0000-000030260000}"/>
    <cellStyle name="40% - Accent1 36 5" xfId="7070" xr:uid="{00000000-0005-0000-0000-000031260000}"/>
    <cellStyle name="40% - Accent1 36 5 2" xfId="18358" xr:uid="{00000000-0005-0000-0000-000032260000}"/>
    <cellStyle name="40% - Accent1 36 6" xfId="5076" xr:uid="{00000000-0005-0000-0000-000033260000}"/>
    <cellStyle name="40% - Accent1 36 6 2" xfId="16364" xr:uid="{00000000-0005-0000-0000-000034260000}"/>
    <cellStyle name="40% - Accent1 36 7" xfId="14370" xr:uid="{00000000-0005-0000-0000-000035260000}"/>
    <cellStyle name="40% - Accent1 36 8" xfId="13056" xr:uid="{00000000-0005-0000-0000-000036260000}"/>
    <cellStyle name="40% - Accent1 37" xfId="1121" xr:uid="{00000000-0005-0000-0000-000037260000}"/>
    <cellStyle name="40% - Accent1 37 2" xfId="4077" xr:uid="{00000000-0005-0000-0000-000038260000}"/>
    <cellStyle name="40% - Accent1 37 2 2" xfId="12056" xr:uid="{00000000-0005-0000-0000-000039260000}"/>
    <cellStyle name="40% - Accent1 37 2 2 2" xfId="23344" xr:uid="{00000000-0005-0000-0000-00003A260000}"/>
    <cellStyle name="40% - Accent1 37 2 3" xfId="10062" xr:uid="{00000000-0005-0000-0000-00003B260000}"/>
    <cellStyle name="40% - Accent1 37 2 3 2" xfId="21350" xr:uid="{00000000-0005-0000-0000-00003C260000}"/>
    <cellStyle name="40% - Accent1 37 2 4" xfId="8068" xr:uid="{00000000-0005-0000-0000-00003D260000}"/>
    <cellStyle name="40% - Accent1 37 2 4 2" xfId="19356" xr:uid="{00000000-0005-0000-0000-00003E260000}"/>
    <cellStyle name="40% - Accent1 37 2 5" xfId="6074" xr:uid="{00000000-0005-0000-0000-00003F260000}"/>
    <cellStyle name="40% - Accent1 37 2 5 2" xfId="17362" xr:uid="{00000000-0005-0000-0000-000040260000}"/>
    <cellStyle name="40% - Accent1 37 2 6" xfId="15368" xr:uid="{00000000-0005-0000-0000-000041260000}"/>
    <cellStyle name="40% - Accent1 37 3" xfId="11059" xr:uid="{00000000-0005-0000-0000-000042260000}"/>
    <cellStyle name="40% - Accent1 37 3 2" xfId="22347" xr:uid="{00000000-0005-0000-0000-000043260000}"/>
    <cellStyle name="40% - Accent1 37 4" xfId="9065" xr:uid="{00000000-0005-0000-0000-000044260000}"/>
    <cellStyle name="40% - Accent1 37 4 2" xfId="20353" xr:uid="{00000000-0005-0000-0000-000045260000}"/>
    <cellStyle name="40% - Accent1 37 5" xfId="7071" xr:uid="{00000000-0005-0000-0000-000046260000}"/>
    <cellStyle name="40% - Accent1 37 5 2" xfId="18359" xr:uid="{00000000-0005-0000-0000-000047260000}"/>
    <cellStyle name="40% - Accent1 37 6" xfId="5077" xr:uid="{00000000-0005-0000-0000-000048260000}"/>
    <cellStyle name="40% - Accent1 37 6 2" xfId="16365" xr:uid="{00000000-0005-0000-0000-000049260000}"/>
    <cellStyle name="40% - Accent1 37 7" xfId="14371" xr:uid="{00000000-0005-0000-0000-00004A260000}"/>
    <cellStyle name="40% - Accent1 37 8" xfId="13057" xr:uid="{00000000-0005-0000-0000-00004B260000}"/>
    <cellStyle name="40% - Accent1 38" xfId="1122" xr:uid="{00000000-0005-0000-0000-00004C260000}"/>
    <cellStyle name="40% - Accent1 38 2" xfId="4078" xr:uid="{00000000-0005-0000-0000-00004D260000}"/>
    <cellStyle name="40% - Accent1 38 2 2" xfId="12057" xr:uid="{00000000-0005-0000-0000-00004E260000}"/>
    <cellStyle name="40% - Accent1 38 2 2 2" xfId="23345" xr:uid="{00000000-0005-0000-0000-00004F260000}"/>
    <cellStyle name="40% - Accent1 38 2 3" xfId="10063" xr:uid="{00000000-0005-0000-0000-000050260000}"/>
    <cellStyle name="40% - Accent1 38 2 3 2" xfId="21351" xr:uid="{00000000-0005-0000-0000-000051260000}"/>
    <cellStyle name="40% - Accent1 38 2 4" xfId="8069" xr:uid="{00000000-0005-0000-0000-000052260000}"/>
    <cellStyle name="40% - Accent1 38 2 4 2" xfId="19357" xr:uid="{00000000-0005-0000-0000-000053260000}"/>
    <cellStyle name="40% - Accent1 38 2 5" xfId="6075" xr:uid="{00000000-0005-0000-0000-000054260000}"/>
    <cellStyle name="40% - Accent1 38 2 5 2" xfId="17363" xr:uid="{00000000-0005-0000-0000-000055260000}"/>
    <cellStyle name="40% - Accent1 38 2 6" xfId="15369" xr:uid="{00000000-0005-0000-0000-000056260000}"/>
    <cellStyle name="40% - Accent1 38 3" xfId="11060" xr:uid="{00000000-0005-0000-0000-000057260000}"/>
    <cellStyle name="40% - Accent1 38 3 2" xfId="22348" xr:uid="{00000000-0005-0000-0000-000058260000}"/>
    <cellStyle name="40% - Accent1 38 4" xfId="9066" xr:uid="{00000000-0005-0000-0000-000059260000}"/>
    <cellStyle name="40% - Accent1 38 4 2" xfId="20354" xr:uid="{00000000-0005-0000-0000-00005A260000}"/>
    <cellStyle name="40% - Accent1 38 5" xfId="7072" xr:uid="{00000000-0005-0000-0000-00005B260000}"/>
    <cellStyle name="40% - Accent1 38 5 2" xfId="18360" xr:uid="{00000000-0005-0000-0000-00005C260000}"/>
    <cellStyle name="40% - Accent1 38 6" xfId="5078" xr:uid="{00000000-0005-0000-0000-00005D260000}"/>
    <cellStyle name="40% - Accent1 38 6 2" xfId="16366" xr:uid="{00000000-0005-0000-0000-00005E260000}"/>
    <cellStyle name="40% - Accent1 38 7" xfId="14372" xr:uid="{00000000-0005-0000-0000-00005F260000}"/>
    <cellStyle name="40% - Accent1 38 8" xfId="13058" xr:uid="{00000000-0005-0000-0000-000060260000}"/>
    <cellStyle name="40% - Accent1 39" xfId="1123" xr:uid="{00000000-0005-0000-0000-000061260000}"/>
    <cellStyle name="40% - Accent1 39 2" xfId="4079" xr:uid="{00000000-0005-0000-0000-000062260000}"/>
    <cellStyle name="40% - Accent1 39 2 2" xfId="12058" xr:uid="{00000000-0005-0000-0000-000063260000}"/>
    <cellStyle name="40% - Accent1 39 2 2 2" xfId="23346" xr:uid="{00000000-0005-0000-0000-000064260000}"/>
    <cellStyle name="40% - Accent1 39 2 3" xfId="10064" xr:uid="{00000000-0005-0000-0000-000065260000}"/>
    <cellStyle name="40% - Accent1 39 2 3 2" xfId="21352" xr:uid="{00000000-0005-0000-0000-000066260000}"/>
    <cellStyle name="40% - Accent1 39 2 4" xfId="8070" xr:uid="{00000000-0005-0000-0000-000067260000}"/>
    <cellStyle name="40% - Accent1 39 2 4 2" xfId="19358" xr:uid="{00000000-0005-0000-0000-000068260000}"/>
    <cellStyle name="40% - Accent1 39 2 5" xfId="6076" xr:uid="{00000000-0005-0000-0000-000069260000}"/>
    <cellStyle name="40% - Accent1 39 2 5 2" xfId="17364" xr:uid="{00000000-0005-0000-0000-00006A260000}"/>
    <cellStyle name="40% - Accent1 39 2 6" xfId="15370" xr:uid="{00000000-0005-0000-0000-00006B260000}"/>
    <cellStyle name="40% - Accent1 39 3" xfId="11061" xr:uid="{00000000-0005-0000-0000-00006C260000}"/>
    <cellStyle name="40% - Accent1 39 3 2" xfId="22349" xr:uid="{00000000-0005-0000-0000-00006D260000}"/>
    <cellStyle name="40% - Accent1 39 4" xfId="9067" xr:uid="{00000000-0005-0000-0000-00006E260000}"/>
    <cellStyle name="40% - Accent1 39 4 2" xfId="20355" xr:uid="{00000000-0005-0000-0000-00006F260000}"/>
    <cellStyle name="40% - Accent1 39 5" xfId="7073" xr:uid="{00000000-0005-0000-0000-000070260000}"/>
    <cellStyle name="40% - Accent1 39 5 2" xfId="18361" xr:uid="{00000000-0005-0000-0000-000071260000}"/>
    <cellStyle name="40% - Accent1 39 6" xfId="5079" xr:uid="{00000000-0005-0000-0000-000072260000}"/>
    <cellStyle name="40% - Accent1 39 6 2" xfId="16367" xr:uid="{00000000-0005-0000-0000-000073260000}"/>
    <cellStyle name="40% - Accent1 39 7" xfId="14373" xr:uid="{00000000-0005-0000-0000-000074260000}"/>
    <cellStyle name="40% - Accent1 39 8" xfId="13059" xr:uid="{00000000-0005-0000-0000-000075260000}"/>
    <cellStyle name="40% - Accent1 4" xfId="1124" xr:uid="{00000000-0005-0000-0000-000076260000}"/>
    <cellStyle name="40% - Accent1 4 10" xfId="24597" xr:uid="{00000000-0005-0000-0000-000077260000}"/>
    <cellStyle name="40% - Accent1 4 11" xfId="24987" xr:uid="{00000000-0005-0000-0000-000078260000}"/>
    <cellStyle name="40% - Accent1 4 2" xfId="4080" xr:uid="{00000000-0005-0000-0000-000079260000}"/>
    <cellStyle name="40% - Accent1 4 2 2" xfId="12059" xr:uid="{00000000-0005-0000-0000-00007A260000}"/>
    <cellStyle name="40% - Accent1 4 2 2 2" xfId="23347" xr:uid="{00000000-0005-0000-0000-00007B260000}"/>
    <cellStyle name="40% - Accent1 4 2 3" xfId="10065" xr:uid="{00000000-0005-0000-0000-00007C260000}"/>
    <cellStyle name="40% - Accent1 4 2 3 2" xfId="21353" xr:uid="{00000000-0005-0000-0000-00007D260000}"/>
    <cellStyle name="40% - Accent1 4 2 4" xfId="8071" xr:uid="{00000000-0005-0000-0000-00007E260000}"/>
    <cellStyle name="40% - Accent1 4 2 4 2" xfId="19359" xr:uid="{00000000-0005-0000-0000-00007F260000}"/>
    <cellStyle name="40% - Accent1 4 2 5" xfId="6077" xr:uid="{00000000-0005-0000-0000-000080260000}"/>
    <cellStyle name="40% - Accent1 4 2 5 2" xfId="17365" xr:uid="{00000000-0005-0000-0000-000081260000}"/>
    <cellStyle name="40% - Accent1 4 2 6" xfId="15371" xr:uid="{00000000-0005-0000-0000-000082260000}"/>
    <cellStyle name="40% - Accent1 4 2 7" xfId="24358" xr:uid="{00000000-0005-0000-0000-000083260000}"/>
    <cellStyle name="40% - Accent1 4 2 8" xfId="24822" xr:uid="{00000000-0005-0000-0000-000084260000}"/>
    <cellStyle name="40% - Accent1 4 2 9" xfId="25189" xr:uid="{00000000-0005-0000-0000-000085260000}"/>
    <cellStyle name="40% - Accent1 4 3" xfId="11062" xr:uid="{00000000-0005-0000-0000-000086260000}"/>
    <cellStyle name="40% - Accent1 4 3 2" xfId="22350" xr:uid="{00000000-0005-0000-0000-000087260000}"/>
    <cellStyle name="40% - Accent1 4 4" xfId="9068" xr:uid="{00000000-0005-0000-0000-000088260000}"/>
    <cellStyle name="40% - Accent1 4 4 2" xfId="20356" xr:uid="{00000000-0005-0000-0000-000089260000}"/>
    <cellStyle name="40% - Accent1 4 5" xfId="7074" xr:uid="{00000000-0005-0000-0000-00008A260000}"/>
    <cellStyle name="40% - Accent1 4 5 2" xfId="18362" xr:uid="{00000000-0005-0000-0000-00008B260000}"/>
    <cellStyle name="40% - Accent1 4 6" xfId="5080" xr:uid="{00000000-0005-0000-0000-00008C260000}"/>
    <cellStyle name="40% - Accent1 4 6 2" xfId="16368" xr:uid="{00000000-0005-0000-0000-00008D260000}"/>
    <cellStyle name="40% - Accent1 4 7" xfId="14374" xr:uid="{00000000-0005-0000-0000-00008E260000}"/>
    <cellStyle name="40% - Accent1 4 8" xfId="13060" xr:uid="{00000000-0005-0000-0000-00008F260000}"/>
    <cellStyle name="40% - Accent1 4 9" xfId="23970" xr:uid="{00000000-0005-0000-0000-000090260000}"/>
    <cellStyle name="40% - Accent1 40" xfId="1125" xr:uid="{00000000-0005-0000-0000-000091260000}"/>
    <cellStyle name="40% - Accent1 40 2" xfId="4081" xr:uid="{00000000-0005-0000-0000-000092260000}"/>
    <cellStyle name="40% - Accent1 40 2 2" xfId="12060" xr:uid="{00000000-0005-0000-0000-000093260000}"/>
    <cellStyle name="40% - Accent1 40 2 2 2" xfId="23348" xr:uid="{00000000-0005-0000-0000-000094260000}"/>
    <cellStyle name="40% - Accent1 40 2 3" xfId="10066" xr:uid="{00000000-0005-0000-0000-000095260000}"/>
    <cellStyle name="40% - Accent1 40 2 3 2" xfId="21354" xr:uid="{00000000-0005-0000-0000-000096260000}"/>
    <cellStyle name="40% - Accent1 40 2 4" xfId="8072" xr:uid="{00000000-0005-0000-0000-000097260000}"/>
    <cellStyle name="40% - Accent1 40 2 4 2" xfId="19360" xr:uid="{00000000-0005-0000-0000-000098260000}"/>
    <cellStyle name="40% - Accent1 40 2 5" xfId="6078" xr:uid="{00000000-0005-0000-0000-000099260000}"/>
    <cellStyle name="40% - Accent1 40 2 5 2" xfId="17366" xr:uid="{00000000-0005-0000-0000-00009A260000}"/>
    <cellStyle name="40% - Accent1 40 2 6" xfId="15372" xr:uid="{00000000-0005-0000-0000-00009B260000}"/>
    <cellStyle name="40% - Accent1 40 3" xfId="11063" xr:uid="{00000000-0005-0000-0000-00009C260000}"/>
    <cellStyle name="40% - Accent1 40 3 2" xfId="22351" xr:uid="{00000000-0005-0000-0000-00009D260000}"/>
    <cellStyle name="40% - Accent1 40 4" xfId="9069" xr:uid="{00000000-0005-0000-0000-00009E260000}"/>
    <cellStyle name="40% - Accent1 40 4 2" xfId="20357" xr:uid="{00000000-0005-0000-0000-00009F260000}"/>
    <cellStyle name="40% - Accent1 40 5" xfId="7075" xr:uid="{00000000-0005-0000-0000-0000A0260000}"/>
    <cellStyle name="40% - Accent1 40 5 2" xfId="18363" xr:uid="{00000000-0005-0000-0000-0000A1260000}"/>
    <cellStyle name="40% - Accent1 40 6" xfId="5081" xr:uid="{00000000-0005-0000-0000-0000A2260000}"/>
    <cellStyle name="40% - Accent1 40 6 2" xfId="16369" xr:uid="{00000000-0005-0000-0000-0000A3260000}"/>
    <cellStyle name="40% - Accent1 40 7" xfId="14375" xr:uid="{00000000-0005-0000-0000-0000A4260000}"/>
    <cellStyle name="40% - Accent1 40 8" xfId="13061" xr:uid="{00000000-0005-0000-0000-0000A5260000}"/>
    <cellStyle name="40% - Accent1 41" xfId="1126" xr:uid="{00000000-0005-0000-0000-0000A6260000}"/>
    <cellStyle name="40% - Accent1 41 2" xfId="4082" xr:uid="{00000000-0005-0000-0000-0000A7260000}"/>
    <cellStyle name="40% - Accent1 41 2 2" xfId="12061" xr:uid="{00000000-0005-0000-0000-0000A8260000}"/>
    <cellStyle name="40% - Accent1 41 2 2 2" xfId="23349" xr:uid="{00000000-0005-0000-0000-0000A9260000}"/>
    <cellStyle name="40% - Accent1 41 2 3" xfId="10067" xr:uid="{00000000-0005-0000-0000-0000AA260000}"/>
    <cellStyle name="40% - Accent1 41 2 3 2" xfId="21355" xr:uid="{00000000-0005-0000-0000-0000AB260000}"/>
    <cellStyle name="40% - Accent1 41 2 4" xfId="8073" xr:uid="{00000000-0005-0000-0000-0000AC260000}"/>
    <cellStyle name="40% - Accent1 41 2 4 2" xfId="19361" xr:uid="{00000000-0005-0000-0000-0000AD260000}"/>
    <cellStyle name="40% - Accent1 41 2 5" xfId="6079" xr:uid="{00000000-0005-0000-0000-0000AE260000}"/>
    <cellStyle name="40% - Accent1 41 2 5 2" xfId="17367" xr:uid="{00000000-0005-0000-0000-0000AF260000}"/>
    <cellStyle name="40% - Accent1 41 2 6" xfId="15373" xr:uid="{00000000-0005-0000-0000-0000B0260000}"/>
    <cellStyle name="40% - Accent1 41 3" xfId="11064" xr:uid="{00000000-0005-0000-0000-0000B1260000}"/>
    <cellStyle name="40% - Accent1 41 3 2" xfId="22352" xr:uid="{00000000-0005-0000-0000-0000B2260000}"/>
    <cellStyle name="40% - Accent1 41 4" xfId="9070" xr:uid="{00000000-0005-0000-0000-0000B3260000}"/>
    <cellStyle name="40% - Accent1 41 4 2" xfId="20358" xr:uid="{00000000-0005-0000-0000-0000B4260000}"/>
    <cellStyle name="40% - Accent1 41 5" xfId="7076" xr:uid="{00000000-0005-0000-0000-0000B5260000}"/>
    <cellStyle name="40% - Accent1 41 5 2" xfId="18364" xr:uid="{00000000-0005-0000-0000-0000B6260000}"/>
    <cellStyle name="40% - Accent1 41 6" xfId="5082" xr:uid="{00000000-0005-0000-0000-0000B7260000}"/>
    <cellStyle name="40% - Accent1 41 6 2" xfId="16370" xr:uid="{00000000-0005-0000-0000-0000B8260000}"/>
    <cellStyle name="40% - Accent1 41 7" xfId="14376" xr:uid="{00000000-0005-0000-0000-0000B9260000}"/>
    <cellStyle name="40% - Accent1 41 8" xfId="13062" xr:uid="{00000000-0005-0000-0000-0000BA260000}"/>
    <cellStyle name="40% - Accent1 42" xfId="1127" xr:uid="{00000000-0005-0000-0000-0000BB260000}"/>
    <cellStyle name="40% - Accent1 42 2" xfId="4083" xr:uid="{00000000-0005-0000-0000-0000BC260000}"/>
    <cellStyle name="40% - Accent1 42 2 2" xfId="12062" xr:uid="{00000000-0005-0000-0000-0000BD260000}"/>
    <cellStyle name="40% - Accent1 42 2 2 2" xfId="23350" xr:uid="{00000000-0005-0000-0000-0000BE260000}"/>
    <cellStyle name="40% - Accent1 42 2 3" xfId="10068" xr:uid="{00000000-0005-0000-0000-0000BF260000}"/>
    <cellStyle name="40% - Accent1 42 2 3 2" xfId="21356" xr:uid="{00000000-0005-0000-0000-0000C0260000}"/>
    <cellStyle name="40% - Accent1 42 2 4" xfId="8074" xr:uid="{00000000-0005-0000-0000-0000C1260000}"/>
    <cellStyle name="40% - Accent1 42 2 4 2" xfId="19362" xr:uid="{00000000-0005-0000-0000-0000C2260000}"/>
    <cellStyle name="40% - Accent1 42 2 5" xfId="6080" xr:uid="{00000000-0005-0000-0000-0000C3260000}"/>
    <cellStyle name="40% - Accent1 42 2 5 2" xfId="17368" xr:uid="{00000000-0005-0000-0000-0000C4260000}"/>
    <cellStyle name="40% - Accent1 42 2 6" xfId="15374" xr:uid="{00000000-0005-0000-0000-0000C5260000}"/>
    <cellStyle name="40% - Accent1 42 3" xfId="11065" xr:uid="{00000000-0005-0000-0000-0000C6260000}"/>
    <cellStyle name="40% - Accent1 42 3 2" xfId="22353" xr:uid="{00000000-0005-0000-0000-0000C7260000}"/>
    <cellStyle name="40% - Accent1 42 4" xfId="9071" xr:uid="{00000000-0005-0000-0000-0000C8260000}"/>
    <cellStyle name="40% - Accent1 42 4 2" xfId="20359" xr:uid="{00000000-0005-0000-0000-0000C9260000}"/>
    <cellStyle name="40% - Accent1 42 5" xfId="7077" xr:uid="{00000000-0005-0000-0000-0000CA260000}"/>
    <cellStyle name="40% - Accent1 42 5 2" xfId="18365" xr:uid="{00000000-0005-0000-0000-0000CB260000}"/>
    <cellStyle name="40% - Accent1 42 6" xfId="5083" xr:uid="{00000000-0005-0000-0000-0000CC260000}"/>
    <cellStyle name="40% - Accent1 42 6 2" xfId="16371" xr:uid="{00000000-0005-0000-0000-0000CD260000}"/>
    <cellStyle name="40% - Accent1 42 7" xfId="14377" xr:uid="{00000000-0005-0000-0000-0000CE260000}"/>
    <cellStyle name="40% - Accent1 42 8" xfId="13063" xr:uid="{00000000-0005-0000-0000-0000CF260000}"/>
    <cellStyle name="40% - Accent1 43" xfId="1128" xr:uid="{00000000-0005-0000-0000-0000D0260000}"/>
    <cellStyle name="40% - Accent1 43 2" xfId="4084" xr:uid="{00000000-0005-0000-0000-0000D1260000}"/>
    <cellStyle name="40% - Accent1 43 2 2" xfId="12063" xr:uid="{00000000-0005-0000-0000-0000D2260000}"/>
    <cellStyle name="40% - Accent1 43 2 2 2" xfId="23351" xr:uid="{00000000-0005-0000-0000-0000D3260000}"/>
    <cellStyle name="40% - Accent1 43 2 3" xfId="10069" xr:uid="{00000000-0005-0000-0000-0000D4260000}"/>
    <cellStyle name="40% - Accent1 43 2 3 2" xfId="21357" xr:uid="{00000000-0005-0000-0000-0000D5260000}"/>
    <cellStyle name="40% - Accent1 43 2 4" xfId="8075" xr:uid="{00000000-0005-0000-0000-0000D6260000}"/>
    <cellStyle name="40% - Accent1 43 2 4 2" xfId="19363" xr:uid="{00000000-0005-0000-0000-0000D7260000}"/>
    <cellStyle name="40% - Accent1 43 2 5" xfId="6081" xr:uid="{00000000-0005-0000-0000-0000D8260000}"/>
    <cellStyle name="40% - Accent1 43 2 5 2" xfId="17369" xr:uid="{00000000-0005-0000-0000-0000D9260000}"/>
    <cellStyle name="40% - Accent1 43 2 6" xfId="15375" xr:uid="{00000000-0005-0000-0000-0000DA260000}"/>
    <cellStyle name="40% - Accent1 43 3" xfId="11066" xr:uid="{00000000-0005-0000-0000-0000DB260000}"/>
    <cellStyle name="40% - Accent1 43 3 2" xfId="22354" xr:uid="{00000000-0005-0000-0000-0000DC260000}"/>
    <cellStyle name="40% - Accent1 43 4" xfId="9072" xr:uid="{00000000-0005-0000-0000-0000DD260000}"/>
    <cellStyle name="40% - Accent1 43 4 2" xfId="20360" xr:uid="{00000000-0005-0000-0000-0000DE260000}"/>
    <cellStyle name="40% - Accent1 43 5" xfId="7078" xr:uid="{00000000-0005-0000-0000-0000DF260000}"/>
    <cellStyle name="40% - Accent1 43 5 2" xfId="18366" xr:uid="{00000000-0005-0000-0000-0000E0260000}"/>
    <cellStyle name="40% - Accent1 43 6" xfId="5084" xr:uid="{00000000-0005-0000-0000-0000E1260000}"/>
    <cellStyle name="40% - Accent1 43 6 2" xfId="16372" xr:uid="{00000000-0005-0000-0000-0000E2260000}"/>
    <cellStyle name="40% - Accent1 43 7" xfId="14378" xr:uid="{00000000-0005-0000-0000-0000E3260000}"/>
    <cellStyle name="40% - Accent1 43 8" xfId="13064" xr:uid="{00000000-0005-0000-0000-0000E4260000}"/>
    <cellStyle name="40% - Accent1 44" xfId="1129" xr:uid="{00000000-0005-0000-0000-0000E5260000}"/>
    <cellStyle name="40% - Accent1 44 2" xfId="4085" xr:uid="{00000000-0005-0000-0000-0000E6260000}"/>
    <cellStyle name="40% - Accent1 44 2 2" xfId="12064" xr:uid="{00000000-0005-0000-0000-0000E7260000}"/>
    <cellStyle name="40% - Accent1 44 2 2 2" xfId="23352" xr:uid="{00000000-0005-0000-0000-0000E8260000}"/>
    <cellStyle name="40% - Accent1 44 2 3" xfId="10070" xr:uid="{00000000-0005-0000-0000-0000E9260000}"/>
    <cellStyle name="40% - Accent1 44 2 3 2" xfId="21358" xr:uid="{00000000-0005-0000-0000-0000EA260000}"/>
    <cellStyle name="40% - Accent1 44 2 4" xfId="8076" xr:uid="{00000000-0005-0000-0000-0000EB260000}"/>
    <cellStyle name="40% - Accent1 44 2 4 2" xfId="19364" xr:uid="{00000000-0005-0000-0000-0000EC260000}"/>
    <cellStyle name="40% - Accent1 44 2 5" xfId="6082" xr:uid="{00000000-0005-0000-0000-0000ED260000}"/>
    <cellStyle name="40% - Accent1 44 2 5 2" xfId="17370" xr:uid="{00000000-0005-0000-0000-0000EE260000}"/>
    <cellStyle name="40% - Accent1 44 2 6" xfId="15376" xr:uid="{00000000-0005-0000-0000-0000EF260000}"/>
    <cellStyle name="40% - Accent1 44 3" xfId="11067" xr:uid="{00000000-0005-0000-0000-0000F0260000}"/>
    <cellStyle name="40% - Accent1 44 3 2" xfId="22355" xr:uid="{00000000-0005-0000-0000-0000F1260000}"/>
    <cellStyle name="40% - Accent1 44 4" xfId="9073" xr:uid="{00000000-0005-0000-0000-0000F2260000}"/>
    <cellStyle name="40% - Accent1 44 4 2" xfId="20361" xr:uid="{00000000-0005-0000-0000-0000F3260000}"/>
    <cellStyle name="40% - Accent1 44 5" xfId="7079" xr:uid="{00000000-0005-0000-0000-0000F4260000}"/>
    <cellStyle name="40% - Accent1 44 5 2" xfId="18367" xr:uid="{00000000-0005-0000-0000-0000F5260000}"/>
    <cellStyle name="40% - Accent1 44 6" xfId="5085" xr:uid="{00000000-0005-0000-0000-0000F6260000}"/>
    <cellStyle name="40% - Accent1 44 6 2" xfId="16373" xr:uid="{00000000-0005-0000-0000-0000F7260000}"/>
    <cellStyle name="40% - Accent1 44 7" xfId="14379" xr:uid="{00000000-0005-0000-0000-0000F8260000}"/>
    <cellStyle name="40% - Accent1 44 8" xfId="13065" xr:uid="{00000000-0005-0000-0000-0000F9260000}"/>
    <cellStyle name="40% - Accent1 45" xfId="1130" xr:uid="{00000000-0005-0000-0000-0000FA260000}"/>
    <cellStyle name="40% - Accent1 45 2" xfId="4086" xr:uid="{00000000-0005-0000-0000-0000FB260000}"/>
    <cellStyle name="40% - Accent1 45 2 2" xfId="12065" xr:uid="{00000000-0005-0000-0000-0000FC260000}"/>
    <cellStyle name="40% - Accent1 45 2 2 2" xfId="23353" xr:uid="{00000000-0005-0000-0000-0000FD260000}"/>
    <cellStyle name="40% - Accent1 45 2 3" xfId="10071" xr:uid="{00000000-0005-0000-0000-0000FE260000}"/>
    <cellStyle name="40% - Accent1 45 2 3 2" xfId="21359" xr:uid="{00000000-0005-0000-0000-0000FF260000}"/>
    <cellStyle name="40% - Accent1 45 2 4" xfId="8077" xr:uid="{00000000-0005-0000-0000-000000270000}"/>
    <cellStyle name="40% - Accent1 45 2 4 2" xfId="19365" xr:uid="{00000000-0005-0000-0000-000001270000}"/>
    <cellStyle name="40% - Accent1 45 2 5" xfId="6083" xr:uid="{00000000-0005-0000-0000-000002270000}"/>
    <cellStyle name="40% - Accent1 45 2 5 2" xfId="17371" xr:uid="{00000000-0005-0000-0000-000003270000}"/>
    <cellStyle name="40% - Accent1 45 2 6" xfId="15377" xr:uid="{00000000-0005-0000-0000-000004270000}"/>
    <cellStyle name="40% - Accent1 45 3" xfId="11068" xr:uid="{00000000-0005-0000-0000-000005270000}"/>
    <cellStyle name="40% - Accent1 45 3 2" xfId="22356" xr:uid="{00000000-0005-0000-0000-000006270000}"/>
    <cellStyle name="40% - Accent1 45 4" xfId="9074" xr:uid="{00000000-0005-0000-0000-000007270000}"/>
    <cellStyle name="40% - Accent1 45 4 2" xfId="20362" xr:uid="{00000000-0005-0000-0000-000008270000}"/>
    <cellStyle name="40% - Accent1 45 5" xfId="7080" xr:uid="{00000000-0005-0000-0000-000009270000}"/>
    <cellStyle name="40% - Accent1 45 5 2" xfId="18368" xr:uid="{00000000-0005-0000-0000-00000A270000}"/>
    <cellStyle name="40% - Accent1 45 6" xfId="5086" xr:uid="{00000000-0005-0000-0000-00000B270000}"/>
    <cellStyle name="40% - Accent1 45 6 2" xfId="16374" xr:uid="{00000000-0005-0000-0000-00000C270000}"/>
    <cellStyle name="40% - Accent1 45 7" xfId="14380" xr:uid="{00000000-0005-0000-0000-00000D270000}"/>
    <cellStyle name="40% - Accent1 45 8" xfId="13066" xr:uid="{00000000-0005-0000-0000-00000E270000}"/>
    <cellStyle name="40% - Accent1 46" xfId="1131" xr:uid="{00000000-0005-0000-0000-00000F270000}"/>
    <cellStyle name="40% - Accent1 46 2" xfId="4087" xr:uid="{00000000-0005-0000-0000-000010270000}"/>
    <cellStyle name="40% - Accent1 46 2 2" xfId="12066" xr:uid="{00000000-0005-0000-0000-000011270000}"/>
    <cellStyle name="40% - Accent1 46 2 2 2" xfId="23354" xr:uid="{00000000-0005-0000-0000-000012270000}"/>
    <cellStyle name="40% - Accent1 46 2 3" xfId="10072" xr:uid="{00000000-0005-0000-0000-000013270000}"/>
    <cellStyle name="40% - Accent1 46 2 3 2" xfId="21360" xr:uid="{00000000-0005-0000-0000-000014270000}"/>
    <cellStyle name="40% - Accent1 46 2 4" xfId="8078" xr:uid="{00000000-0005-0000-0000-000015270000}"/>
    <cellStyle name="40% - Accent1 46 2 4 2" xfId="19366" xr:uid="{00000000-0005-0000-0000-000016270000}"/>
    <cellStyle name="40% - Accent1 46 2 5" xfId="6084" xr:uid="{00000000-0005-0000-0000-000017270000}"/>
    <cellStyle name="40% - Accent1 46 2 5 2" xfId="17372" xr:uid="{00000000-0005-0000-0000-000018270000}"/>
    <cellStyle name="40% - Accent1 46 2 6" xfId="15378" xr:uid="{00000000-0005-0000-0000-000019270000}"/>
    <cellStyle name="40% - Accent1 46 3" xfId="11069" xr:uid="{00000000-0005-0000-0000-00001A270000}"/>
    <cellStyle name="40% - Accent1 46 3 2" xfId="22357" xr:uid="{00000000-0005-0000-0000-00001B270000}"/>
    <cellStyle name="40% - Accent1 46 4" xfId="9075" xr:uid="{00000000-0005-0000-0000-00001C270000}"/>
    <cellStyle name="40% - Accent1 46 4 2" xfId="20363" xr:uid="{00000000-0005-0000-0000-00001D270000}"/>
    <cellStyle name="40% - Accent1 46 5" xfId="7081" xr:uid="{00000000-0005-0000-0000-00001E270000}"/>
    <cellStyle name="40% - Accent1 46 5 2" xfId="18369" xr:uid="{00000000-0005-0000-0000-00001F270000}"/>
    <cellStyle name="40% - Accent1 46 6" xfId="5087" xr:uid="{00000000-0005-0000-0000-000020270000}"/>
    <cellStyle name="40% - Accent1 46 6 2" xfId="16375" xr:uid="{00000000-0005-0000-0000-000021270000}"/>
    <cellStyle name="40% - Accent1 46 7" xfId="14381" xr:uid="{00000000-0005-0000-0000-000022270000}"/>
    <cellStyle name="40% - Accent1 46 8" xfId="13067" xr:uid="{00000000-0005-0000-0000-000023270000}"/>
    <cellStyle name="40% - Accent1 47" xfId="1132" xr:uid="{00000000-0005-0000-0000-000024270000}"/>
    <cellStyle name="40% - Accent1 47 2" xfId="4088" xr:uid="{00000000-0005-0000-0000-000025270000}"/>
    <cellStyle name="40% - Accent1 47 2 2" xfId="12067" xr:uid="{00000000-0005-0000-0000-000026270000}"/>
    <cellStyle name="40% - Accent1 47 2 2 2" xfId="23355" xr:uid="{00000000-0005-0000-0000-000027270000}"/>
    <cellStyle name="40% - Accent1 47 2 3" xfId="10073" xr:uid="{00000000-0005-0000-0000-000028270000}"/>
    <cellStyle name="40% - Accent1 47 2 3 2" xfId="21361" xr:uid="{00000000-0005-0000-0000-000029270000}"/>
    <cellStyle name="40% - Accent1 47 2 4" xfId="8079" xr:uid="{00000000-0005-0000-0000-00002A270000}"/>
    <cellStyle name="40% - Accent1 47 2 4 2" xfId="19367" xr:uid="{00000000-0005-0000-0000-00002B270000}"/>
    <cellStyle name="40% - Accent1 47 2 5" xfId="6085" xr:uid="{00000000-0005-0000-0000-00002C270000}"/>
    <cellStyle name="40% - Accent1 47 2 5 2" xfId="17373" xr:uid="{00000000-0005-0000-0000-00002D270000}"/>
    <cellStyle name="40% - Accent1 47 2 6" xfId="15379" xr:uid="{00000000-0005-0000-0000-00002E270000}"/>
    <cellStyle name="40% - Accent1 47 3" xfId="11070" xr:uid="{00000000-0005-0000-0000-00002F270000}"/>
    <cellStyle name="40% - Accent1 47 3 2" xfId="22358" xr:uid="{00000000-0005-0000-0000-000030270000}"/>
    <cellStyle name="40% - Accent1 47 4" xfId="9076" xr:uid="{00000000-0005-0000-0000-000031270000}"/>
    <cellStyle name="40% - Accent1 47 4 2" xfId="20364" xr:uid="{00000000-0005-0000-0000-000032270000}"/>
    <cellStyle name="40% - Accent1 47 5" xfId="7082" xr:uid="{00000000-0005-0000-0000-000033270000}"/>
    <cellStyle name="40% - Accent1 47 5 2" xfId="18370" xr:uid="{00000000-0005-0000-0000-000034270000}"/>
    <cellStyle name="40% - Accent1 47 6" xfId="5088" xr:uid="{00000000-0005-0000-0000-000035270000}"/>
    <cellStyle name="40% - Accent1 47 6 2" xfId="16376" xr:uid="{00000000-0005-0000-0000-000036270000}"/>
    <cellStyle name="40% - Accent1 47 7" xfId="14382" xr:uid="{00000000-0005-0000-0000-000037270000}"/>
    <cellStyle name="40% - Accent1 47 8" xfId="13068" xr:uid="{00000000-0005-0000-0000-000038270000}"/>
    <cellStyle name="40% - Accent1 48" xfId="1133" xr:uid="{00000000-0005-0000-0000-000039270000}"/>
    <cellStyle name="40% - Accent1 48 2" xfId="4089" xr:uid="{00000000-0005-0000-0000-00003A270000}"/>
    <cellStyle name="40% - Accent1 48 2 2" xfId="12068" xr:uid="{00000000-0005-0000-0000-00003B270000}"/>
    <cellStyle name="40% - Accent1 48 2 2 2" xfId="23356" xr:uid="{00000000-0005-0000-0000-00003C270000}"/>
    <cellStyle name="40% - Accent1 48 2 3" xfId="10074" xr:uid="{00000000-0005-0000-0000-00003D270000}"/>
    <cellStyle name="40% - Accent1 48 2 3 2" xfId="21362" xr:uid="{00000000-0005-0000-0000-00003E270000}"/>
    <cellStyle name="40% - Accent1 48 2 4" xfId="8080" xr:uid="{00000000-0005-0000-0000-00003F270000}"/>
    <cellStyle name="40% - Accent1 48 2 4 2" xfId="19368" xr:uid="{00000000-0005-0000-0000-000040270000}"/>
    <cellStyle name="40% - Accent1 48 2 5" xfId="6086" xr:uid="{00000000-0005-0000-0000-000041270000}"/>
    <cellStyle name="40% - Accent1 48 2 5 2" xfId="17374" xr:uid="{00000000-0005-0000-0000-000042270000}"/>
    <cellStyle name="40% - Accent1 48 2 6" xfId="15380" xr:uid="{00000000-0005-0000-0000-000043270000}"/>
    <cellStyle name="40% - Accent1 48 3" xfId="11071" xr:uid="{00000000-0005-0000-0000-000044270000}"/>
    <cellStyle name="40% - Accent1 48 3 2" xfId="22359" xr:uid="{00000000-0005-0000-0000-000045270000}"/>
    <cellStyle name="40% - Accent1 48 4" xfId="9077" xr:uid="{00000000-0005-0000-0000-000046270000}"/>
    <cellStyle name="40% - Accent1 48 4 2" xfId="20365" xr:uid="{00000000-0005-0000-0000-000047270000}"/>
    <cellStyle name="40% - Accent1 48 5" xfId="7083" xr:uid="{00000000-0005-0000-0000-000048270000}"/>
    <cellStyle name="40% - Accent1 48 5 2" xfId="18371" xr:uid="{00000000-0005-0000-0000-000049270000}"/>
    <cellStyle name="40% - Accent1 48 6" xfId="5089" xr:uid="{00000000-0005-0000-0000-00004A270000}"/>
    <cellStyle name="40% - Accent1 48 6 2" xfId="16377" xr:uid="{00000000-0005-0000-0000-00004B270000}"/>
    <cellStyle name="40% - Accent1 48 7" xfId="14383" xr:uid="{00000000-0005-0000-0000-00004C270000}"/>
    <cellStyle name="40% - Accent1 48 8" xfId="13069" xr:uid="{00000000-0005-0000-0000-00004D270000}"/>
    <cellStyle name="40% - Accent1 49" xfId="1134" xr:uid="{00000000-0005-0000-0000-00004E270000}"/>
    <cellStyle name="40% - Accent1 49 2" xfId="4090" xr:uid="{00000000-0005-0000-0000-00004F270000}"/>
    <cellStyle name="40% - Accent1 49 2 2" xfId="12069" xr:uid="{00000000-0005-0000-0000-000050270000}"/>
    <cellStyle name="40% - Accent1 49 2 2 2" xfId="23357" xr:uid="{00000000-0005-0000-0000-000051270000}"/>
    <cellStyle name="40% - Accent1 49 2 3" xfId="10075" xr:uid="{00000000-0005-0000-0000-000052270000}"/>
    <cellStyle name="40% - Accent1 49 2 3 2" xfId="21363" xr:uid="{00000000-0005-0000-0000-000053270000}"/>
    <cellStyle name="40% - Accent1 49 2 4" xfId="8081" xr:uid="{00000000-0005-0000-0000-000054270000}"/>
    <cellStyle name="40% - Accent1 49 2 4 2" xfId="19369" xr:uid="{00000000-0005-0000-0000-000055270000}"/>
    <cellStyle name="40% - Accent1 49 2 5" xfId="6087" xr:uid="{00000000-0005-0000-0000-000056270000}"/>
    <cellStyle name="40% - Accent1 49 2 5 2" xfId="17375" xr:uid="{00000000-0005-0000-0000-000057270000}"/>
    <cellStyle name="40% - Accent1 49 2 6" xfId="15381" xr:uid="{00000000-0005-0000-0000-000058270000}"/>
    <cellStyle name="40% - Accent1 49 3" xfId="11072" xr:uid="{00000000-0005-0000-0000-000059270000}"/>
    <cellStyle name="40% - Accent1 49 3 2" xfId="22360" xr:uid="{00000000-0005-0000-0000-00005A270000}"/>
    <cellStyle name="40% - Accent1 49 4" xfId="9078" xr:uid="{00000000-0005-0000-0000-00005B270000}"/>
    <cellStyle name="40% - Accent1 49 4 2" xfId="20366" xr:uid="{00000000-0005-0000-0000-00005C270000}"/>
    <cellStyle name="40% - Accent1 49 5" xfId="7084" xr:uid="{00000000-0005-0000-0000-00005D270000}"/>
    <cellStyle name="40% - Accent1 49 5 2" xfId="18372" xr:uid="{00000000-0005-0000-0000-00005E270000}"/>
    <cellStyle name="40% - Accent1 49 6" xfId="5090" xr:uid="{00000000-0005-0000-0000-00005F270000}"/>
    <cellStyle name="40% - Accent1 49 6 2" xfId="16378" xr:uid="{00000000-0005-0000-0000-000060270000}"/>
    <cellStyle name="40% - Accent1 49 7" xfId="14384" xr:uid="{00000000-0005-0000-0000-000061270000}"/>
    <cellStyle name="40% - Accent1 49 8" xfId="13070" xr:uid="{00000000-0005-0000-0000-000062270000}"/>
    <cellStyle name="40% - Accent1 5" xfId="1135" xr:uid="{00000000-0005-0000-0000-000063270000}"/>
    <cellStyle name="40% - Accent1 5 10" xfId="24598" xr:uid="{00000000-0005-0000-0000-000064270000}"/>
    <cellStyle name="40% - Accent1 5 11" xfId="24988" xr:uid="{00000000-0005-0000-0000-000065270000}"/>
    <cellStyle name="40% - Accent1 5 2" xfId="4091" xr:uid="{00000000-0005-0000-0000-000066270000}"/>
    <cellStyle name="40% - Accent1 5 2 2" xfId="12070" xr:uid="{00000000-0005-0000-0000-000067270000}"/>
    <cellStyle name="40% - Accent1 5 2 2 2" xfId="23358" xr:uid="{00000000-0005-0000-0000-000068270000}"/>
    <cellStyle name="40% - Accent1 5 2 3" xfId="10076" xr:uid="{00000000-0005-0000-0000-000069270000}"/>
    <cellStyle name="40% - Accent1 5 2 3 2" xfId="21364" xr:uid="{00000000-0005-0000-0000-00006A270000}"/>
    <cellStyle name="40% - Accent1 5 2 4" xfId="8082" xr:uid="{00000000-0005-0000-0000-00006B270000}"/>
    <cellStyle name="40% - Accent1 5 2 4 2" xfId="19370" xr:uid="{00000000-0005-0000-0000-00006C270000}"/>
    <cellStyle name="40% - Accent1 5 2 5" xfId="6088" xr:uid="{00000000-0005-0000-0000-00006D270000}"/>
    <cellStyle name="40% - Accent1 5 2 5 2" xfId="17376" xr:uid="{00000000-0005-0000-0000-00006E270000}"/>
    <cellStyle name="40% - Accent1 5 2 6" xfId="15382" xr:uid="{00000000-0005-0000-0000-00006F270000}"/>
    <cellStyle name="40% - Accent1 5 2 7" xfId="24359" xr:uid="{00000000-0005-0000-0000-000070270000}"/>
    <cellStyle name="40% - Accent1 5 2 8" xfId="24823" xr:uid="{00000000-0005-0000-0000-000071270000}"/>
    <cellStyle name="40% - Accent1 5 2 9" xfId="25190" xr:uid="{00000000-0005-0000-0000-000072270000}"/>
    <cellStyle name="40% - Accent1 5 3" xfId="11073" xr:uid="{00000000-0005-0000-0000-000073270000}"/>
    <cellStyle name="40% - Accent1 5 3 2" xfId="22361" xr:uid="{00000000-0005-0000-0000-000074270000}"/>
    <cellStyle name="40% - Accent1 5 4" xfId="9079" xr:uid="{00000000-0005-0000-0000-000075270000}"/>
    <cellStyle name="40% - Accent1 5 4 2" xfId="20367" xr:uid="{00000000-0005-0000-0000-000076270000}"/>
    <cellStyle name="40% - Accent1 5 5" xfId="7085" xr:uid="{00000000-0005-0000-0000-000077270000}"/>
    <cellStyle name="40% - Accent1 5 5 2" xfId="18373" xr:uid="{00000000-0005-0000-0000-000078270000}"/>
    <cellStyle name="40% - Accent1 5 6" xfId="5091" xr:uid="{00000000-0005-0000-0000-000079270000}"/>
    <cellStyle name="40% - Accent1 5 6 2" xfId="16379" xr:uid="{00000000-0005-0000-0000-00007A270000}"/>
    <cellStyle name="40% - Accent1 5 7" xfId="14385" xr:uid="{00000000-0005-0000-0000-00007B270000}"/>
    <cellStyle name="40% - Accent1 5 8" xfId="13071" xr:uid="{00000000-0005-0000-0000-00007C270000}"/>
    <cellStyle name="40% - Accent1 5 9" xfId="23971" xr:uid="{00000000-0005-0000-0000-00007D270000}"/>
    <cellStyle name="40% - Accent1 50" xfId="1136" xr:uid="{00000000-0005-0000-0000-00007E270000}"/>
    <cellStyle name="40% - Accent1 50 2" xfId="4092" xr:uid="{00000000-0005-0000-0000-00007F270000}"/>
    <cellStyle name="40% - Accent1 50 2 2" xfId="12071" xr:uid="{00000000-0005-0000-0000-000080270000}"/>
    <cellStyle name="40% - Accent1 50 2 2 2" xfId="23359" xr:uid="{00000000-0005-0000-0000-000081270000}"/>
    <cellStyle name="40% - Accent1 50 2 3" xfId="10077" xr:uid="{00000000-0005-0000-0000-000082270000}"/>
    <cellStyle name="40% - Accent1 50 2 3 2" xfId="21365" xr:uid="{00000000-0005-0000-0000-000083270000}"/>
    <cellStyle name="40% - Accent1 50 2 4" xfId="8083" xr:uid="{00000000-0005-0000-0000-000084270000}"/>
    <cellStyle name="40% - Accent1 50 2 4 2" xfId="19371" xr:uid="{00000000-0005-0000-0000-000085270000}"/>
    <cellStyle name="40% - Accent1 50 2 5" xfId="6089" xr:uid="{00000000-0005-0000-0000-000086270000}"/>
    <cellStyle name="40% - Accent1 50 2 5 2" xfId="17377" xr:uid="{00000000-0005-0000-0000-000087270000}"/>
    <cellStyle name="40% - Accent1 50 2 6" xfId="15383" xr:uid="{00000000-0005-0000-0000-000088270000}"/>
    <cellStyle name="40% - Accent1 50 3" xfId="11074" xr:uid="{00000000-0005-0000-0000-000089270000}"/>
    <cellStyle name="40% - Accent1 50 3 2" xfId="22362" xr:uid="{00000000-0005-0000-0000-00008A270000}"/>
    <cellStyle name="40% - Accent1 50 4" xfId="9080" xr:uid="{00000000-0005-0000-0000-00008B270000}"/>
    <cellStyle name="40% - Accent1 50 4 2" xfId="20368" xr:uid="{00000000-0005-0000-0000-00008C270000}"/>
    <cellStyle name="40% - Accent1 50 5" xfId="7086" xr:uid="{00000000-0005-0000-0000-00008D270000}"/>
    <cellStyle name="40% - Accent1 50 5 2" xfId="18374" xr:uid="{00000000-0005-0000-0000-00008E270000}"/>
    <cellStyle name="40% - Accent1 50 6" xfId="5092" xr:uid="{00000000-0005-0000-0000-00008F270000}"/>
    <cellStyle name="40% - Accent1 50 6 2" xfId="16380" xr:uid="{00000000-0005-0000-0000-000090270000}"/>
    <cellStyle name="40% - Accent1 50 7" xfId="14386" xr:uid="{00000000-0005-0000-0000-000091270000}"/>
    <cellStyle name="40% - Accent1 50 8" xfId="13072" xr:uid="{00000000-0005-0000-0000-000092270000}"/>
    <cellStyle name="40% - Accent1 51" xfId="1137" xr:uid="{00000000-0005-0000-0000-000093270000}"/>
    <cellStyle name="40% - Accent1 51 2" xfId="4093" xr:uid="{00000000-0005-0000-0000-000094270000}"/>
    <cellStyle name="40% - Accent1 51 2 2" xfId="12072" xr:uid="{00000000-0005-0000-0000-000095270000}"/>
    <cellStyle name="40% - Accent1 51 2 2 2" xfId="23360" xr:uid="{00000000-0005-0000-0000-000096270000}"/>
    <cellStyle name="40% - Accent1 51 2 3" xfId="10078" xr:uid="{00000000-0005-0000-0000-000097270000}"/>
    <cellStyle name="40% - Accent1 51 2 3 2" xfId="21366" xr:uid="{00000000-0005-0000-0000-000098270000}"/>
    <cellStyle name="40% - Accent1 51 2 4" xfId="8084" xr:uid="{00000000-0005-0000-0000-000099270000}"/>
    <cellStyle name="40% - Accent1 51 2 4 2" xfId="19372" xr:uid="{00000000-0005-0000-0000-00009A270000}"/>
    <cellStyle name="40% - Accent1 51 2 5" xfId="6090" xr:uid="{00000000-0005-0000-0000-00009B270000}"/>
    <cellStyle name="40% - Accent1 51 2 5 2" xfId="17378" xr:uid="{00000000-0005-0000-0000-00009C270000}"/>
    <cellStyle name="40% - Accent1 51 2 6" xfId="15384" xr:uid="{00000000-0005-0000-0000-00009D270000}"/>
    <cellStyle name="40% - Accent1 51 3" xfId="11075" xr:uid="{00000000-0005-0000-0000-00009E270000}"/>
    <cellStyle name="40% - Accent1 51 3 2" xfId="22363" xr:uid="{00000000-0005-0000-0000-00009F270000}"/>
    <cellStyle name="40% - Accent1 51 4" xfId="9081" xr:uid="{00000000-0005-0000-0000-0000A0270000}"/>
    <cellStyle name="40% - Accent1 51 4 2" xfId="20369" xr:uid="{00000000-0005-0000-0000-0000A1270000}"/>
    <cellStyle name="40% - Accent1 51 5" xfId="7087" xr:uid="{00000000-0005-0000-0000-0000A2270000}"/>
    <cellStyle name="40% - Accent1 51 5 2" xfId="18375" xr:uid="{00000000-0005-0000-0000-0000A3270000}"/>
    <cellStyle name="40% - Accent1 51 6" xfId="5093" xr:uid="{00000000-0005-0000-0000-0000A4270000}"/>
    <cellStyle name="40% - Accent1 51 6 2" xfId="16381" xr:uid="{00000000-0005-0000-0000-0000A5270000}"/>
    <cellStyle name="40% - Accent1 51 7" xfId="14387" xr:uid="{00000000-0005-0000-0000-0000A6270000}"/>
    <cellStyle name="40% - Accent1 51 8" xfId="13073" xr:uid="{00000000-0005-0000-0000-0000A7270000}"/>
    <cellStyle name="40% - Accent1 52" xfId="1138" xr:uid="{00000000-0005-0000-0000-0000A8270000}"/>
    <cellStyle name="40% - Accent1 52 2" xfId="4094" xr:uid="{00000000-0005-0000-0000-0000A9270000}"/>
    <cellStyle name="40% - Accent1 52 2 2" xfId="12073" xr:uid="{00000000-0005-0000-0000-0000AA270000}"/>
    <cellStyle name="40% - Accent1 52 2 2 2" xfId="23361" xr:uid="{00000000-0005-0000-0000-0000AB270000}"/>
    <cellStyle name="40% - Accent1 52 2 3" xfId="10079" xr:uid="{00000000-0005-0000-0000-0000AC270000}"/>
    <cellStyle name="40% - Accent1 52 2 3 2" xfId="21367" xr:uid="{00000000-0005-0000-0000-0000AD270000}"/>
    <cellStyle name="40% - Accent1 52 2 4" xfId="8085" xr:uid="{00000000-0005-0000-0000-0000AE270000}"/>
    <cellStyle name="40% - Accent1 52 2 4 2" xfId="19373" xr:uid="{00000000-0005-0000-0000-0000AF270000}"/>
    <cellStyle name="40% - Accent1 52 2 5" xfId="6091" xr:uid="{00000000-0005-0000-0000-0000B0270000}"/>
    <cellStyle name="40% - Accent1 52 2 5 2" xfId="17379" xr:uid="{00000000-0005-0000-0000-0000B1270000}"/>
    <cellStyle name="40% - Accent1 52 2 6" xfId="15385" xr:uid="{00000000-0005-0000-0000-0000B2270000}"/>
    <cellStyle name="40% - Accent1 52 3" xfId="11076" xr:uid="{00000000-0005-0000-0000-0000B3270000}"/>
    <cellStyle name="40% - Accent1 52 3 2" xfId="22364" xr:uid="{00000000-0005-0000-0000-0000B4270000}"/>
    <cellStyle name="40% - Accent1 52 4" xfId="9082" xr:uid="{00000000-0005-0000-0000-0000B5270000}"/>
    <cellStyle name="40% - Accent1 52 4 2" xfId="20370" xr:uid="{00000000-0005-0000-0000-0000B6270000}"/>
    <cellStyle name="40% - Accent1 52 5" xfId="7088" xr:uid="{00000000-0005-0000-0000-0000B7270000}"/>
    <cellStyle name="40% - Accent1 52 5 2" xfId="18376" xr:uid="{00000000-0005-0000-0000-0000B8270000}"/>
    <cellStyle name="40% - Accent1 52 6" xfId="5094" xr:uid="{00000000-0005-0000-0000-0000B9270000}"/>
    <cellStyle name="40% - Accent1 52 6 2" xfId="16382" xr:uid="{00000000-0005-0000-0000-0000BA270000}"/>
    <cellStyle name="40% - Accent1 52 7" xfId="14388" xr:uid="{00000000-0005-0000-0000-0000BB270000}"/>
    <cellStyle name="40% - Accent1 52 8" xfId="13074" xr:uid="{00000000-0005-0000-0000-0000BC270000}"/>
    <cellStyle name="40% - Accent1 53" xfId="1139" xr:uid="{00000000-0005-0000-0000-0000BD270000}"/>
    <cellStyle name="40% - Accent1 53 2" xfId="4095" xr:uid="{00000000-0005-0000-0000-0000BE270000}"/>
    <cellStyle name="40% - Accent1 53 2 2" xfId="12074" xr:uid="{00000000-0005-0000-0000-0000BF270000}"/>
    <cellStyle name="40% - Accent1 53 2 2 2" xfId="23362" xr:uid="{00000000-0005-0000-0000-0000C0270000}"/>
    <cellStyle name="40% - Accent1 53 2 3" xfId="10080" xr:uid="{00000000-0005-0000-0000-0000C1270000}"/>
    <cellStyle name="40% - Accent1 53 2 3 2" xfId="21368" xr:uid="{00000000-0005-0000-0000-0000C2270000}"/>
    <cellStyle name="40% - Accent1 53 2 4" xfId="8086" xr:uid="{00000000-0005-0000-0000-0000C3270000}"/>
    <cellStyle name="40% - Accent1 53 2 4 2" xfId="19374" xr:uid="{00000000-0005-0000-0000-0000C4270000}"/>
    <cellStyle name="40% - Accent1 53 2 5" xfId="6092" xr:uid="{00000000-0005-0000-0000-0000C5270000}"/>
    <cellStyle name="40% - Accent1 53 2 5 2" xfId="17380" xr:uid="{00000000-0005-0000-0000-0000C6270000}"/>
    <cellStyle name="40% - Accent1 53 2 6" xfId="15386" xr:uid="{00000000-0005-0000-0000-0000C7270000}"/>
    <cellStyle name="40% - Accent1 53 3" xfId="11077" xr:uid="{00000000-0005-0000-0000-0000C8270000}"/>
    <cellStyle name="40% - Accent1 53 3 2" xfId="22365" xr:uid="{00000000-0005-0000-0000-0000C9270000}"/>
    <cellStyle name="40% - Accent1 53 4" xfId="9083" xr:uid="{00000000-0005-0000-0000-0000CA270000}"/>
    <cellStyle name="40% - Accent1 53 4 2" xfId="20371" xr:uid="{00000000-0005-0000-0000-0000CB270000}"/>
    <cellStyle name="40% - Accent1 53 5" xfId="7089" xr:uid="{00000000-0005-0000-0000-0000CC270000}"/>
    <cellStyle name="40% - Accent1 53 5 2" xfId="18377" xr:uid="{00000000-0005-0000-0000-0000CD270000}"/>
    <cellStyle name="40% - Accent1 53 6" xfId="5095" xr:uid="{00000000-0005-0000-0000-0000CE270000}"/>
    <cellStyle name="40% - Accent1 53 6 2" xfId="16383" xr:uid="{00000000-0005-0000-0000-0000CF270000}"/>
    <cellStyle name="40% - Accent1 53 7" xfId="14389" xr:uid="{00000000-0005-0000-0000-0000D0270000}"/>
    <cellStyle name="40% - Accent1 53 8" xfId="13075" xr:uid="{00000000-0005-0000-0000-0000D1270000}"/>
    <cellStyle name="40% - Accent1 54" xfId="1140" xr:uid="{00000000-0005-0000-0000-0000D2270000}"/>
    <cellStyle name="40% - Accent1 54 2" xfId="4096" xr:uid="{00000000-0005-0000-0000-0000D3270000}"/>
    <cellStyle name="40% - Accent1 54 2 2" xfId="12075" xr:uid="{00000000-0005-0000-0000-0000D4270000}"/>
    <cellStyle name="40% - Accent1 54 2 2 2" xfId="23363" xr:uid="{00000000-0005-0000-0000-0000D5270000}"/>
    <cellStyle name="40% - Accent1 54 2 3" xfId="10081" xr:uid="{00000000-0005-0000-0000-0000D6270000}"/>
    <cellStyle name="40% - Accent1 54 2 3 2" xfId="21369" xr:uid="{00000000-0005-0000-0000-0000D7270000}"/>
    <cellStyle name="40% - Accent1 54 2 4" xfId="8087" xr:uid="{00000000-0005-0000-0000-0000D8270000}"/>
    <cellStyle name="40% - Accent1 54 2 4 2" xfId="19375" xr:uid="{00000000-0005-0000-0000-0000D9270000}"/>
    <cellStyle name="40% - Accent1 54 2 5" xfId="6093" xr:uid="{00000000-0005-0000-0000-0000DA270000}"/>
    <cellStyle name="40% - Accent1 54 2 5 2" xfId="17381" xr:uid="{00000000-0005-0000-0000-0000DB270000}"/>
    <cellStyle name="40% - Accent1 54 2 6" xfId="15387" xr:uid="{00000000-0005-0000-0000-0000DC270000}"/>
    <cellStyle name="40% - Accent1 54 3" xfId="11078" xr:uid="{00000000-0005-0000-0000-0000DD270000}"/>
    <cellStyle name="40% - Accent1 54 3 2" xfId="22366" xr:uid="{00000000-0005-0000-0000-0000DE270000}"/>
    <cellStyle name="40% - Accent1 54 4" xfId="9084" xr:uid="{00000000-0005-0000-0000-0000DF270000}"/>
    <cellStyle name="40% - Accent1 54 4 2" xfId="20372" xr:uid="{00000000-0005-0000-0000-0000E0270000}"/>
    <cellStyle name="40% - Accent1 54 5" xfId="7090" xr:uid="{00000000-0005-0000-0000-0000E1270000}"/>
    <cellStyle name="40% - Accent1 54 5 2" xfId="18378" xr:uid="{00000000-0005-0000-0000-0000E2270000}"/>
    <cellStyle name="40% - Accent1 54 6" xfId="5096" xr:uid="{00000000-0005-0000-0000-0000E3270000}"/>
    <cellStyle name="40% - Accent1 54 6 2" xfId="16384" xr:uid="{00000000-0005-0000-0000-0000E4270000}"/>
    <cellStyle name="40% - Accent1 54 7" xfId="14390" xr:uid="{00000000-0005-0000-0000-0000E5270000}"/>
    <cellStyle name="40% - Accent1 54 8" xfId="13076" xr:uid="{00000000-0005-0000-0000-0000E6270000}"/>
    <cellStyle name="40% - Accent1 55" xfId="1141" xr:uid="{00000000-0005-0000-0000-0000E7270000}"/>
    <cellStyle name="40% - Accent1 55 2" xfId="4097" xr:uid="{00000000-0005-0000-0000-0000E8270000}"/>
    <cellStyle name="40% - Accent1 55 2 2" xfId="12076" xr:uid="{00000000-0005-0000-0000-0000E9270000}"/>
    <cellStyle name="40% - Accent1 55 2 2 2" xfId="23364" xr:uid="{00000000-0005-0000-0000-0000EA270000}"/>
    <cellStyle name="40% - Accent1 55 2 3" xfId="10082" xr:uid="{00000000-0005-0000-0000-0000EB270000}"/>
    <cellStyle name="40% - Accent1 55 2 3 2" xfId="21370" xr:uid="{00000000-0005-0000-0000-0000EC270000}"/>
    <cellStyle name="40% - Accent1 55 2 4" xfId="8088" xr:uid="{00000000-0005-0000-0000-0000ED270000}"/>
    <cellStyle name="40% - Accent1 55 2 4 2" xfId="19376" xr:uid="{00000000-0005-0000-0000-0000EE270000}"/>
    <cellStyle name="40% - Accent1 55 2 5" xfId="6094" xr:uid="{00000000-0005-0000-0000-0000EF270000}"/>
    <cellStyle name="40% - Accent1 55 2 5 2" xfId="17382" xr:uid="{00000000-0005-0000-0000-0000F0270000}"/>
    <cellStyle name="40% - Accent1 55 2 6" xfId="15388" xr:uid="{00000000-0005-0000-0000-0000F1270000}"/>
    <cellStyle name="40% - Accent1 55 3" xfId="11079" xr:uid="{00000000-0005-0000-0000-0000F2270000}"/>
    <cellStyle name="40% - Accent1 55 3 2" xfId="22367" xr:uid="{00000000-0005-0000-0000-0000F3270000}"/>
    <cellStyle name="40% - Accent1 55 4" xfId="9085" xr:uid="{00000000-0005-0000-0000-0000F4270000}"/>
    <cellStyle name="40% - Accent1 55 4 2" xfId="20373" xr:uid="{00000000-0005-0000-0000-0000F5270000}"/>
    <cellStyle name="40% - Accent1 55 5" xfId="7091" xr:uid="{00000000-0005-0000-0000-0000F6270000}"/>
    <cellStyle name="40% - Accent1 55 5 2" xfId="18379" xr:uid="{00000000-0005-0000-0000-0000F7270000}"/>
    <cellStyle name="40% - Accent1 55 6" xfId="5097" xr:uid="{00000000-0005-0000-0000-0000F8270000}"/>
    <cellStyle name="40% - Accent1 55 6 2" xfId="16385" xr:uid="{00000000-0005-0000-0000-0000F9270000}"/>
    <cellStyle name="40% - Accent1 55 7" xfId="14391" xr:uid="{00000000-0005-0000-0000-0000FA270000}"/>
    <cellStyle name="40% - Accent1 55 8" xfId="13077" xr:uid="{00000000-0005-0000-0000-0000FB270000}"/>
    <cellStyle name="40% - Accent1 56" xfId="1142" xr:uid="{00000000-0005-0000-0000-0000FC270000}"/>
    <cellStyle name="40% - Accent1 56 2" xfId="4098" xr:uid="{00000000-0005-0000-0000-0000FD270000}"/>
    <cellStyle name="40% - Accent1 56 2 2" xfId="12077" xr:uid="{00000000-0005-0000-0000-0000FE270000}"/>
    <cellStyle name="40% - Accent1 56 2 2 2" xfId="23365" xr:uid="{00000000-0005-0000-0000-0000FF270000}"/>
    <cellStyle name="40% - Accent1 56 2 3" xfId="10083" xr:uid="{00000000-0005-0000-0000-000000280000}"/>
    <cellStyle name="40% - Accent1 56 2 3 2" xfId="21371" xr:uid="{00000000-0005-0000-0000-000001280000}"/>
    <cellStyle name="40% - Accent1 56 2 4" xfId="8089" xr:uid="{00000000-0005-0000-0000-000002280000}"/>
    <cellStyle name="40% - Accent1 56 2 4 2" xfId="19377" xr:uid="{00000000-0005-0000-0000-000003280000}"/>
    <cellStyle name="40% - Accent1 56 2 5" xfId="6095" xr:uid="{00000000-0005-0000-0000-000004280000}"/>
    <cellStyle name="40% - Accent1 56 2 5 2" xfId="17383" xr:uid="{00000000-0005-0000-0000-000005280000}"/>
    <cellStyle name="40% - Accent1 56 2 6" xfId="15389" xr:uid="{00000000-0005-0000-0000-000006280000}"/>
    <cellStyle name="40% - Accent1 56 3" xfId="11080" xr:uid="{00000000-0005-0000-0000-000007280000}"/>
    <cellStyle name="40% - Accent1 56 3 2" xfId="22368" xr:uid="{00000000-0005-0000-0000-000008280000}"/>
    <cellStyle name="40% - Accent1 56 4" xfId="9086" xr:uid="{00000000-0005-0000-0000-000009280000}"/>
    <cellStyle name="40% - Accent1 56 4 2" xfId="20374" xr:uid="{00000000-0005-0000-0000-00000A280000}"/>
    <cellStyle name="40% - Accent1 56 5" xfId="7092" xr:uid="{00000000-0005-0000-0000-00000B280000}"/>
    <cellStyle name="40% - Accent1 56 5 2" xfId="18380" xr:uid="{00000000-0005-0000-0000-00000C280000}"/>
    <cellStyle name="40% - Accent1 56 6" xfId="5098" xr:uid="{00000000-0005-0000-0000-00000D280000}"/>
    <cellStyle name="40% - Accent1 56 6 2" xfId="16386" xr:uid="{00000000-0005-0000-0000-00000E280000}"/>
    <cellStyle name="40% - Accent1 56 7" xfId="14392" xr:uid="{00000000-0005-0000-0000-00000F280000}"/>
    <cellStyle name="40% - Accent1 56 8" xfId="13078" xr:uid="{00000000-0005-0000-0000-000010280000}"/>
    <cellStyle name="40% - Accent1 57" xfId="1143" xr:uid="{00000000-0005-0000-0000-000011280000}"/>
    <cellStyle name="40% - Accent1 57 2" xfId="4099" xr:uid="{00000000-0005-0000-0000-000012280000}"/>
    <cellStyle name="40% - Accent1 57 2 2" xfId="12078" xr:uid="{00000000-0005-0000-0000-000013280000}"/>
    <cellStyle name="40% - Accent1 57 2 2 2" xfId="23366" xr:uid="{00000000-0005-0000-0000-000014280000}"/>
    <cellStyle name="40% - Accent1 57 2 3" xfId="10084" xr:uid="{00000000-0005-0000-0000-000015280000}"/>
    <cellStyle name="40% - Accent1 57 2 3 2" xfId="21372" xr:uid="{00000000-0005-0000-0000-000016280000}"/>
    <cellStyle name="40% - Accent1 57 2 4" xfId="8090" xr:uid="{00000000-0005-0000-0000-000017280000}"/>
    <cellStyle name="40% - Accent1 57 2 4 2" xfId="19378" xr:uid="{00000000-0005-0000-0000-000018280000}"/>
    <cellStyle name="40% - Accent1 57 2 5" xfId="6096" xr:uid="{00000000-0005-0000-0000-000019280000}"/>
    <cellStyle name="40% - Accent1 57 2 5 2" xfId="17384" xr:uid="{00000000-0005-0000-0000-00001A280000}"/>
    <cellStyle name="40% - Accent1 57 2 6" xfId="15390" xr:uid="{00000000-0005-0000-0000-00001B280000}"/>
    <cellStyle name="40% - Accent1 57 3" xfId="11081" xr:uid="{00000000-0005-0000-0000-00001C280000}"/>
    <cellStyle name="40% - Accent1 57 3 2" xfId="22369" xr:uid="{00000000-0005-0000-0000-00001D280000}"/>
    <cellStyle name="40% - Accent1 57 4" xfId="9087" xr:uid="{00000000-0005-0000-0000-00001E280000}"/>
    <cellStyle name="40% - Accent1 57 4 2" xfId="20375" xr:uid="{00000000-0005-0000-0000-00001F280000}"/>
    <cellStyle name="40% - Accent1 57 5" xfId="7093" xr:uid="{00000000-0005-0000-0000-000020280000}"/>
    <cellStyle name="40% - Accent1 57 5 2" xfId="18381" xr:uid="{00000000-0005-0000-0000-000021280000}"/>
    <cellStyle name="40% - Accent1 57 6" xfId="5099" xr:uid="{00000000-0005-0000-0000-000022280000}"/>
    <cellStyle name="40% - Accent1 57 6 2" xfId="16387" xr:uid="{00000000-0005-0000-0000-000023280000}"/>
    <cellStyle name="40% - Accent1 57 7" xfId="14393" xr:uid="{00000000-0005-0000-0000-000024280000}"/>
    <cellStyle name="40% - Accent1 57 8" xfId="13079" xr:uid="{00000000-0005-0000-0000-000025280000}"/>
    <cellStyle name="40% - Accent1 58" xfId="1144" xr:uid="{00000000-0005-0000-0000-000026280000}"/>
    <cellStyle name="40% - Accent1 58 2" xfId="4100" xr:uid="{00000000-0005-0000-0000-000027280000}"/>
    <cellStyle name="40% - Accent1 58 2 2" xfId="12079" xr:uid="{00000000-0005-0000-0000-000028280000}"/>
    <cellStyle name="40% - Accent1 58 2 2 2" xfId="23367" xr:uid="{00000000-0005-0000-0000-000029280000}"/>
    <cellStyle name="40% - Accent1 58 2 3" xfId="10085" xr:uid="{00000000-0005-0000-0000-00002A280000}"/>
    <cellStyle name="40% - Accent1 58 2 3 2" xfId="21373" xr:uid="{00000000-0005-0000-0000-00002B280000}"/>
    <cellStyle name="40% - Accent1 58 2 4" xfId="8091" xr:uid="{00000000-0005-0000-0000-00002C280000}"/>
    <cellStyle name="40% - Accent1 58 2 4 2" xfId="19379" xr:uid="{00000000-0005-0000-0000-00002D280000}"/>
    <cellStyle name="40% - Accent1 58 2 5" xfId="6097" xr:uid="{00000000-0005-0000-0000-00002E280000}"/>
    <cellStyle name="40% - Accent1 58 2 5 2" xfId="17385" xr:uid="{00000000-0005-0000-0000-00002F280000}"/>
    <cellStyle name="40% - Accent1 58 2 6" xfId="15391" xr:uid="{00000000-0005-0000-0000-000030280000}"/>
    <cellStyle name="40% - Accent1 58 3" xfId="11082" xr:uid="{00000000-0005-0000-0000-000031280000}"/>
    <cellStyle name="40% - Accent1 58 3 2" xfId="22370" xr:uid="{00000000-0005-0000-0000-000032280000}"/>
    <cellStyle name="40% - Accent1 58 4" xfId="9088" xr:uid="{00000000-0005-0000-0000-000033280000}"/>
    <cellStyle name="40% - Accent1 58 4 2" xfId="20376" xr:uid="{00000000-0005-0000-0000-000034280000}"/>
    <cellStyle name="40% - Accent1 58 5" xfId="7094" xr:uid="{00000000-0005-0000-0000-000035280000}"/>
    <cellStyle name="40% - Accent1 58 5 2" xfId="18382" xr:uid="{00000000-0005-0000-0000-000036280000}"/>
    <cellStyle name="40% - Accent1 58 6" xfId="5100" xr:uid="{00000000-0005-0000-0000-000037280000}"/>
    <cellStyle name="40% - Accent1 58 6 2" xfId="16388" xr:uid="{00000000-0005-0000-0000-000038280000}"/>
    <cellStyle name="40% - Accent1 58 7" xfId="14394" xr:uid="{00000000-0005-0000-0000-000039280000}"/>
    <cellStyle name="40% - Accent1 58 8" xfId="13080" xr:uid="{00000000-0005-0000-0000-00003A280000}"/>
    <cellStyle name="40% - Accent1 59" xfId="1145" xr:uid="{00000000-0005-0000-0000-00003B280000}"/>
    <cellStyle name="40% - Accent1 59 2" xfId="4101" xr:uid="{00000000-0005-0000-0000-00003C280000}"/>
    <cellStyle name="40% - Accent1 59 2 2" xfId="12080" xr:uid="{00000000-0005-0000-0000-00003D280000}"/>
    <cellStyle name="40% - Accent1 59 2 2 2" xfId="23368" xr:uid="{00000000-0005-0000-0000-00003E280000}"/>
    <cellStyle name="40% - Accent1 59 2 3" xfId="10086" xr:uid="{00000000-0005-0000-0000-00003F280000}"/>
    <cellStyle name="40% - Accent1 59 2 3 2" xfId="21374" xr:uid="{00000000-0005-0000-0000-000040280000}"/>
    <cellStyle name="40% - Accent1 59 2 4" xfId="8092" xr:uid="{00000000-0005-0000-0000-000041280000}"/>
    <cellStyle name="40% - Accent1 59 2 4 2" xfId="19380" xr:uid="{00000000-0005-0000-0000-000042280000}"/>
    <cellStyle name="40% - Accent1 59 2 5" xfId="6098" xr:uid="{00000000-0005-0000-0000-000043280000}"/>
    <cellStyle name="40% - Accent1 59 2 5 2" xfId="17386" xr:uid="{00000000-0005-0000-0000-000044280000}"/>
    <cellStyle name="40% - Accent1 59 2 6" xfId="15392" xr:uid="{00000000-0005-0000-0000-000045280000}"/>
    <cellStyle name="40% - Accent1 59 3" xfId="11083" xr:uid="{00000000-0005-0000-0000-000046280000}"/>
    <cellStyle name="40% - Accent1 59 3 2" xfId="22371" xr:uid="{00000000-0005-0000-0000-000047280000}"/>
    <cellStyle name="40% - Accent1 59 4" xfId="9089" xr:uid="{00000000-0005-0000-0000-000048280000}"/>
    <cellStyle name="40% - Accent1 59 4 2" xfId="20377" xr:uid="{00000000-0005-0000-0000-000049280000}"/>
    <cellStyle name="40% - Accent1 59 5" xfId="7095" xr:uid="{00000000-0005-0000-0000-00004A280000}"/>
    <cellStyle name="40% - Accent1 59 5 2" xfId="18383" xr:uid="{00000000-0005-0000-0000-00004B280000}"/>
    <cellStyle name="40% - Accent1 59 6" xfId="5101" xr:uid="{00000000-0005-0000-0000-00004C280000}"/>
    <cellStyle name="40% - Accent1 59 6 2" xfId="16389" xr:uid="{00000000-0005-0000-0000-00004D280000}"/>
    <cellStyle name="40% - Accent1 59 7" xfId="14395" xr:uid="{00000000-0005-0000-0000-00004E280000}"/>
    <cellStyle name="40% - Accent1 59 8" xfId="13081" xr:uid="{00000000-0005-0000-0000-00004F280000}"/>
    <cellStyle name="40% - Accent1 6" xfId="1146" xr:uid="{00000000-0005-0000-0000-000050280000}"/>
    <cellStyle name="40% - Accent1 6 10" xfId="24599" xr:uid="{00000000-0005-0000-0000-000051280000}"/>
    <cellStyle name="40% - Accent1 6 11" xfId="24989" xr:uid="{00000000-0005-0000-0000-000052280000}"/>
    <cellStyle name="40% - Accent1 6 2" xfId="4102" xr:uid="{00000000-0005-0000-0000-000053280000}"/>
    <cellStyle name="40% - Accent1 6 2 2" xfId="12081" xr:uid="{00000000-0005-0000-0000-000054280000}"/>
    <cellStyle name="40% - Accent1 6 2 2 2" xfId="23369" xr:uid="{00000000-0005-0000-0000-000055280000}"/>
    <cellStyle name="40% - Accent1 6 2 3" xfId="10087" xr:uid="{00000000-0005-0000-0000-000056280000}"/>
    <cellStyle name="40% - Accent1 6 2 3 2" xfId="21375" xr:uid="{00000000-0005-0000-0000-000057280000}"/>
    <cellStyle name="40% - Accent1 6 2 4" xfId="8093" xr:uid="{00000000-0005-0000-0000-000058280000}"/>
    <cellStyle name="40% - Accent1 6 2 4 2" xfId="19381" xr:uid="{00000000-0005-0000-0000-000059280000}"/>
    <cellStyle name="40% - Accent1 6 2 5" xfId="6099" xr:uid="{00000000-0005-0000-0000-00005A280000}"/>
    <cellStyle name="40% - Accent1 6 2 5 2" xfId="17387" xr:uid="{00000000-0005-0000-0000-00005B280000}"/>
    <cellStyle name="40% - Accent1 6 2 6" xfId="15393" xr:uid="{00000000-0005-0000-0000-00005C280000}"/>
    <cellStyle name="40% - Accent1 6 2 7" xfId="24360" xr:uid="{00000000-0005-0000-0000-00005D280000}"/>
    <cellStyle name="40% - Accent1 6 2 8" xfId="24824" xr:uid="{00000000-0005-0000-0000-00005E280000}"/>
    <cellStyle name="40% - Accent1 6 2 9" xfId="25191" xr:uid="{00000000-0005-0000-0000-00005F280000}"/>
    <cellStyle name="40% - Accent1 6 3" xfId="11084" xr:uid="{00000000-0005-0000-0000-000060280000}"/>
    <cellStyle name="40% - Accent1 6 3 2" xfId="22372" xr:uid="{00000000-0005-0000-0000-000061280000}"/>
    <cellStyle name="40% - Accent1 6 4" xfId="9090" xr:uid="{00000000-0005-0000-0000-000062280000}"/>
    <cellStyle name="40% - Accent1 6 4 2" xfId="20378" xr:uid="{00000000-0005-0000-0000-000063280000}"/>
    <cellStyle name="40% - Accent1 6 5" xfId="7096" xr:uid="{00000000-0005-0000-0000-000064280000}"/>
    <cellStyle name="40% - Accent1 6 5 2" xfId="18384" xr:uid="{00000000-0005-0000-0000-000065280000}"/>
    <cellStyle name="40% - Accent1 6 6" xfId="5102" xr:uid="{00000000-0005-0000-0000-000066280000}"/>
    <cellStyle name="40% - Accent1 6 6 2" xfId="16390" xr:uid="{00000000-0005-0000-0000-000067280000}"/>
    <cellStyle name="40% - Accent1 6 7" xfId="14396" xr:uid="{00000000-0005-0000-0000-000068280000}"/>
    <cellStyle name="40% - Accent1 6 8" xfId="13082" xr:uid="{00000000-0005-0000-0000-000069280000}"/>
    <cellStyle name="40% - Accent1 6 9" xfId="23972" xr:uid="{00000000-0005-0000-0000-00006A280000}"/>
    <cellStyle name="40% - Accent1 60" xfId="1147" xr:uid="{00000000-0005-0000-0000-00006B280000}"/>
    <cellStyle name="40% - Accent1 60 2" xfId="4103" xr:uid="{00000000-0005-0000-0000-00006C280000}"/>
    <cellStyle name="40% - Accent1 60 2 2" xfId="12082" xr:uid="{00000000-0005-0000-0000-00006D280000}"/>
    <cellStyle name="40% - Accent1 60 2 2 2" xfId="23370" xr:uid="{00000000-0005-0000-0000-00006E280000}"/>
    <cellStyle name="40% - Accent1 60 2 3" xfId="10088" xr:uid="{00000000-0005-0000-0000-00006F280000}"/>
    <cellStyle name="40% - Accent1 60 2 3 2" xfId="21376" xr:uid="{00000000-0005-0000-0000-000070280000}"/>
    <cellStyle name="40% - Accent1 60 2 4" xfId="8094" xr:uid="{00000000-0005-0000-0000-000071280000}"/>
    <cellStyle name="40% - Accent1 60 2 4 2" xfId="19382" xr:uid="{00000000-0005-0000-0000-000072280000}"/>
    <cellStyle name="40% - Accent1 60 2 5" xfId="6100" xr:uid="{00000000-0005-0000-0000-000073280000}"/>
    <cellStyle name="40% - Accent1 60 2 5 2" xfId="17388" xr:uid="{00000000-0005-0000-0000-000074280000}"/>
    <cellStyle name="40% - Accent1 60 2 6" xfId="15394" xr:uid="{00000000-0005-0000-0000-000075280000}"/>
    <cellStyle name="40% - Accent1 60 3" xfId="11085" xr:uid="{00000000-0005-0000-0000-000076280000}"/>
    <cellStyle name="40% - Accent1 60 3 2" xfId="22373" xr:uid="{00000000-0005-0000-0000-000077280000}"/>
    <cellStyle name="40% - Accent1 60 4" xfId="9091" xr:uid="{00000000-0005-0000-0000-000078280000}"/>
    <cellStyle name="40% - Accent1 60 4 2" xfId="20379" xr:uid="{00000000-0005-0000-0000-000079280000}"/>
    <cellStyle name="40% - Accent1 60 5" xfId="7097" xr:uid="{00000000-0005-0000-0000-00007A280000}"/>
    <cellStyle name="40% - Accent1 60 5 2" xfId="18385" xr:uid="{00000000-0005-0000-0000-00007B280000}"/>
    <cellStyle name="40% - Accent1 60 6" xfId="5103" xr:uid="{00000000-0005-0000-0000-00007C280000}"/>
    <cellStyle name="40% - Accent1 60 6 2" xfId="16391" xr:uid="{00000000-0005-0000-0000-00007D280000}"/>
    <cellStyle name="40% - Accent1 60 7" xfId="14397" xr:uid="{00000000-0005-0000-0000-00007E280000}"/>
    <cellStyle name="40% - Accent1 60 8" xfId="13083" xr:uid="{00000000-0005-0000-0000-00007F280000}"/>
    <cellStyle name="40% - Accent1 61" xfId="1148" xr:uid="{00000000-0005-0000-0000-000080280000}"/>
    <cellStyle name="40% - Accent1 61 2" xfId="4104" xr:uid="{00000000-0005-0000-0000-000081280000}"/>
    <cellStyle name="40% - Accent1 61 2 2" xfId="12083" xr:uid="{00000000-0005-0000-0000-000082280000}"/>
    <cellStyle name="40% - Accent1 61 2 2 2" xfId="23371" xr:uid="{00000000-0005-0000-0000-000083280000}"/>
    <cellStyle name="40% - Accent1 61 2 3" xfId="10089" xr:uid="{00000000-0005-0000-0000-000084280000}"/>
    <cellStyle name="40% - Accent1 61 2 3 2" xfId="21377" xr:uid="{00000000-0005-0000-0000-000085280000}"/>
    <cellStyle name="40% - Accent1 61 2 4" xfId="8095" xr:uid="{00000000-0005-0000-0000-000086280000}"/>
    <cellStyle name="40% - Accent1 61 2 4 2" xfId="19383" xr:uid="{00000000-0005-0000-0000-000087280000}"/>
    <cellStyle name="40% - Accent1 61 2 5" xfId="6101" xr:uid="{00000000-0005-0000-0000-000088280000}"/>
    <cellStyle name="40% - Accent1 61 2 5 2" xfId="17389" xr:uid="{00000000-0005-0000-0000-000089280000}"/>
    <cellStyle name="40% - Accent1 61 2 6" xfId="15395" xr:uid="{00000000-0005-0000-0000-00008A280000}"/>
    <cellStyle name="40% - Accent1 61 3" xfId="11086" xr:uid="{00000000-0005-0000-0000-00008B280000}"/>
    <cellStyle name="40% - Accent1 61 3 2" xfId="22374" xr:uid="{00000000-0005-0000-0000-00008C280000}"/>
    <cellStyle name="40% - Accent1 61 4" xfId="9092" xr:uid="{00000000-0005-0000-0000-00008D280000}"/>
    <cellStyle name="40% - Accent1 61 4 2" xfId="20380" xr:uid="{00000000-0005-0000-0000-00008E280000}"/>
    <cellStyle name="40% - Accent1 61 5" xfId="7098" xr:uid="{00000000-0005-0000-0000-00008F280000}"/>
    <cellStyle name="40% - Accent1 61 5 2" xfId="18386" xr:uid="{00000000-0005-0000-0000-000090280000}"/>
    <cellStyle name="40% - Accent1 61 6" xfId="5104" xr:uid="{00000000-0005-0000-0000-000091280000}"/>
    <cellStyle name="40% - Accent1 61 6 2" xfId="16392" xr:uid="{00000000-0005-0000-0000-000092280000}"/>
    <cellStyle name="40% - Accent1 61 7" xfId="14398" xr:uid="{00000000-0005-0000-0000-000093280000}"/>
    <cellStyle name="40% - Accent1 61 8" xfId="13084" xr:uid="{00000000-0005-0000-0000-000094280000}"/>
    <cellStyle name="40% - Accent1 62" xfId="1149" xr:uid="{00000000-0005-0000-0000-000095280000}"/>
    <cellStyle name="40% - Accent1 62 2" xfId="4105" xr:uid="{00000000-0005-0000-0000-000096280000}"/>
    <cellStyle name="40% - Accent1 62 2 2" xfId="12084" xr:uid="{00000000-0005-0000-0000-000097280000}"/>
    <cellStyle name="40% - Accent1 62 2 2 2" xfId="23372" xr:uid="{00000000-0005-0000-0000-000098280000}"/>
    <cellStyle name="40% - Accent1 62 2 3" xfId="10090" xr:uid="{00000000-0005-0000-0000-000099280000}"/>
    <cellStyle name="40% - Accent1 62 2 3 2" xfId="21378" xr:uid="{00000000-0005-0000-0000-00009A280000}"/>
    <cellStyle name="40% - Accent1 62 2 4" xfId="8096" xr:uid="{00000000-0005-0000-0000-00009B280000}"/>
    <cellStyle name="40% - Accent1 62 2 4 2" xfId="19384" xr:uid="{00000000-0005-0000-0000-00009C280000}"/>
    <cellStyle name="40% - Accent1 62 2 5" xfId="6102" xr:uid="{00000000-0005-0000-0000-00009D280000}"/>
    <cellStyle name="40% - Accent1 62 2 5 2" xfId="17390" xr:uid="{00000000-0005-0000-0000-00009E280000}"/>
    <cellStyle name="40% - Accent1 62 2 6" xfId="15396" xr:uid="{00000000-0005-0000-0000-00009F280000}"/>
    <cellStyle name="40% - Accent1 62 3" xfId="11087" xr:uid="{00000000-0005-0000-0000-0000A0280000}"/>
    <cellStyle name="40% - Accent1 62 3 2" xfId="22375" xr:uid="{00000000-0005-0000-0000-0000A1280000}"/>
    <cellStyle name="40% - Accent1 62 4" xfId="9093" xr:uid="{00000000-0005-0000-0000-0000A2280000}"/>
    <cellStyle name="40% - Accent1 62 4 2" xfId="20381" xr:uid="{00000000-0005-0000-0000-0000A3280000}"/>
    <cellStyle name="40% - Accent1 62 5" xfId="7099" xr:uid="{00000000-0005-0000-0000-0000A4280000}"/>
    <cellStyle name="40% - Accent1 62 5 2" xfId="18387" xr:uid="{00000000-0005-0000-0000-0000A5280000}"/>
    <cellStyle name="40% - Accent1 62 6" xfId="5105" xr:uid="{00000000-0005-0000-0000-0000A6280000}"/>
    <cellStyle name="40% - Accent1 62 6 2" xfId="16393" xr:uid="{00000000-0005-0000-0000-0000A7280000}"/>
    <cellStyle name="40% - Accent1 62 7" xfId="14399" xr:uid="{00000000-0005-0000-0000-0000A8280000}"/>
    <cellStyle name="40% - Accent1 62 8" xfId="13085" xr:uid="{00000000-0005-0000-0000-0000A9280000}"/>
    <cellStyle name="40% - Accent1 63" xfId="1150" xr:uid="{00000000-0005-0000-0000-0000AA280000}"/>
    <cellStyle name="40% - Accent1 63 2" xfId="4106" xr:uid="{00000000-0005-0000-0000-0000AB280000}"/>
    <cellStyle name="40% - Accent1 63 2 2" xfId="12085" xr:uid="{00000000-0005-0000-0000-0000AC280000}"/>
    <cellStyle name="40% - Accent1 63 2 2 2" xfId="23373" xr:uid="{00000000-0005-0000-0000-0000AD280000}"/>
    <cellStyle name="40% - Accent1 63 2 3" xfId="10091" xr:uid="{00000000-0005-0000-0000-0000AE280000}"/>
    <cellStyle name="40% - Accent1 63 2 3 2" xfId="21379" xr:uid="{00000000-0005-0000-0000-0000AF280000}"/>
    <cellStyle name="40% - Accent1 63 2 4" xfId="8097" xr:uid="{00000000-0005-0000-0000-0000B0280000}"/>
    <cellStyle name="40% - Accent1 63 2 4 2" xfId="19385" xr:uid="{00000000-0005-0000-0000-0000B1280000}"/>
    <cellStyle name="40% - Accent1 63 2 5" xfId="6103" xr:uid="{00000000-0005-0000-0000-0000B2280000}"/>
    <cellStyle name="40% - Accent1 63 2 5 2" xfId="17391" xr:uid="{00000000-0005-0000-0000-0000B3280000}"/>
    <cellStyle name="40% - Accent1 63 2 6" xfId="15397" xr:uid="{00000000-0005-0000-0000-0000B4280000}"/>
    <cellStyle name="40% - Accent1 63 3" xfId="11088" xr:uid="{00000000-0005-0000-0000-0000B5280000}"/>
    <cellStyle name="40% - Accent1 63 3 2" xfId="22376" xr:uid="{00000000-0005-0000-0000-0000B6280000}"/>
    <cellStyle name="40% - Accent1 63 4" xfId="9094" xr:uid="{00000000-0005-0000-0000-0000B7280000}"/>
    <cellStyle name="40% - Accent1 63 4 2" xfId="20382" xr:uid="{00000000-0005-0000-0000-0000B8280000}"/>
    <cellStyle name="40% - Accent1 63 5" xfId="7100" xr:uid="{00000000-0005-0000-0000-0000B9280000}"/>
    <cellStyle name="40% - Accent1 63 5 2" xfId="18388" xr:uid="{00000000-0005-0000-0000-0000BA280000}"/>
    <cellStyle name="40% - Accent1 63 6" xfId="5106" xr:uid="{00000000-0005-0000-0000-0000BB280000}"/>
    <cellStyle name="40% - Accent1 63 6 2" xfId="16394" xr:uid="{00000000-0005-0000-0000-0000BC280000}"/>
    <cellStyle name="40% - Accent1 63 7" xfId="14400" xr:uid="{00000000-0005-0000-0000-0000BD280000}"/>
    <cellStyle name="40% - Accent1 63 8" xfId="13086" xr:uid="{00000000-0005-0000-0000-0000BE280000}"/>
    <cellStyle name="40% - Accent1 64" xfId="1151" xr:uid="{00000000-0005-0000-0000-0000BF280000}"/>
    <cellStyle name="40% - Accent1 64 2" xfId="4107" xr:uid="{00000000-0005-0000-0000-0000C0280000}"/>
    <cellStyle name="40% - Accent1 64 2 2" xfId="12086" xr:uid="{00000000-0005-0000-0000-0000C1280000}"/>
    <cellStyle name="40% - Accent1 64 2 2 2" xfId="23374" xr:uid="{00000000-0005-0000-0000-0000C2280000}"/>
    <cellStyle name="40% - Accent1 64 2 3" xfId="10092" xr:uid="{00000000-0005-0000-0000-0000C3280000}"/>
    <cellStyle name="40% - Accent1 64 2 3 2" xfId="21380" xr:uid="{00000000-0005-0000-0000-0000C4280000}"/>
    <cellStyle name="40% - Accent1 64 2 4" xfId="8098" xr:uid="{00000000-0005-0000-0000-0000C5280000}"/>
    <cellStyle name="40% - Accent1 64 2 4 2" xfId="19386" xr:uid="{00000000-0005-0000-0000-0000C6280000}"/>
    <cellStyle name="40% - Accent1 64 2 5" xfId="6104" xr:uid="{00000000-0005-0000-0000-0000C7280000}"/>
    <cellStyle name="40% - Accent1 64 2 5 2" xfId="17392" xr:uid="{00000000-0005-0000-0000-0000C8280000}"/>
    <cellStyle name="40% - Accent1 64 2 6" xfId="15398" xr:uid="{00000000-0005-0000-0000-0000C9280000}"/>
    <cellStyle name="40% - Accent1 64 3" xfId="11089" xr:uid="{00000000-0005-0000-0000-0000CA280000}"/>
    <cellStyle name="40% - Accent1 64 3 2" xfId="22377" xr:uid="{00000000-0005-0000-0000-0000CB280000}"/>
    <cellStyle name="40% - Accent1 64 4" xfId="9095" xr:uid="{00000000-0005-0000-0000-0000CC280000}"/>
    <cellStyle name="40% - Accent1 64 4 2" xfId="20383" xr:uid="{00000000-0005-0000-0000-0000CD280000}"/>
    <cellStyle name="40% - Accent1 64 5" xfId="7101" xr:uid="{00000000-0005-0000-0000-0000CE280000}"/>
    <cellStyle name="40% - Accent1 64 5 2" xfId="18389" xr:uid="{00000000-0005-0000-0000-0000CF280000}"/>
    <cellStyle name="40% - Accent1 64 6" xfId="5107" xr:uid="{00000000-0005-0000-0000-0000D0280000}"/>
    <cellStyle name="40% - Accent1 64 6 2" xfId="16395" xr:uid="{00000000-0005-0000-0000-0000D1280000}"/>
    <cellStyle name="40% - Accent1 64 7" xfId="14401" xr:uid="{00000000-0005-0000-0000-0000D2280000}"/>
    <cellStyle name="40% - Accent1 64 8" xfId="13087" xr:uid="{00000000-0005-0000-0000-0000D3280000}"/>
    <cellStyle name="40% - Accent1 65" xfId="1152" xr:uid="{00000000-0005-0000-0000-0000D4280000}"/>
    <cellStyle name="40% - Accent1 65 2" xfId="4108" xr:uid="{00000000-0005-0000-0000-0000D5280000}"/>
    <cellStyle name="40% - Accent1 65 2 2" xfId="12087" xr:uid="{00000000-0005-0000-0000-0000D6280000}"/>
    <cellStyle name="40% - Accent1 65 2 2 2" xfId="23375" xr:uid="{00000000-0005-0000-0000-0000D7280000}"/>
    <cellStyle name="40% - Accent1 65 2 3" xfId="10093" xr:uid="{00000000-0005-0000-0000-0000D8280000}"/>
    <cellStyle name="40% - Accent1 65 2 3 2" xfId="21381" xr:uid="{00000000-0005-0000-0000-0000D9280000}"/>
    <cellStyle name="40% - Accent1 65 2 4" xfId="8099" xr:uid="{00000000-0005-0000-0000-0000DA280000}"/>
    <cellStyle name="40% - Accent1 65 2 4 2" xfId="19387" xr:uid="{00000000-0005-0000-0000-0000DB280000}"/>
    <cellStyle name="40% - Accent1 65 2 5" xfId="6105" xr:uid="{00000000-0005-0000-0000-0000DC280000}"/>
    <cellStyle name="40% - Accent1 65 2 5 2" xfId="17393" xr:uid="{00000000-0005-0000-0000-0000DD280000}"/>
    <cellStyle name="40% - Accent1 65 2 6" xfId="15399" xr:uid="{00000000-0005-0000-0000-0000DE280000}"/>
    <cellStyle name="40% - Accent1 65 3" xfId="11090" xr:uid="{00000000-0005-0000-0000-0000DF280000}"/>
    <cellStyle name="40% - Accent1 65 3 2" xfId="22378" xr:uid="{00000000-0005-0000-0000-0000E0280000}"/>
    <cellStyle name="40% - Accent1 65 4" xfId="9096" xr:uid="{00000000-0005-0000-0000-0000E1280000}"/>
    <cellStyle name="40% - Accent1 65 4 2" xfId="20384" xr:uid="{00000000-0005-0000-0000-0000E2280000}"/>
    <cellStyle name="40% - Accent1 65 5" xfId="7102" xr:uid="{00000000-0005-0000-0000-0000E3280000}"/>
    <cellStyle name="40% - Accent1 65 5 2" xfId="18390" xr:uid="{00000000-0005-0000-0000-0000E4280000}"/>
    <cellStyle name="40% - Accent1 65 6" xfId="5108" xr:uid="{00000000-0005-0000-0000-0000E5280000}"/>
    <cellStyle name="40% - Accent1 65 6 2" xfId="16396" xr:uid="{00000000-0005-0000-0000-0000E6280000}"/>
    <cellStyle name="40% - Accent1 65 7" xfId="14402" xr:uid="{00000000-0005-0000-0000-0000E7280000}"/>
    <cellStyle name="40% - Accent1 65 8" xfId="13088" xr:uid="{00000000-0005-0000-0000-0000E8280000}"/>
    <cellStyle name="40% - Accent1 66" xfId="1153" xr:uid="{00000000-0005-0000-0000-0000E9280000}"/>
    <cellStyle name="40% - Accent1 66 2" xfId="4109" xr:uid="{00000000-0005-0000-0000-0000EA280000}"/>
    <cellStyle name="40% - Accent1 66 2 2" xfId="12088" xr:uid="{00000000-0005-0000-0000-0000EB280000}"/>
    <cellStyle name="40% - Accent1 66 2 2 2" xfId="23376" xr:uid="{00000000-0005-0000-0000-0000EC280000}"/>
    <cellStyle name="40% - Accent1 66 2 3" xfId="10094" xr:uid="{00000000-0005-0000-0000-0000ED280000}"/>
    <cellStyle name="40% - Accent1 66 2 3 2" xfId="21382" xr:uid="{00000000-0005-0000-0000-0000EE280000}"/>
    <cellStyle name="40% - Accent1 66 2 4" xfId="8100" xr:uid="{00000000-0005-0000-0000-0000EF280000}"/>
    <cellStyle name="40% - Accent1 66 2 4 2" xfId="19388" xr:uid="{00000000-0005-0000-0000-0000F0280000}"/>
    <cellStyle name="40% - Accent1 66 2 5" xfId="6106" xr:uid="{00000000-0005-0000-0000-0000F1280000}"/>
    <cellStyle name="40% - Accent1 66 2 5 2" xfId="17394" xr:uid="{00000000-0005-0000-0000-0000F2280000}"/>
    <cellStyle name="40% - Accent1 66 2 6" xfId="15400" xr:uid="{00000000-0005-0000-0000-0000F3280000}"/>
    <cellStyle name="40% - Accent1 66 3" xfId="11091" xr:uid="{00000000-0005-0000-0000-0000F4280000}"/>
    <cellStyle name="40% - Accent1 66 3 2" xfId="22379" xr:uid="{00000000-0005-0000-0000-0000F5280000}"/>
    <cellStyle name="40% - Accent1 66 4" xfId="9097" xr:uid="{00000000-0005-0000-0000-0000F6280000}"/>
    <cellStyle name="40% - Accent1 66 4 2" xfId="20385" xr:uid="{00000000-0005-0000-0000-0000F7280000}"/>
    <cellStyle name="40% - Accent1 66 5" xfId="7103" xr:uid="{00000000-0005-0000-0000-0000F8280000}"/>
    <cellStyle name="40% - Accent1 66 5 2" xfId="18391" xr:uid="{00000000-0005-0000-0000-0000F9280000}"/>
    <cellStyle name="40% - Accent1 66 6" xfId="5109" xr:uid="{00000000-0005-0000-0000-0000FA280000}"/>
    <cellStyle name="40% - Accent1 66 6 2" xfId="16397" xr:uid="{00000000-0005-0000-0000-0000FB280000}"/>
    <cellStyle name="40% - Accent1 66 7" xfId="14403" xr:uid="{00000000-0005-0000-0000-0000FC280000}"/>
    <cellStyle name="40% - Accent1 66 8" xfId="13089" xr:uid="{00000000-0005-0000-0000-0000FD280000}"/>
    <cellStyle name="40% - Accent1 67" xfId="1154" xr:uid="{00000000-0005-0000-0000-0000FE280000}"/>
    <cellStyle name="40% - Accent1 67 2" xfId="4110" xr:uid="{00000000-0005-0000-0000-0000FF280000}"/>
    <cellStyle name="40% - Accent1 67 2 2" xfId="12089" xr:uid="{00000000-0005-0000-0000-000000290000}"/>
    <cellStyle name="40% - Accent1 67 2 2 2" xfId="23377" xr:uid="{00000000-0005-0000-0000-000001290000}"/>
    <cellStyle name="40% - Accent1 67 2 3" xfId="10095" xr:uid="{00000000-0005-0000-0000-000002290000}"/>
    <cellStyle name="40% - Accent1 67 2 3 2" xfId="21383" xr:uid="{00000000-0005-0000-0000-000003290000}"/>
    <cellStyle name="40% - Accent1 67 2 4" xfId="8101" xr:uid="{00000000-0005-0000-0000-000004290000}"/>
    <cellStyle name="40% - Accent1 67 2 4 2" xfId="19389" xr:uid="{00000000-0005-0000-0000-000005290000}"/>
    <cellStyle name="40% - Accent1 67 2 5" xfId="6107" xr:uid="{00000000-0005-0000-0000-000006290000}"/>
    <cellStyle name="40% - Accent1 67 2 5 2" xfId="17395" xr:uid="{00000000-0005-0000-0000-000007290000}"/>
    <cellStyle name="40% - Accent1 67 2 6" xfId="15401" xr:uid="{00000000-0005-0000-0000-000008290000}"/>
    <cellStyle name="40% - Accent1 67 3" xfId="11092" xr:uid="{00000000-0005-0000-0000-000009290000}"/>
    <cellStyle name="40% - Accent1 67 3 2" xfId="22380" xr:uid="{00000000-0005-0000-0000-00000A290000}"/>
    <cellStyle name="40% - Accent1 67 4" xfId="9098" xr:uid="{00000000-0005-0000-0000-00000B290000}"/>
    <cellStyle name="40% - Accent1 67 4 2" xfId="20386" xr:uid="{00000000-0005-0000-0000-00000C290000}"/>
    <cellStyle name="40% - Accent1 67 5" xfId="7104" xr:uid="{00000000-0005-0000-0000-00000D290000}"/>
    <cellStyle name="40% - Accent1 67 5 2" xfId="18392" xr:uid="{00000000-0005-0000-0000-00000E290000}"/>
    <cellStyle name="40% - Accent1 67 6" xfId="5110" xr:uid="{00000000-0005-0000-0000-00000F290000}"/>
    <cellStyle name="40% - Accent1 67 6 2" xfId="16398" xr:uid="{00000000-0005-0000-0000-000010290000}"/>
    <cellStyle name="40% - Accent1 67 7" xfId="14404" xr:uid="{00000000-0005-0000-0000-000011290000}"/>
    <cellStyle name="40% - Accent1 67 8" xfId="13090" xr:uid="{00000000-0005-0000-0000-000012290000}"/>
    <cellStyle name="40% - Accent1 68" xfId="1155" xr:uid="{00000000-0005-0000-0000-000013290000}"/>
    <cellStyle name="40% - Accent1 68 2" xfId="4111" xr:uid="{00000000-0005-0000-0000-000014290000}"/>
    <cellStyle name="40% - Accent1 68 2 2" xfId="12090" xr:uid="{00000000-0005-0000-0000-000015290000}"/>
    <cellStyle name="40% - Accent1 68 2 2 2" xfId="23378" xr:uid="{00000000-0005-0000-0000-000016290000}"/>
    <cellStyle name="40% - Accent1 68 2 3" xfId="10096" xr:uid="{00000000-0005-0000-0000-000017290000}"/>
    <cellStyle name="40% - Accent1 68 2 3 2" xfId="21384" xr:uid="{00000000-0005-0000-0000-000018290000}"/>
    <cellStyle name="40% - Accent1 68 2 4" xfId="8102" xr:uid="{00000000-0005-0000-0000-000019290000}"/>
    <cellStyle name="40% - Accent1 68 2 4 2" xfId="19390" xr:uid="{00000000-0005-0000-0000-00001A290000}"/>
    <cellStyle name="40% - Accent1 68 2 5" xfId="6108" xr:uid="{00000000-0005-0000-0000-00001B290000}"/>
    <cellStyle name="40% - Accent1 68 2 5 2" xfId="17396" xr:uid="{00000000-0005-0000-0000-00001C290000}"/>
    <cellStyle name="40% - Accent1 68 2 6" xfId="15402" xr:uid="{00000000-0005-0000-0000-00001D290000}"/>
    <cellStyle name="40% - Accent1 68 3" xfId="11093" xr:uid="{00000000-0005-0000-0000-00001E290000}"/>
    <cellStyle name="40% - Accent1 68 3 2" xfId="22381" xr:uid="{00000000-0005-0000-0000-00001F290000}"/>
    <cellStyle name="40% - Accent1 68 4" xfId="9099" xr:uid="{00000000-0005-0000-0000-000020290000}"/>
    <cellStyle name="40% - Accent1 68 4 2" xfId="20387" xr:uid="{00000000-0005-0000-0000-000021290000}"/>
    <cellStyle name="40% - Accent1 68 5" xfId="7105" xr:uid="{00000000-0005-0000-0000-000022290000}"/>
    <cellStyle name="40% - Accent1 68 5 2" xfId="18393" xr:uid="{00000000-0005-0000-0000-000023290000}"/>
    <cellStyle name="40% - Accent1 68 6" xfId="5111" xr:uid="{00000000-0005-0000-0000-000024290000}"/>
    <cellStyle name="40% - Accent1 68 6 2" xfId="16399" xr:uid="{00000000-0005-0000-0000-000025290000}"/>
    <cellStyle name="40% - Accent1 68 7" xfId="14405" xr:uid="{00000000-0005-0000-0000-000026290000}"/>
    <cellStyle name="40% - Accent1 68 8" xfId="13091" xr:uid="{00000000-0005-0000-0000-000027290000}"/>
    <cellStyle name="40% - Accent1 69" xfId="1156" xr:uid="{00000000-0005-0000-0000-000028290000}"/>
    <cellStyle name="40% - Accent1 69 2" xfId="4112" xr:uid="{00000000-0005-0000-0000-000029290000}"/>
    <cellStyle name="40% - Accent1 69 2 2" xfId="12091" xr:uid="{00000000-0005-0000-0000-00002A290000}"/>
    <cellStyle name="40% - Accent1 69 2 2 2" xfId="23379" xr:uid="{00000000-0005-0000-0000-00002B290000}"/>
    <cellStyle name="40% - Accent1 69 2 3" xfId="10097" xr:uid="{00000000-0005-0000-0000-00002C290000}"/>
    <cellStyle name="40% - Accent1 69 2 3 2" xfId="21385" xr:uid="{00000000-0005-0000-0000-00002D290000}"/>
    <cellStyle name="40% - Accent1 69 2 4" xfId="8103" xr:uid="{00000000-0005-0000-0000-00002E290000}"/>
    <cellStyle name="40% - Accent1 69 2 4 2" xfId="19391" xr:uid="{00000000-0005-0000-0000-00002F290000}"/>
    <cellStyle name="40% - Accent1 69 2 5" xfId="6109" xr:uid="{00000000-0005-0000-0000-000030290000}"/>
    <cellStyle name="40% - Accent1 69 2 5 2" xfId="17397" xr:uid="{00000000-0005-0000-0000-000031290000}"/>
    <cellStyle name="40% - Accent1 69 2 6" xfId="15403" xr:uid="{00000000-0005-0000-0000-000032290000}"/>
    <cellStyle name="40% - Accent1 69 3" xfId="11094" xr:uid="{00000000-0005-0000-0000-000033290000}"/>
    <cellStyle name="40% - Accent1 69 3 2" xfId="22382" xr:uid="{00000000-0005-0000-0000-000034290000}"/>
    <cellStyle name="40% - Accent1 69 4" xfId="9100" xr:uid="{00000000-0005-0000-0000-000035290000}"/>
    <cellStyle name="40% - Accent1 69 4 2" xfId="20388" xr:uid="{00000000-0005-0000-0000-000036290000}"/>
    <cellStyle name="40% - Accent1 69 5" xfId="7106" xr:uid="{00000000-0005-0000-0000-000037290000}"/>
    <cellStyle name="40% - Accent1 69 5 2" xfId="18394" xr:uid="{00000000-0005-0000-0000-000038290000}"/>
    <cellStyle name="40% - Accent1 69 6" xfId="5112" xr:uid="{00000000-0005-0000-0000-000039290000}"/>
    <cellStyle name="40% - Accent1 69 6 2" xfId="16400" xr:uid="{00000000-0005-0000-0000-00003A290000}"/>
    <cellStyle name="40% - Accent1 69 7" xfId="14406" xr:uid="{00000000-0005-0000-0000-00003B290000}"/>
    <cellStyle name="40% - Accent1 69 8" xfId="13092" xr:uid="{00000000-0005-0000-0000-00003C290000}"/>
    <cellStyle name="40% - Accent1 7" xfId="1157" xr:uid="{00000000-0005-0000-0000-00003D290000}"/>
    <cellStyle name="40% - Accent1 7 10" xfId="24600" xr:uid="{00000000-0005-0000-0000-00003E290000}"/>
    <cellStyle name="40% - Accent1 7 11" xfId="24990" xr:uid="{00000000-0005-0000-0000-00003F290000}"/>
    <cellStyle name="40% - Accent1 7 2" xfId="4113" xr:uid="{00000000-0005-0000-0000-000040290000}"/>
    <cellStyle name="40% - Accent1 7 2 2" xfId="12092" xr:uid="{00000000-0005-0000-0000-000041290000}"/>
    <cellStyle name="40% - Accent1 7 2 2 2" xfId="23380" xr:uid="{00000000-0005-0000-0000-000042290000}"/>
    <cellStyle name="40% - Accent1 7 2 3" xfId="10098" xr:uid="{00000000-0005-0000-0000-000043290000}"/>
    <cellStyle name="40% - Accent1 7 2 3 2" xfId="21386" xr:uid="{00000000-0005-0000-0000-000044290000}"/>
    <cellStyle name="40% - Accent1 7 2 4" xfId="8104" xr:uid="{00000000-0005-0000-0000-000045290000}"/>
    <cellStyle name="40% - Accent1 7 2 4 2" xfId="19392" xr:uid="{00000000-0005-0000-0000-000046290000}"/>
    <cellStyle name="40% - Accent1 7 2 5" xfId="6110" xr:uid="{00000000-0005-0000-0000-000047290000}"/>
    <cellStyle name="40% - Accent1 7 2 5 2" xfId="17398" xr:uid="{00000000-0005-0000-0000-000048290000}"/>
    <cellStyle name="40% - Accent1 7 2 6" xfId="15404" xr:uid="{00000000-0005-0000-0000-000049290000}"/>
    <cellStyle name="40% - Accent1 7 2 7" xfId="24361" xr:uid="{00000000-0005-0000-0000-00004A290000}"/>
    <cellStyle name="40% - Accent1 7 2 8" xfId="24825" xr:uid="{00000000-0005-0000-0000-00004B290000}"/>
    <cellStyle name="40% - Accent1 7 2 9" xfId="25192" xr:uid="{00000000-0005-0000-0000-00004C290000}"/>
    <cellStyle name="40% - Accent1 7 3" xfId="11095" xr:uid="{00000000-0005-0000-0000-00004D290000}"/>
    <cellStyle name="40% - Accent1 7 3 2" xfId="22383" xr:uid="{00000000-0005-0000-0000-00004E290000}"/>
    <cellStyle name="40% - Accent1 7 4" xfId="9101" xr:uid="{00000000-0005-0000-0000-00004F290000}"/>
    <cellStyle name="40% - Accent1 7 4 2" xfId="20389" xr:uid="{00000000-0005-0000-0000-000050290000}"/>
    <cellStyle name="40% - Accent1 7 5" xfId="7107" xr:uid="{00000000-0005-0000-0000-000051290000}"/>
    <cellStyle name="40% - Accent1 7 5 2" xfId="18395" xr:uid="{00000000-0005-0000-0000-000052290000}"/>
    <cellStyle name="40% - Accent1 7 6" xfId="5113" xr:uid="{00000000-0005-0000-0000-000053290000}"/>
    <cellStyle name="40% - Accent1 7 6 2" xfId="16401" xr:uid="{00000000-0005-0000-0000-000054290000}"/>
    <cellStyle name="40% - Accent1 7 7" xfId="14407" xr:uid="{00000000-0005-0000-0000-000055290000}"/>
    <cellStyle name="40% - Accent1 7 8" xfId="13093" xr:uid="{00000000-0005-0000-0000-000056290000}"/>
    <cellStyle name="40% - Accent1 7 9" xfId="23973" xr:uid="{00000000-0005-0000-0000-000057290000}"/>
    <cellStyle name="40% - Accent1 70" xfId="1158" xr:uid="{00000000-0005-0000-0000-000058290000}"/>
    <cellStyle name="40% - Accent1 70 2" xfId="4114" xr:uid="{00000000-0005-0000-0000-000059290000}"/>
    <cellStyle name="40% - Accent1 70 2 2" xfId="12093" xr:uid="{00000000-0005-0000-0000-00005A290000}"/>
    <cellStyle name="40% - Accent1 70 2 2 2" xfId="23381" xr:uid="{00000000-0005-0000-0000-00005B290000}"/>
    <cellStyle name="40% - Accent1 70 2 3" xfId="10099" xr:uid="{00000000-0005-0000-0000-00005C290000}"/>
    <cellStyle name="40% - Accent1 70 2 3 2" xfId="21387" xr:uid="{00000000-0005-0000-0000-00005D290000}"/>
    <cellStyle name="40% - Accent1 70 2 4" xfId="8105" xr:uid="{00000000-0005-0000-0000-00005E290000}"/>
    <cellStyle name="40% - Accent1 70 2 4 2" xfId="19393" xr:uid="{00000000-0005-0000-0000-00005F290000}"/>
    <cellStyle name="40% - Accent1 70 2 5" xfId="6111" xr:uid="{00000000-0005-0000-0000-000060290000}"/>
    <cellStyle name="40% - Accent1 70 2 5 2" xfId="17399" xr:uid="{00000000-0005-0000-0000-000061290000}"/>
    <cellStyle name="40% - Accent1 70 2 6" xfId="15405" xr:uid="{00000000-0005-0000-0000-000062290000}"/>
    <cellStyle name="40% - Accent1 70 3" xfId="11096" xr:uid="{00000000-0005-0000-0000-000063290000}"/>
    <cellStyle name="40% - Accent1 70 3 2" xfId="22384" xr:uid="{00000000-0005-0000-0000-000064290000}"/>
    <cellStyle name="40% - Accent1 70 4" xfId="9102" xr:uid="{00000000-0005-0000-0000-000065290000}"/>
    <cellStyle name="40% - Accent1 70 4 2" xfId="20390" xr:uid="{00000000-0005-0000-0000-000066290000}"/>
    <cellStyle name="40% - Accent1 70 5" xfId="7108" xr:uid="{00000000-0005-0000-0000-000067290000}"/>
    <cellStyle name="40% - Accent1 70 5 2" xfId="18396" xr:uid="{00000000-0005-0000-0000-000068290000}"/>
    <cellStyle name="40% - Accent1 70 6" xfId="5114" xr:uid="{00000000-0005-0000-0000-000069290000}"/>
    <cellStyle name="40% - Accent1 70 6 2" xfId="16402" xr:uid="{00000000-0005-0000-0000-00006A290000}"/>
    <cellStyle name="40% - Accent1 70 7" xfId="14408" xr:uid="{00000000-0005-0000-0000-00006B290000}"/>
    <cellStyle name="40% - Accent1 70 8" xfId="13094" xr:uid="{00000000-0005-0000-0000-00006C290000}"/>
    <cellStyle name="40% - Accent1 71" xfId="1159" xr:uid="{00000000-0005-0000-0000-00006D290000}"/>
    <cellStyle name="40% - Accent1 71 2" xfId="4115" xr:uid="{00000000-0005-0000-0000-00006E290000}"/>
    <cellStyle name="40% - Accent1 71 2 2" xfId="12094" xr:uid="{00000000-0005-0000-0000-00006F290000}"/>
    <cellStyle name="40% - Accent1 71 2 2 2" xfId="23382" xr:uid="{00000000-0005-0000-0000-000070290000}"/>
    <cellStyle name="40% - Accent1 71 2 3" xfId="10100" xr:uid="{00000000-0005-0000-0000-000071290000}"/>
    <cellStyle name="40% - Accent1 71 2 3 2" xfId="21388" xr:uid="{00000000-0005-0000-0000-000072290000}"/>
    <cellStyle name="40% - Accent1 71 2 4" xfId="8106" xr:uid="{00000000-0005-0000-0000-000073290000}"/>
    <cellStyle name="40% - Accent1 71 2 4 2" xfId="19394" xr:uid="{00000000-0005-0000-0000-000074290000}"/>
    <cellStyle name="40% - Accent1 71 2 5" xfId="6112" xr:uid="{00000000-0005-0000-0000-000075290000}"/>
    <cellStyle name="40% - Accent1 71 2 5 2" xfId="17400" xr:uid="{00000000-0005-0000-0000-000076290000}"/>
    <cellStyle name="40% - Accent1 71 2 6" xfId="15406" xr:uid="{00000000-0005-0000-0000-000077290000}"/>
    <cellStyle name="40% - Accent1 71 3" xfId="11097" xr:uid="{00000000-0005-0000-0000-000078290000}"/>
    <cellStyle name="40% - Accent1 71 3 2" xfId="22385" xr:uid="{00000000-0005-0000-0000-000079290000}"/>
    <cellStyle name="40% - Accent1 71 4" xfId="9103" xr:uid="{00000000-0005-0000-0000-00007A290000}"/>
    <cellStyle name="40% - Accent1 71 4 2" xfId="20391" xr:uid="{00000000-0005-0000-0000-00007B290000}"/>
    <cellStyle name="40% - Accent1 71 5" xfId="7109" xr:uid="{00000000-0005-0000-0000-00007C290000}"/>
    <cellStyle name="40% - Accent1 71 5 2" xfId="18397" xr:uid="{00000000-0005-0000-0000-00007D290000}"/>
    <cellStyle name="40% - Accent1 71 6" xfId="5115" xr:uid="{00000000-0005-0000-0000-00007E290000}"/>
    <cellStyle name="40% - Accent1 71 6 2" xfId="16403" xr:uid="{00000000-0005-0000-0000-00007F290000}"/>
    <cellStyle name="40% - Accent1 71 7" xfId="14409" xr:uid="{00000000-0005-0000-0000-000080290000}"/>
    <cellStyle name="40% - Accent1 71 8" xfId="13095" xr:uid="{00000000-0005-0000-0000-000081290000}"/>
    <cellStyle name="40% - Accent1 72" xfId="1160" xr:uid="{00000000-0005-0000-0000-000082290000}"/>
    <cellStyle name="40% - Accent1 72 2" xfId="4116" xr:uid="{00000000-0005-0000-0000-000083290000}"/>
    <cellStyle name="40% - Accent1 72 2 2" xfId="12095" xr:uid="{00000000-0005-0000-0000-000084290000}"/>
    <cellStyle name="40% - Accent1 72 2 2 2" xfId="23383" xr:uid="{00000000-0005-0000-0000-000085290000}"/>
    <cellStyle name="40% - Accent1 72 2 3" xfId="10101" xr:uid="{00000000-0005-0000-0000-000086290000}"/>
    <cellStyle name="40% - Accent1 72 2 3 2" xfId="21389" xr:uid="{00000000-0005-0000-0000-000087290000}"/>
    <cellStyle name="40% - Accent1 72 2 4" xfId="8107" xr:uid="{00000000-0005-0000-0000-000088290000}"/>
    <cellStyle name="40% - Accent1 72 2 4 2" xfId="19395" xr:uid="{00000000-0005-0000-0000-000089290000}"/>
    <cellStyle name="40% - Accent1 72 2 5" xfId="6113" xr:uid="{00000000-0005-0000-0000-00008A290000}"/>
    <cellStyle name="40% - Accent1 72 2 5 2" xfId="17401" xr:uid="{00000000-0005-0000-0000-00008B290000}"/>
    <cellStyle name="40% - Accent1 72 2 6" xfId="15407" xr:uid="{00000000-0005-0000-0000-00008C290000}"/>
    <cellStyle name="40% - Accent1 72 3" xfId="11098" xr:uid="{00000000-0005-0000-0000-00008D290000}"/>
    <cellStyle name="40% - Accent1 72 3 2" xfId="22386" xr:uid="{00000000-0005-0000-0000-00008E290000}"/>
    <cellStyle name="40% - Accent1 72 4" xfId="9104" xr:uid="{00000000-0005-0000-0000-00008F290000}"/>
    <cellStyle name="40% - Accent1 72 4 2" xfId="20392" xr:uid="{00000000-0005-0000-0000-000090290000}"/>
    <cellStyle name="40% - Accent1 72 5" xfId="7110" xr:uid="{00000000-0005-0000-0000-000091290000}"/>
    <cellStyle name="40% - Accent1 72 5 2" xfId="18398" xr:uid="{00000000-0005-0000-0000-000092290000}"/>
    <cellStyle name="40% - Accent1 72 6" xfId="5116" xr:uid="{00000000-0005-0000-0000-000093290000}"/>
    <cellStyle name="40% - Accent1 72 6 2" xfId="16404" xr:uid="{00000000-0005-0000-0000-000094290000}"/>
    <cellStyle name="40% - Accent1 72 7" xfId="14410" xr:uid="{00000000-0005-0000-0000-000095290000}"/>
    <cellStyle name="40% - Accent1 72 8" xfId="13096" xr:uid="{00000000-0005-0000-0000-000096290000}"/>
    <cellStyle name="40% - Accent1 8" xfId="1161" xr:uid="{00000000-0005-0000-0000-000097290000}"/>
    <cellStyle name="40% - Accent1 8 2" xfId="4117" xr:uid="{00000000-0005-0000-0000-000098290000}"/>
    <cellStyle name="40% - Accent1 8 2 2" xfId="12096" xr:uid="{00000000-0005-0000-0000-000099290000}"/>
    <cellStyle name="40% - Accent1 8 2 2 2" xfId="23384" xr:uid="{00000000-0005-0000-0000-00009A290000}"/>
    <cellStyle name="40% - Accent1 8 2 3" xfId="10102" xr:uid="{00000000-0005-0000-0000-00009B290000}"/>
    <cellStyle name="40% - Accent1 8 2 3 2" xfId="21390" xr:uid="{00000000-0005-0000-0000-00009C290000}"/>
    <cellStyle name="40% - Accent1 8 2 4" xfId="8108" xr:uid="{00000000-0005-0000-0000-00009D290000}"/>
    <cellStyle name="40% - Accent1 8 2 4 2" xfId="19396" xr:uid="{00000000-0005-0000-0000-00009E290000}"/>
    <cellStyle name="40% - Accent1 8 2 5" xfId="6114" xr:uid="{00000000-0005-0000-0000-00009F290000}"/>
    <cellStyle name="40% - Accent1 8 2 5 2" xfId="17402" xr:uid="{00000000-0005-0000-0000-0000A0290000}"/>
    <cellStyle name="40% - Accent1 8 2 6" xfId="15408" xr:uid="{00000000-0005-0000-0000-0000A1290000}"/>
    <cellStyle name="40% - Accent1 8 3" xfId="11099" xr:uid="{00000000-0005-0000-0000-0000A2290000}"/>
    <cellStyle name="40% - Accent1 8 3 2" xfId="22387" xr:uid="{00000000-0005-0000-0000-0000A3290000}"/>
    <cellStyle name="40% - Accent1 8 4" xfId="9105" xr:uid="{00000000-0005-0000-0000-0000A4290000}"/>
    <cellStyle name="40% - Accent1 8 4 2" xfId="20393" xr:uid="{00000000-0005-0000-0000-0000A5290000}"/>
    <cellStyle name="40% - Accent1 8 5" xfId="7111" xr:uid="{00000000-0005-0000-0000-0000A6290000}"/>
    <cellStyle name="40% - Accent1 8 5 2" xfId="18399" xr:uid="{00000000-0005-0000-0000-0000A7290000}"/>
    <cellStyle name="40% - Accent1 8 6" xfId="5117" xr:uid="{00000000-0005-0000-0000-0000A8290000}"/>
    <cellStyle name="40% - Accent1 8 6 2" xfId="16405" xr:uid="{00000000-0005-0000-0000-0000A9290000}"/>
    <cellStyle name="40% - Accent1 8 7" xfId="14411" xr:uid="{00000000-0005-0000-0000-0000AA290000}"/>
    <cellStyle name="40% - Accent1 8 8" xfId="13097" xr:uid="{00000000-0005-0000-0000-0000AB290000}"/>
    <cellStyle name="40% - Accent1 9" xfId="1162" xr:uid="{00000000-0005-0000-0000-0000AC290000}"/>
    <cellStyle name="40% - Accent1 9 2" xfId="4118" xr:uid="{00000000-0005-0000-0000-0000AD290000}"/>
    <cellStyle name="40% - Accent1 9 2 2" xfId="12097" xr:uid="{00000000-0005-0000-0000-0000AE290000}"/>
    <cellStyle name="40% - Accent1 9 2 2 2" xfId="23385" xr:uid="{00000000-0005-0000-0000-0000AF290000}"/>
    <cellStyle name="40% - Accent1 9 2 3" xfId="10103" xr:uid="{00000000-0005-0000-0000-0000B0290000}"/>
    <cellStyle name="40% - Accent1 9 2 3 2" xfId="21391" xr:uid="{00000000-0005-0000-0000-0000B1290000}"/>
    <cellStyle name="40% - Accent1 9 2 4" xfId="8109" xr:uid="{00000000-0005-0000-0000-0000B2290000}"/>
    <cellStyle name="40% - Accent1 9 2 4 2" xfId="19397" xr:uid="{00000000-0005-0000-0000-0000B3290000}"/>
    <cellStyle name="40% - Accent1 9 2 5" xfId="6115" xr:uid="{00000000-0005-0000-0000-0000B4290000}"/>
    <cellStyle name="40% - Accent1 9 2 5 2" xfId="17403" xr:uid="{00000000-0005-0000-0000-0000B5290000}"/>
    <cellStyle name="40% - Accent1 9 2 6" xfId="15409" xr:uid="{00000000-0005-0000-0000-0000B6290000}"/>
    <cellStyle name="40% - Accent1 9 3" xfId="11100" xr:uid="{00000000-0005-0000-0000-0000B7290000}"/>
    <cellStyle name="40% - Accent1 9 3 2" xfId="22388" xr:uid="{00000000-0005-0000-0000-0000B8290000}"/>
    <cellStyle name="40% - Accent1 9 4" xfId="9106" xr:uid="{00000000-0005-0000-0000-0000B9290000}"/>
    <cellStyle name="40% - Accent1 9 4 2" xfId="20394" xr:uid="{00000000-0005-0000-0000-0000BA290000}"/>
    <cellStyle name="40% - Accent1 9 5" xfId="7112" xr:uid="{00000000-0005-0000-0000-0000BB290000}"/>
    <cellStyle name="40% - Accent1 9 5 2" xfId="18400" xr:uid="{00000000-0005-0000-0000-0000BC290000}"/>
    <cellStyle name="40% - Accent1 9 6" xfId="5118" xr:uid="{00000000-0005-0000-0000-0000BD290000}"/>
    <cellStyle name="40% - Accent1 9 6 2" xfId="16406" xr:uid="{00000000-0005-0000-0000-0000BE290000}"/>
    <cellStyle name="40% - Accent1 9 7" xfId="14412" xr:uid="{00000000-0005-0000-0000-0000BF290000}"/>
    <cellStyle name="40% - Accent1 9 8" xfId="13098" xr:uid="{00000000-0005-0000-0000-0000C0290000}"/>
    <cellStyle name="40% - Accent2 10" xfId="1163" xr:uid="{00000000-0005-0000-0000-0000C1290000}"/>
    <cellStyle name="40% - Accent2 10 2" xfId="4119" xr:uid="{00000000-0005-0000-0000-0000C2290000}"/>
    <cellStyle name="40% - Accent2 10 2 2" xfId="12098" xr:uid="{00000000-0005-0000-0000-0000C3290000}"/>
    <cellStyle name="40% - Accent2 10 2 2 2" xfId="23386" xr:uid="{00000000-0005-0000-0000-0000C4290000}"/>
    <cellStyle name="40% - Accent2 10 2 3" xfId="10104" xr:uid="{00000000-0005-0000-0000-0000C5290000}"/>
    <cellStyle name="40% - Accent2 10 2 3 2" xfId="21392" xr:uid="{00000000-0005-0000-0000-0000C6290000}"/>
    <cellStyle name="40% - Accent2 10 2 4" xfId="8110" xr:uid="{00000000-0005-0000-0000-0000C7290000}"/>
    <cellStyle name="40% - Accent2 10 2 4 2" xfId="19398" xr:uid="{00000000-0005-0000-0000-0000C8290000}"/>
    <cellStyle name="40% - Accent2 10 2 5" xfId="6116" xr:uid="{00000000-0005-0000-0000-0000C9290000}"/>
    <cellStyle name="40% - Accent2 10 2 5 2" xfId="17404" xr:uid="{00000000-0005-0000-0000-0000CA290000}"/>
    <cellStyle name="40% - Accent2 10 2 6" xfId="15410" xr:uid="{00000000-0005-0000-0000-0000CB290000}"/>
    <cellStyle name="40% - Accent2 10 3" xfId="11101" xr:uid="{00000000-0005-0000-0000-0000CC290000}"/>
    <cellStyle name="40% - Accent2 10 3 2" xfId="22389" xr:uid="{00000000-0005-0000-0000-0000CD290000}"/>
    <cellStyle name="40% - Accent2 10 4" xfId="9107" xr:uid="{00000000-0005-0000-0000-0000CE290000}"/>
    <cellStyle name="40% - Accent2 10 4 2" xfId="20395" xr:uid="{00000000-0005-0000-0000-0000CF290000}"/>
    <cellStyle name="40% - Accent2 10 5" xfId="7113" xr:uid="{00000000-0005-0000-0000-0000D0290000}"/>
    <cellStyle name="40% - Accent2 10 5 2" xfId="18401" xr:uid="{00000000-0005-0000-0000-0000D1290000}"/>
    <cellStyle name="40% - Accent2 10 6" xfId="5119" xr:uid="{00000000-0005-0000-0000-0000D2290000}"/>
    <cellStyle name="40% - Accent2 10 6 2" xfId="16407" xr:uid="{00000000-0005-0000-0000-0000D3290000}"/>
    <cellStyle name="40% - Accent2 10 7" xfId="14413" xr:uid="{00000000-0005-0000-0000-0000D4290000}"/>
    <cellStyle name="40% - Accent2 10 8" xfId="13099" xr:uid="{00000000-0005-0000-0000-0000D5290000}"/>
    <cellStyle name="40% - Accent2 11" xfId="1164" xr:uid="{00000000-0005-0000-0000-0000D6290000}"/>
    <cellStyle name="40% - Accent2 11 2" xfId="4120" xr:uid="{00000000-0005-0000-0000-0000D7290000}"/>
    <cellStyle name="40% - Accent2 11 2 2" xfId="12099" xr:uid="{00000000-0005-0000-0000-0000D8290000}"/>
    <cellStyle name="40% - Accent2 11 2 2 2" xfId="23387" xr:uid="{00000000-0005-0000-0000-0000D9290000}"/>
    <cellStyle name="40% - Accent2 11 2 3" xfId="10105" xr:uid="{00000000-0005-0000-0000-0000DA290000}"/>
    <cellStyle name="40% - Accent2 11 2 3 2" xfId="21393" xr:uid="{00000000-0005-0000-0000-0000DB290000}"/>
    <cellStyle name="40% - Accent2 11 2 4" xfId="8111" xr:uid="{00000000-0005-0000-0000-0000DC290000}"/>
    <cellStyle name="40% - Accent2 11 2 4 2" xfId="19399" xr:uid="{00000000-0005-0000-0000-0000DD290000}"/>
    <cellStyle name="40% - Accent2 11 2 5" xfId="6117" xr:uid="{00000000-0005-0000-0000-0000DE290000}"/>
    <cellStyle name="40% - Accent2 11 2 5 2" xfId="17405" xr:uid="{00000000-0005-0000-0000-0000DF290000}"/>
    <cellStyle name="40% - Accent2 11 2 6" xfId="15411" xr:uid="{00000000-0005-0000-0000-0000E0290000}"/>
    <cellStyle name="40% - Accent2 11 3" xfId="11102" xr:uid="{00000000-0005-0000-0000-0000E1290000}"/>
    <cellStyle name="40% - Accent2 11 3 2" xfId="22390" xr:uid="{00000000-0005-0000-0000-0000E2290000}"/>
    <cellStyle name="40% - Accent2 11 4" xfId="9108" xr:uid="{00000000-0005-0000-0000-0000E3290000}"/>
    <cellStyle name="40% - Accent2 11 4 2" xfId="20396" xr:uid="{00000000-0005-0000-0000-0000E4290000}"/>
    <cellStyle name="40% - Accent2 11 5" xfId="7114" xr:uid="{00000000-0005-0000-0000-0000E5290000}"/>
    <cellStyle name="40% - Accent2 11 5 2" xfId="18402" xr:uid="{00000000-0005-0000-0000-0000E6290000}"/>
    <cellStyle name="40% - Accent2 11 6" xfId="5120" xr:uid="{00000000-0005-0000-0000-0000E7290000}"/>
    <cellStyle name="40% - Accent2 11 6 2" xfId="16408" xr:uid="{00000000-0005-0000-0000-0000E8290000}"/>
    <cellStyle name="40% - Accent2 11 7" xfId="14414" xr:uid="{00000000-0005-0000-0000-0000E9290000}"/>
    <cellStyle name="40% - Accent2 11 8" xfId="13100" xr:uid="{00000000-0005-0000-0000-0000EA290000}"/>
    <cellStyle name="40% - Accent2 12" xfId="1165" xr:uid="{00000000-0005-0000-0000-0000EB290000}"/>
    <cellStyle name="40% - Accent2 12 2" xfId="4121" xr:uid="{00000000-0005-0000-0000-0000EC290000}"/>
    <cellStyle name="40% - Accent2 12 2 2" xfId="12100" xr:uid="{00000000-0005-0000-0000-0000ED290000}"/>
    <cellStyle name="40% - Accent2 12 2 2 2" xfId="23388" xr:uid="{00000000-0005-0000-0000-0000EE290000}"/>
    <cellStyle name="40% - Accent2 12 2 3" xfId="10106" xr:uid="{00000000-0005-0000-0000-0000EF290000}"/>
    <cellStyle name="40% - Accent2 12 2 3 2" xfId="21394" xr:uid="{00000000-0005-0000-0000-0000F0290000}"/>
    <cellStyle name="40% - Accent2 12 2 4" xfId="8112" xr:uid="{00000000-0005-0000-0000-0000F1290000}"/>
    <cellStyle name="40% - Accent2 12 2 4 2" xfId="19400" xr:uid="{00000000-0005-0000-0000-0000F2290000}"/>
    <cellStyle name="40% - Accent2 12 2 5" xfId="6118" xr:uid="{00000000-0005-0000-0000-0000F3290000}"/>
    <cellStyle name="40% - Accent2 12 2 5 2" xfId="17406" xr:uid="{00000000-0005-0000-0000-0000F4290000}"/>
    <cellStyle name="40% - Accent2 12 2 6" xfId="15412" xr:uid="{00000000-0005-0000-0000-0000F5290000}"/>
    <cellStyle name="40% - Accent2 12 3" xfId="11103" xr:uid="{00000000-0005-0000-0000-0000F6290000}"/>
    <cellStyle name="40% - Accent2 12 3 2" xfId="22391" xr:uid="{00000000-0005-0000-0000-0000F7290000}"/>
    <cellStyle name="40% - Accent2 12 4" xfId="9109" xr:uid="{00000000-0005-0000-0000-0000F8290000}"/>
    <cellStyle name="40% - Accent2 12 4 2" xfId="20397" xr:uid="{00000000-0005-0000-0000-0000F9290000}"/>
    <cellStyle name="40% - Accent2 12 5" xfId="7115" xr:uid="{00000000-0005-0000-0000-0000FA290000}"/>
    <cellStyle name="40% - Accent2 12 5 2" xfId="18403" xr:uid="{00000000-0005-0000-0000-0000FB290000}"/>
    <cellStyle name="40% - Accent2 12 6" xfId="5121" xr:uid="{00000000-0005-0000-0000-0000FC290000}"/>
    <cellStyle name="40% - Accent2 12 6 2" xfId="16409" xr:uid="{00000000-0005-0000-0000-0000FD290000}"/>
    <cellStyle name="40% - Accent2 12 7" xfId="14415" xr:uid="{00000000-0005-0000-0000-0000FE290000}"/>
    <cellStyle name="40% - Accent2 12 8" xfId="13101" xr:uid="{00000000-0005-0000-0000-0000FF290000}"/>
    <cellStyle name="40% - Accent2 13" xfId="1166" xr:uid="{00000000-0005-0000-0000-0000002A0000}"/>
    <cellStyle name="40% - Accent2 13 2" xfId="4122" xr:uid="{00000000-0005-0000-0000-0000012A0000}"/>
    <cellStyle name="40% - Accent2 13 2 2" xfId="12101" xr:uid="{00000000-0005-0000-0000-0000022A0000}"/>
    <cellStyle name="40% - Accent2 13 2 2 2" xfId="23389" xr:uid="{00000000-0005-0000-0000-0000032A0000}"/>
    <cellStyle name="40% - Accent2 13 2 3" xfId="10107" xr:uid="{00000000-0005-0000-0000-0000042A0000}"/>
    <cellStyle name="40% - Accent2 13 2 3 2" xfId="21395" xr:uid="{00000000-0005-0000-0000-0000052A0000}"/>
    <cellStyle name="40% - Accent2 13 2 4" xfId="8113" xr:uid="{00000000-0005-0000-0000-0000062A0000}"/>
    <cellStyle name="40% - Accent2 13 2 4 2" xfId="19401" xr:uid="{00000000-0005-0000-0000-0000072A0000}"/>
    <cellStyle name="40% - Accent2 13 2 5" xfId="6119" xr:uid="{00000000-0005-0000-0000-0000082A0000}"/>
    <cellStyle name="40% - Accent2 13 2 5 2" xfId="17407" xr:uid="{00000000-0005-0000-0000-0000092A0000}"/>
    <cellStyle name="40% - Accent2 13 2 6" xfId="15413" xr:uid="{00000000-0005-0000-0000-00000A2A0000}"/>
    <cellStyle name="40% - Accent2 13 3" xfId="11104" xr:uid="{00000000-0005-0000-0000-00000B2A0000}"/>
    <cellStyle name="40% - Accent2 13 3 2" xfId="22392" xr:uid="{00000000-0005-0000-0000-00000C2A0000}"/>
    <cellStyle name="40% - Accent2 13 4" xfId="9110" xr:uid="{00000000-0005-0000-0000-00000D2A0000}"/>
    <cellStyle name="40% - Accent2 13 4 2" xfId="20398" xr:uid="{00000000-0005-0000-0000-00000E2A0000}"/>
    <cellStyle name="40% - Accent2 13 5" xfId="7116" xr:uid="{00000000-0005-0000-0000-00000F2A0000}"/>
    <cellStyle name="40% - Accent2 13 5 2" xfId="18404" xr:uid="{00000000-0005-0000-0000-0000102A0000}"/>
    <cellStyle name="40% - Accent2 13 6" xfId="5122" xr:uid="{00000000-0005-0000-0000-0000112A0000}"/>
    <cellStyle name="40% - Accent2 13 6 2" xfId="16410" xr:uid="{00000000-0005-0000-0000-0000122A0000}"/>
    <cellStyle name="40% - Accent2 13 7" xfId="14416" xr:uid="{00000000-0005-0000-0000-0000132A0000}"/>
    <cellStyle name="40% - Accent2 13 8" xfId="13102" xr:uid="{00000000-0005-0000-0000-0000142A0000}"/>
    <cellStyle name="40% - Accent2 14" xfId="1167" xr:uid="{00000000-0005-0000-0000-0000152A0000}"/>
    <cellStyle name="40% - Accent2 14 2" xfId="4123" xr:uid="{00000000-0005-0000-0000-0000162A0000}"/>
    <cellStyle name="40% - Accent2 14 2 2" xfId="12102" xr:uid="{00000000-0005-0000-0000-0000172A0000}"/>
    <cellStyle name="40% - Accent2 14 2 2 2" xfId="23390" xr:uid="{00000000-0005-0000-0000-0000182A0000}"/>
    <cellStyle name="40% - Accent2 14 2 3" xfId="10108" xr:uid="{00000000-0005-0000-0000-0000192A0000}"/>
    <cellStyle name="40% - Accent2 14 2 3 2" xfId="21396" xr:uid="{00000000-0005-0000-0000-00001A2A0000}"/>
    <cellStyle name="40% - Accent2 14 2 4" xfId="8114" xr:uid="{00000000-0005-0000-0000-00001B2A0000}"/>
    <cellStyle name="40% - Accent2 14 2 4 2" xfId="19402" xr:uid="{00000000-0005-0000-0000-00001C2A0000}"/>
    <cellStyle name="40% - Accent2 14 2 5" xfId="6120" xr:uid="{00000000-0005-0000-0000-00001D2A0000}"/>
    <cellStyle name="40% - Accent2 14 2 5 2" xfId="17408" xr:uid="{00000000-0005-0000-0000-00001E2A0000}"/>
    <cellStyle name="40% - Accent2 14 2 6" xfId="15414" xr:uid="{00000000-0005-0000-0000-00001F2A0000}"/>
    <cellStyle name="40% - Accent2 14 3" xfId="11105" xr:uid="{00000000-0005-0000-0000-0000202A0000}"/>
    <cellStyle name="40% - Accent2 14 3 2" xfId="22393" xr:uid="{00000000-0005-0000-0000-0000212A0000}"/>
    <cellStyle name="40% - Accent2 14 4" xfId="9111" xr:uid="{00000000-0005-0000-0000-0000222A0000}"/>
    <cellStyle name="40% - Accent2 14 4 2" xfId="20399" xr:uid="{00000000-0005-0000-0000-0000232A0000}"/>
    <cellStyle name="40% - Accent2 14 5" xfId="7117" xr:uid="{00000000-0005-0000-0000-0000242A0000}"/>
    <cellStyle name="40% - Accent2 14 5 2" xfId="18405" xr:uid="{00000000-0005-0000-0000-0000252A0000}"/>
    <cellStyle name="40% - Accent2 14 6" xfId="5123" xr:uid="{00000000-0005-0000-0000-0000262A0000}"/>
    <cellStyle name="40% - Accent2 14 6 2" xfId="16411" xr:uid="{00000000-0005-0000-0000-0000272A0000}"/>
    <cellStyle name="40% - Accent2 14 7" xfId="14417" xr:uid="{00000000-0005-0000-0000-0000282A0000}"/>
    <cellStyle name="40% - Accent2 14 8" xfId="13103" xr:uid="{00000000-0005-0000-0000-0000292A0000}"/>
    <cellStyle name="40% - Accent2 15" xfId="1168" xr:uid="{00000000-0005-0000-0000-00002A2A0000}"/>
    <cellStyle name="40% - Accent2 15 2" xfId="4124" xr:uid="{00000000-0005-0000-0000-00002B2A0000}"/>
    <cellStyle name="40% - Accent2 15 2 2" xfId="12103" xr:uid="{00000000-0005-0000-0000-00002C2A0000}"/>
    <cellStyle name="40% - Accent2 15 2 2 2" xfId="23391" xr:uid="{00000000-0005-0000-0000-00002D2A0000}"/>
    <cellStyle name="40% - Accent2 15 2 3" xfId="10109" xr:uid="{00000000-0005-0000-0000-00002E2A0000}"/>
    <cellStyle name="40% - Accent2 15 2 3 2" xfId="21397" xr:uid="{00000000-0005-0000-0000-00002F2A0000}"/>
    <cellStyle name="40% - Accent2 15 2 4" xfId="8115" xr:uid="{00000000-0005-0000-0000-0000302A0000}"/>
    <cellStyle name="40% - Accent2 15 2 4 2" xfId="19403" xr:uid="{00000000-0005-0000-0000-0000312A0000}"/>
    <cellStyle name="40% - Accent2 15 2 5" xfId="6121" xr:uid="{00000000-0005-0000-0000-0000322A0000}"/>
    <cellStyle name="40% - Accent2 15 2 5 2" xfId="17409" xr:uid="{00000000-0005-0000-0000-0000332A0000}"/>
    <cellStyle name="40% - Accent2 15 2 6" xfId="15415" xr:uid="{00000000-0005-0000-0000-0000342A0000}"/>
    <cellStyle name="40% - Accent2 15 3" xfId="11106" xr:uid="{00000000-0005-0000-0000-0000352A0000}"/>
    <cellStyle name="40% - Accent2 15 3 2" xfId="22394" xr:uid="{00000000-0005-0000-0000-0000362A0000}"/>
    <cellStyle name="40% - Accent2 15 4" xfId="9112" xr:uid="{00000000-0005-0000-0000-0000372A0000}"/>
    <cellStyle name="40% - Accent2 15 4 2" xfId="20400" xr:uid="{00000000-0005-0000-0000-0000382A0000}"/>
    <cellStyle name="40% - Accent2 15 5" xfId="7118" xr:uid="{00000000-0005-0000-0000-0000392A0000}"/>
    <cellStyle name="40% - Accent2 15 5 2" xfId="18406" xr:uid="{00000000-0005-0000-0000-00003A2A0000}"/>
    <cellStyle name="40% - Accent2 15 6" xfId="5124" xr:uid="{00000000-0005-0000-0000-00003B2A0000}"/>
    <cellStyle name="40% - Accent2 15 6 2" xfId="16412" xr:uid="{00000000-0005-0000-0000-00003C2A0000}"/>
    <cellStyle name="40% - Accent2 15 7" xfId="14418" xr:uid="{00000000-0005-0000-0000-00003D2A0000}"/>
    <cellStyle name="40% - Accent2 15 8" xfId="13104" xr:uid="{00000000-0005-0000-0000-00003E2A0000}"/>
    <cellStyle name="40% - Accent2 16" xfId="1169" xr:uid="{00000000-0005-0000-0000-00003F2A0000}"/>
    <cellStyle name="40% - Accent2 16 2" xfId="4125" xr:uid="{00000000-0005-0000-0000-0000402A0000}"/>
    <cellStyle name="40% - Accent2 16 2 2" xfId="12104" xr:uid="{00000000-0005-0000-0000-0000412A0000}"/>
    <cellStyle name="40% - Accent2 16 2 2 2" xfId="23392" xr:uid="{00000000-0005-0000-0000-0000422A0000}"/>
    <cellStyle name="40% - Accent2 16 2 3" xfId="10110" xr:uid="{00000000-0005-0000-0000-0000432A0000}"/>
    <cellStyle name="40% - Accent2 16 2 3 2" xfId="21398" xr:uid="{00000000-0005-0000-0000-0000442A0000}"/>
    <cellStyle name="40% - Accent2 16 2 4" xfId="8116" xr:uid="{00000000-0005-0000-0000-0000452A0000}"/>
    <cellStyle name="40% - Accent2 16 2 4 2" xfId="19404" xr:uid="{00000000-0005-0000-0000-0000462A0000}"/>
    <cellStyle name="40% - Accent2 16 2 5" xfId="6122" xr:uid="{00000000-0005-0000-0000-0000472A0000}"/>
    <cellStyle name="40% - Accent2 16 2 5 2" xfId="17410" xr:uid="{00000000-0005-0000-0000-0000482A0000}"/>
    <cellStyle name="40% - Accent2 16 2 6" xfId="15416" xr:uid="{00000000-0005-0000-0000-0000492A0000}"/>
    <cellStyle name="40% - Accent2 16 3" xfId="11107" xr:uid="{00000000-0005-0000-0000-00004A2A0000}"/>
    <cellStyle name="40% - Accent2 16 3 2" xfId="22395" xr:uid="{00000000-0005-0000-0000-00004B2A0000}"/>
    <cellStyle name="40% - Accent2 16 4" xfId="9113" xr:uid="{00000000-0005-0000-0000-00004C2A0000}"/>
    <cellStyle name="40% - Accent2 16 4 2" xfId="20401" xr:uid="{00000000-0005-0000-0000-00004D2A0000}"/>
    <cellStyle name="40% - Accent2 16 5" xfId="7119" xr:uid="{00000000-0005-0000-0000-00004E2A0000}"/>
    <cellStyle name="40% - Accent2 16 5 2" xfId="18407" xr:uid="{00000000-0005-0000-0000-00004F2A0000}"/>
    <cellStyle name="40% - Accent2 16 6" xfId="5125" xr:uid="{00000000-0005-0000-0000-0000502A0000}"/>
    <cellStyle name="40% - Accent2 16 6 2" xfId="16413" xr:uid="{00000000-0005-0000-0000-0000512A0000}"/>
    <cellStyle name="40% - Accent2 16 7" xfId="14419" xr:uid="{00000000-0005-0000-0000-0000522A0000}"/>
    <cellStyle name="40% - Accent2 16 8" xfId="13105" xr:uid="{00000000-0005-0000-0000-0000532A0000}"/>
    <cellStyle name="40% - Accent2 17" xfId="1170" xr:uid="{00000000-0005-0000-0000-0000542A0000}"/>
    <cellStyle name="40% - Accent2 17 2" xfId="4126" xr:uid="{00000000-0005-0000-0000-0000552A0000}"/>
    <cellStyle name="40% - Accent2 17 2 2" xfId="12105" xr:uid="{00000000-0005-0000-0000-0000562A0000}"/>
    <cellStyle name="40% - Accent2 17 2 2 2" xfId="23393" xr:uid="{00000000-0005-0000-0000-0000572A0000}"/>
    <cellStyle name="40% - Accent2 17 2 3" xfId="10111" xr:uid="{00000000-0005-0000-0000-0000582A0000}"/>
    <cellStyle name="40% - Accent2 17 2 3 2" xfId="21399" xr:uid="{00000000-0005-0000-0000-0000592A0000}"/>
    <cellStyle name="40% - Accent2 17 2 4" xfId="8117" xr:uid="{00000000-0005-0000-0000-00005A2A0000}"/>
    <cellStyle name="40% - Accent2 17 2 4 2" xfId="19405" xr:uid="{00000000-0005-0000-0000-00005B2A0000}"/>
    <cellStyle name="40% - Accent2 17 2 5" xfId="6123" xr:uid="{00000000-0005-0000-0000-00005C2A0000}"/>
    <cellStyle name="40% - Accent2 17 2 5 2" xfId="17411" xr:uid="{00000000-0005-0000-0000-00005D2A0000}"/>
    <cellStyle name="40% - Accent2 17 2 6" xfId="15417" xr:uid="{00000000-0005-0000-0000-00005E2A0000}"/>
    <cellStyle name="40% - Accent2 17 3" xfId="11108" xr:uid="{00000000-0005-0000-0000-00005F2A0000}"/>
    <cellStyle name="40% - Accent2 17 3 2" xfId="22396" xr:uid="{00000000-0005-0000-0000-0000602A0000}"/>
    <cellStyle name="40% - Accent2 17 4" xfId="9114" xr:uid="{00000000-0005-0000-0000-0000612A0000}"/>
    <cellStyle name="40% - Accent2 17 4 2" xfId="20402" xr:uid="{00000000-0005-0000-0000-0000622A0000}"/>
    <cellStyle name="40% - Accent2 17 5" xfId="7120" xr:uid="{00000000-0005-0000-0000-0000632A0000}"/>
    <cellStyle name="40% - Accent2 17 5 2" xfId="18408" xr:uid="{00000000-0005-0000-0000-0000642A0000}"/>
    <cellStyle name="40% - Accent2 17 6" xfId="5126" xr:uid="{00000000-0005-0000-0000-0000652A0000}"/>
    <cellStyle name="40% - Accent2 17 6 2" xfId="16414" xr:uid="{00000000-0005-0000-0000-0000662A0000}"/>
    <cellStyle name="40% - Accent2 17 7" xfId="14420" xr:uid="{00000000-0005-0000-0000-0000672A0000}"/>
    <cellStyle name="40% - Accent2 17 8" xfId="13106" xr:uid="{00000000-0005-0000-0000-0000682A0000}"/>
    <cellStyle name="40% - Accent2 18" xfId="1171" xr:uid="{00000000-0005-0000-0000-0000692A0000}"/>
    <cellStyle name="40% - Accent2 18 2" xfId="4127" xr:uid="{00000000-0005-0000-0000-00006A2A0000}"/>
    <cellStyle name="40% - Accent2 18 2 2" xfId="12106" xr:uid="{00000000-0005-0000-0000-00006B2A0000}"/>
    <cellStyle name="40% - Accent2 18 2 2 2" xfId="23394" xr:uid="{00000000-0005-0000-0000-00006C2A0000}"/>
    <cellStyle name="40% - Accent2 18 2 3" xfId="10112" xr:uid="{00000000-0005-0000-0000-00006D2A0000}"/>
    <cellStyle name="40% - Accent2 18 2 3 2" xfId="21400" xr:uid="{00000000-0005-0000-0000-00006E2A0000}"/>
    <cellStyle name="40% - Accent2 18 2 4" xfId="8118" xr:uid="{00000000-0005-0000-0000-00006F2A0000}"/>
    <cellStyle name="40% - Accent2 18 2 4 2" xfId="19406" xr:uid="{00000000-0005-0000-0000-0000702A0000}"/>
    <cellStyle name="40% - Accent2 18 2 5" xfId="6124" xr:uid="{00000000-0005-0000-0000-0000712A0000}"/>
    <cellStyle name="40% - Accent2 18 2 5 2" xfId="17412" xr:uid="{00000000-0005-0000-0000-0000722A0000}"/>
    <cellStyle name="40% - Accent2 18 2 6" xfId="15418" xr:uid="{00000000-0005-0000-0000-0000732A0000}"/>
    <cellStyle name="40% - Accent2 18 3" xfId="11109" xr:uid="{00000000-0005-0000-0000-0000742A0000}"/>
    <cellStyle name="40% - Accent2 18 3 2" xfId="22397" xr:uid="{00000000-0005-0000-0000-0000752A0000}"/>
    <cellStyle name="40% - Accent2 18 4" xfId="9115" xr:uid="{00000000-0005-0000-0000-0000762A0000}"/>
    <cellStyle name="40% - Accent2 18 4 2" xfId="20403" xr:uid="{00000000-0005-0000-0000-0000772A0000}"/>
    <cellStyle name="40% - Accent2 18 5" xfId="7121" xr:uid="{00000000-0005-0000-0000-0000782A0000}"/>
    <cellStyle name="40% - Accent2 18 5 2" xfId="18409" xr:uid="{00000000-0005-0000-0000-0000792A0000}"/>
    <cellStyle name="40% - Accent2 18 6" xfId="5127" xr:uid="{00000000-0005-0000-0000-00007A2A0000}"/>
    <cellStyle name="40% - Accent2 18 6 2" xfId="16415" xr:uid="{00000000-0005-0000-0000-00007B2A0000}"/>
    <cellStyle name="40% - Accent2 18 7" xfId="14421" xr:uid="{00000000-0005-0000-0000-00007C2A0000}"/>
    <cellStyle name="40% - Accent2 18 8" xfId="13107" xr:uid="{00000000-0005-0000-0000-00007D2A0000}"/>
    <cellStyle name="40% - Accent2 19" xfId="1172" xr:uid="{00000000-0005-0000-0000-00007E2A0000}"/>
    <cellStyle name="40% - Accent2 19 2" xfId="4128" xr:uid="{00000000-0005-0000-0000-00007F2A0000}"/>
    <cellStyle name="40% - Accent2 19 2 2" xfId="12107" xr:uid="{00000000-0005-0000-0000-0000802A0000}"/>
    <cellStyle name="40% - Accent2 19 2 2 2" xfId="23395" xr:uid="{00000000-0005-0000-0000-0000812A0000}"/>
    <cellStyle name="40% - Accent2 19 2 3" xfId="10113" xr:uid="{00000000-0005-0000-0000-0000822A0000}"/>
    <cellStyle name="40% - Accent2 19 2 3 2" xfId="21401" xr:uid="{00000000-0005-0000-0000-0000832A0000}"/>
    <cellStyle name="40% - Accent2 19 2 4" xfId="8119" xr:uid="{00000000-0005-0000-0000-0000842A0000}"/>
    <cellStyle name="40% - Accent2 19 2 4 2" xfId="19407" xr:uid="{00000000-0005-0000-0000-0000852A0000}"/>
    <cellStyle name="40% - Accent2 19 2 5" xfId="6125" xr:uid="{00000000-0005-0000-0000-0000862A0000}"/>
    <cellStyle name="40% - Accent2 19 2 5 2" xfId="17413" xr:uid="{00000000-0005-0000-0000-0000872A0000}"/>
    <cellStyle name="40% - Accent2 19 2 6" xfId="15419" xr:uid="{00000000-0005-0000-0000-0000882A0000}"/>
    <cellStyle name="40% - Accent2 19 3" xfId="11110" xr:uid="{00000000-0005-0000-0000-0000892A0000}"/>
    <cellStyle name="40% - Accent2 19 3 2" xfId="22398" xr:uid="{00000000-0005-0000-0000-00008A2A0000}"/>
    <cellStyle name="40% - Accent2 19 4" xfId="9116" xr:uid="{00000000-0005-0000-0000-00008B2A0000}"/>
    <cellStyle name="40% - Accent2 19 4 2" xfId="20404" xr:uid="{00000000-0005-0000-0000-00008C2A0000}"/>
    <cellStyle name="40% - Accent2 19 5" xfId="7122" xr:uid="{00000000-0005-0000-0000-00008D2A0000}"/>
    <cellStyle name="40% - Accent2 19 5 2" xfId="18410" xr:uid="{00000000-0005-0000-0000-00008E2A0000}"/>
    <cellStyle name="40% - Accent2 19 6" xfId="5128" xr:uid="{00000000-0005-0000-0000-00008F2A0000}"/>
    <cellStyle name="40% - Accent2 19 6 2" xfId="16416" xr:uid="{00000000-0005-0000-0000-0000902A0000}"/>
    <cellStyle name="40% - Accent2 19 7" xfId="14422" xr:uid="{00000000-0005-0000-0000-0000912A0000}"/>
    <cellStyle name="40% - Accent2 19 8" xfId="13108" xr:uid="{00000000-0005-0000-0000-0000922A0000}"/>
    <cellStyle name="40% - Accent2 2" xfId="1173" xr:uid="{00000000-0005-0000-0000-0000932A0000}"/>
    <cellStyle name="40% - Accent2 2 10" xfId="24601" xr:uid="{00000000-0005-0000-0000-0000942A0000}"/>
    <cellStyle name="40% - Accent2 2 11" xfId="24991" xr:uid="{00000000-0005-0000-0000-0000952A0000}"/>
    <cellStyle name="40% - Accent2 2 2" xfId="4129" xr:uid="{00000000-0005-0000-0000-0000962A0000}"/>
    <cellStyle name="40% - Accent2 2 2 2" xfId="12108" xr:uid="{00000000-0005-0000-0000-0000972A0000}"/>
    <cellStyle name="40% - Accent2 2 2 2 2" xfId="23396" xr:uid="{00000000-0005-0000-0000-0000982A0000}"/>
    <cellStyle name="40% - Accent2 2 2 3" xfId="10114" xr:uid="{00000000-0005-0000-0000-0000992A0000}"/>
    <cellStyle name="40% - Accent2 2 2 3 2" xfId="21402" xr:uid="{00000000-0005-0000-0000-00009A2A0000}"/>
    <cellStyle name="40% - Accent2 2 2 4" xfId="8120" xr:uid="{00000000-0005-0000-0000-00009B2A0000}"/>
    <cellStyle name="40% - Accent2 2 2 4 2" xfId="19408" xr:uid="{00000000-0005-0000-0000-00009C2A0000}"/>
    <cellStyle name="40% - Accent2 2 2 5" xfId="6126" xr:uid="{00000000-0005-0000-0000-00009D2A0000}"/>
    <cellStyle name="40% - Accent2 2 2 5 2" xfId="17414" xr:uid="{00000000-0005-0000-0000-00009E2A0000}"/>
    <cellStyle name="40% - Accent2 2 2 6" xfId="15420" xr:uid="{00000000-0005-0000-0000-00009F2A0000}"/>
    <cellStyle name="40% - Accent2 2 2 7" xfId="24362" xr:uid="{00000000-0005-0000-0000-0000A02A0000}"/>
    <cellStyle name="40% - Accent2 2 2 8" xfId="24826" xr:uid="{00000000-0005-0000-0000-0000A12A0000}"/>
    <cellStyle name="40% - Accent2 2 2 9" xfId="25193" xr:uid="{00000000-0005-0000-0000-0000A22A0000}"/>
    <cellStyle name="40% - Accent2 2 3" xfId="11111" xr:uid="{00000000-0005-0000-0000-0000A32A0000}"/>
    <cellStyle name="40% - Accent2 2 3 2" xfId="22399" xr:uid="{00000000-0005-0000-0000-0000A42A0000}"/>
    <cellStyle name="40% - Accent2 2 4" xfId="9117" xr:uid="{00000000-0005-0000-0000-0000A52A0000}"/>
    <cellStyle name="40% - Accent2 2 4 2" xfId="20405" xr:uid="{00000000-0005-0000-0000-0000A62A0000}"/>
    <cellStyle name="40% - Accent2 2 5" xfId="7123" xr:uid="{00000000-0005-0000-0000-0000A72A0000}"/>
    <cellStyle name="40% - Accent2 2 5 2" xfId="18411" xr:uid="{00000000-0005-0000-0000-0000A82A0000}"/>
    <cellStyle name="40% - Accent2 2 6" xfId="5129" xr:uid="{00000000-0005-0000-0000-0000A92A0000}"/>
    <cellStyle name="40% - Accent2 2 6 2" xfId="16417" xr:uid="{00000000-0005-0000-0000-0000AA2A0000}"/>
    <cellStyle name="40% - Accent2 2 7" xfId="14423" xr:uid="{00000000-0005-0000-0000-0000AB2A0000}"/>
    <cellStyle name="40% - Accent2 2 8" xfId="13109" xr:uid="{00000000-0005-0000-0000-0000AC2A0000}"/>
    <cellStyle name="40% - Accent2 2 9" xfId="23974" xr:uid="{00000000-0005-0000-0000-0000AD2A0000}"/>
    <cellStyle name="40% - Accent2 20" xfId="1174" xr:uid="{00000000-0005-0000-0000-0000AE2A0000}"/>
    <cellStyle name="40% - Accent2 20 2" xfId="4130" xr:uid="{00000000-0005-0000-0000-0000AF2A0000}"/>
    <cellStyle name="40% - Accent2 20 2 2" xfId="12109" xr:uid="{00000000-0005-0000-0000-0000B02A0000}"/>
    <cellStyle name="40% - Accent2 20 2 2 2" xfId="23397" xr:uid="{00000000-0005-0000-0000-0000B12A0000}"/>
    <cellStyle name="40% - Accent2 20 2 3" xfId="10115" xr:uid="{00000000-0005-0000-0000-0000B22A0000}"/>
    <cellStyle name="40% - Accent2 20 2 3 2" xfId="21403" xr:uid="{00000000-0005-0000-0000-0000B32A0000}"/>
    <cellStyle name="40% - Accent2 20 2 4" xfId="8121" xr:uid="{00000000-0005-0000-0000-0000B42A0000}"/>
    <cellStyle name="40% - Accent2 20 2 4 2" xfId="19409" xr:uid="{00000000-0005-0000-0000-0000B52A0000}"/>
    <cellStyle name="40% - Accent2 20 2 5" xfId="6127" xr:uid="{00000000-0005-0000-0000-0000B62A0000}"/>
    <cellStyle name="40% - Accent2 20 2 5 2" xfId="17415" xr:uid="{00000000-0005-0000-0000-0000B72A0000}"/>
    <cellStyle name="40% - Accent2 20 2 6" xfId="15421" xr:uid="{00000000-0005-0000-0000-0000B82A0000}"/>
    <cellStyle name="40% - Accent2 20 3" xfId="11112" xr:uid="{00000000-0005-0000-0000-0000B92A0000}"/>
    <cellStyle name="40% - Accent2 20 3 2" xfId="22400" xr:uid="{00000000-0005-0000-0000-0000BA2A0000}"/>
    <cellStyle name="40% - Accent2 20 4" xfId="9118" xr:uid="{00000000-0005-0000-0000-0000BB2A0000}"/>
    <cellStyle name="40% - Accent2 20 4 2" xfId="20406" xr:uid="{00000000-0005-0000-0000-0000BC2A0000}"/>
    <cellStyle name="40% - Accent2 20 5" xfId="7124" xr:uid="{00000000-0005-0000-0000-0000BD2A0000}"/>
    <cellStyle name="40% - Accent2 20 5 2" xfId="18412" xr:uid="{00000000-0005-0000-0000-0000BE2A0000}"/>
    <cellStyle name="40% - Accent2 20 6" xfId="5130" xr:uid="{00000000-0005-0000-0000-0000BF2A0000}"/>
    <cellStyle name="40% - Accent2 20 6 2" xfId="16418" xr:uid="{00000000-0005-0000-0000-0000C02A0000}"/>
    <cellStyle name="40% - Accent2 20 7" xfId="14424" xr:uid="{00000000-0005-0000-0000-0000C12A0000}"/>
    <cellStyle name="40% - Accent2 20 8" xfId="13110" xr:uid="{00000000-0005-0000-0000-0000C22A0000}"/>
    <cellStyle name="40% - Accent2 21" xfId="1175" xr:uid="{00000000-0005-0000-0000-0000C32A0000}"/>
    <cellStyle name="40% - Accent2 21 2" xfId="4131" xr:uid="{00000000-0005-0000-0000-0000C42A0000}"/>
    <cellStyle name="40% - Accent2 21 2 2" xfId="12110" xr:uid="{00000000-0005-0000-0000-0000C52A0000}"/>
    <cellStyle name="40% - Accent2 21 2 2 2" xfId="23398" xr:uid="{00000000-0005-0000-0000-0000C62A0000}"/>
    <cellStyle name="40% - Accent2 21 2 3" xfId="10116" xr:uid="{00000000-0005-0000-0000-0000C72A0000}"/>
    <cellStyle name="40% - Accent2 21 2 3 2" xfId="21404" xr:uid="{00000000-0005-0000-0000-0000C82A0000}"/>
    <cellStyle name="40% - Accent2 21 2 4" xfId="8122" xr:uid="{00000000-0005-0000-0000-0000C92A0000}"/>
    <cellStyle name="40% - Accent2 21 2 4 2" xfId="19410" xr:uid="{00000000-0005-0000-0000-0000CA2A0000}"/>
    <cellStyle name="40% - Accent2 21 2 5" xfId="6128" xr:uid="{00000000-0005-0000-0000-0000CB2A0000}"/>
    <cellStyle name="40% - Accent2 21 2 5 2" xfId="17416" xr:uid="{00000000-0005-0000-0000-0000CC2A0000}"/>
    <cellStyle name="40% - Accent2 21 2 6" xfId="15422" xr:uid="{00000000-0005-0000-0000-0000CD2A0000}"/>
    <cellStyle name="40% - Accent2 21 3" xfId="11113" xr:uid="{00000000-0005-0000-0000-0000CE2A0000}"/>
    <cellStyle name="40% - Accent2 21 3 2" xfId="22401" xr:uid="{00000000-0005-0000-0000-0000CF2A0000}"/>
    <cellStyle name="40% - Accent2 21 4" xfId="9119" xr:uid="{00000000-0005-0000-0000-0000D02A0000}"/>
    <cellStyle name="40% - Accent2 21 4 2" xfId="20407" xr:uid="{00000000-0005-0000-0000-0000D12A0000}"/>
    <cellStyle name="40% - Accent2 21 5" xfId="7125" xr:uid="{00000000-0005-0000-0000-0000D22A0000}"/>
    <cellStyle name="40% - Accent2 21 5 2" xfId="18413" xr:uid="{00000000-0005-0000-0000-0000D32A0000}"/>
    <cellStyle name="40% - Accent2 21 6" xfId="5131" xr:uid="{00000000-0005-0000-0000-0000D42A0000}"/>
    <cellStyle name="40% - Accent2 21 6 2" xfId="16419" xr:uid="{00000000-0005-0000-0000-0000D52A0000}"/>
    <cellStyle name="40% - Accent2 21 7" xfId="14425" xr:uid="{00000000-0005-0000-0000-0000D62A0000}"/>
    <cellStyle name="40% - Accent2 21 8" xfId="13111" xr:uid="{00000000-0005-0000-0000-0000D72A0000}"/>
    <cellStyle name="40% - Accent2 22" xfId="1176" xr:uid="{00000000-0005-0000-0000-0000D82A0000}"/>
    <cellStyle name="40% - Accent2 22 2" xfId="4132" xr:uid="{00000000-0005-0000-0000-0000D92A0000}"/>
    <cellStyle name="40% - Accent2 22 2 2" xfId="12111" xr:uid="{00000000-0005-0000-0000-0000DA2A0000}"/>
    <cellStyle name="40% - Accent2 22 2 2 2" xfId="23399" xr:uid="{00000000-0005-0000-0000-0000DB2A0000}"/>
    <cellStyle name="40% - Accent2 22 2 3" xfId="10117" xr:uid="{00000000-0005-0000-0000-0000DC2A0000}"/>
    <cellStyle name="40% - Accent2 22 2 3 2" xfId="21405" xr:uid="{00000000-0005-0000-0000-0000DD2A0000}"/>
    <cellStyle name="40% - Accent2 22 2 4" xfId="8123" xr:uid="{00000000-0005-0000-0000-0000DE2A0000}"/>
    <cellStyle name="40% - Accent2 22 2 4 2" xfId="19411" xr:uid="{00000000-0005-0000-0000-0000DF2A0000}"/>
    <cellStyle name="40% - Accent2 22 2 5" xfId="6129" xr:uid="{00000000-0005-0000-0000-0000E02A0000}"/>
    <cellStyle name="40% - Accent2 22 2 5 2" xfId="17417" xr:uid="{00000000-0005-0000-0000-0000E12A0000}"/>
    <cellStyle name="40% - Accent2 22 2 6" xfId="15423" xr:uid="{00000000-0005-0000-0000-0000E22A0000}"/>
    <cellStyle name="40% - Accent2 22 3" xfId="11114" xr:uid="{00000000-0005-0000-0000-0000E32A0000}"/>
    <cellStyle name="40% - Accent2 22 3 2" xfId="22402" xr:uid="{00000000-0005-0000-0000-0000E42A0000}"/>
    <cellStyle name="40% - Accent2 22 4" xfId="9120" xr:uid="{00000000-0005-0000-0000-0000E52A0000}"/>
    <cellStyle name="40% - Accent2 22 4 2" xfId="20408" xr:uid="{00000000-0005-0000-0000-0000E62A0000}"/>
    <cellStyle name="40% - Accent2 22 5" xfId="7126" xr:uid="{00000000-0005-0000-0000-0000E72A0000}"/>
    <cellStyle name="40% - Accent2 22 5 2" xfId="18414" xr:uid="{00000000-0005-0000-0000-0000E82A0000}"/>
    <cellStyle name="40% - Accent2 22 6" xfId="5132" xr:uid="{00000000-0005-0000-0000-0000E92A0000}"/>
    <cellStyle name="40% - Accent2 22 6 2" xfId="16420" xr:uid="{00000000-0005-0000-0000-0000EA2A0000}"/>
    <cellStyle name="40% - Accent2 22 7" xfId="14426" xr:uid="{00000000-0005-0000-0000-0000EB2A0000}"/>
    <cellStyle name="40% - Accent2 22 8" xfId="13112" xr:uid="{00000000-0005-0000-0000-0000EC2A0000}"/>
    <cellStyle name="40% - Accent2 23" xfId="1177" xr:uid="{00000000-0005-0000-0000-0000ED2A0000}"/>
    <cellStyle name="40% - Accent2 23 2" xfId="4133" xr:uid="{00000000-0005-0000-0000-0000EE2A0000}"/>
    <cellStyle name="40% - Accent2 23 2 2" xfId="12112" xr:uid="{00000000-0005-0000-0000-0000EF2A0000}"/>
    <cellStyle name="40% - Accent2 23 2 2 2" xfId="23400" xr:uid="{00000000-0005-0000-0000-0000F02A0000}"/>
    <cellStyle name="40% - Accent2 23 2 3" xfId="10118" xr:uid="{00000000-0005-0000-0000-0000F12A0000}"/>
    <cellStyle name="40% - Accent2 23 2 3 2" xfId="21406" xr:uid="{00000000-0005-0000-0000-0000F22A0000}"/>
    <cellStyle name="40% - Accent2 23 2 4" xfId="8124" xr:uid="{00000000-0005-0000-0000-0000F32A0000}"/>
    <cellStyle name="40% - Accent2 23 2 4 2" xfId="19412" xr:uid="{00000000-0005-0000-0000-0000F42A0000}"/>
    <cellStyle name="40% - Accent2 23 2 5" xfId="6130" xr:uid="{00000000-0005-0000-0000-0000F52A0000}"/>
    <cellStyle name="40% - Accent2 23 2 5 2" xfId="17418" xr:uid="{00000000-0005-0000-0000-0000F62A0000}"/>
    <cellStyle name="40% - Accent2 23 2 6" xfId="15424" xr:uid="{00000000-0005-0000-0000-0000F72A0000}"/>
    <cellStyle name="40% - Accent2 23 3" xfId="11115" xr:uid="{00000000-0005-0000-0000-0000F82A0000}"/>
    <cellStyle name="40% - Accent2 23 3 2" xfId="22403" xr:uid="{00000000-0005-0000-0000-0000F92A0000}"/>
    <cellStyle name="40% - Accent2 23 4" xfId="9121" xr:uid="{00000000-0005-0000-0000-0000FA2A0000}"/>
    <cellStyle name="40% - Accent2 23 4 2" xfId="20409" xr:uid="{00000000-0005-0000-0000-0000FB2A0000}"/>
    <cellStyle name="40% - Accent2 23 5" xfId="7127" xr:uid="{00000000-0005-0000-0000-0000FC2A0000}"/>
    <cellStyle name="40% - Accent2 23 5 2" xfId="18415" xr:uid="{00000000-0005-0000-0000-0000FD2A0000}"/>
    <cellStyle name="40% - Accent2 23 6" xfId="5133" xr:uid="{00000000-0005-0000-0000-0000FE2A0000}"/>
    <cellStyle name="40% - Accent2 23 6 2" xfId="16421" xr:uid="{00000000-0005-0000-0000-0000FF2A0000}"/>
    <cellStyle name="40% - Accent2 23 7" xfId="14427" xr:uid="{00000000-0005-0000-0000-0000002B0000}"/>
    <cellStyle name="40% - Accent2 23 8" xfId="13113" xr:uid="{00000000-0005-0000-0000-0000012B0000}"/>
    <cellStyle name="40% - Accent2 24" xfId="1178" xr:uid="{00000000-0005-0000-0000-0000022B0000}"/>
    <cellStyle name="40% - Accent2 24 2" xfId="4134" xr:uid="{00000000-0005-0000-0000-0000032B0000}"/>
    <cellStyle name="40% - Accent2 24 2 2" xfId="12113" xr:uid="{00000000-0005-0000-0000-0000042B0000}"/>
    <cellStyle name="40% - Accent2 24 2 2 2" xfId="23401" xr:uid="{00000000-0005-0000-0000-0000052B0000}"/>
    <cellStyle name="40% - Accent2 24 2 3" xfId="10119" xr:uid="{00000000-0005-0000-0000-0000062B0000}"/>
    <cellStyle name="40% - Accent2 24 2 3 2" xfId="21407" xr:uid="{00000000-0005-0000-0000-0000072B0000}"/>
    <cellStyle name="40% - Accent2 24 2 4" xfId="8125" xr:uid="{00000000-0005-0000-0000-0000082B0000}"/>
    <cellStyle name="40% - Accent2 24 2 4 2" xfId="19413" xr:uid="{00000000-0005-0000-0000-0000092B0000}"/>
    <cellStyle name="40% - Accent2 24 2 5" xfId="6131" xr:uid="{00000000-0005-0000-0000-00000A2B0000}"/>
    <cellStyle name="40% - Accent2 24 2 5 2" xfId="17419" xr:uid="{00000000-0005-0000-0000-00000B2B0000}"/>
    <cellStyle name="40% - Accent2 24 2 6" xfId="15425" xr:uid="{00000000-0005-0000-0000-00000C2B0000}"/>
    <cellStyle name="40% - Accent2 24 3" xfId="11116" xr:uid="{00000000-0005-0000-0000-00000D2B0000}"/>
    <cellStyle name="40% - Accent2 24 3 2" xfId="22404" xr:uid="{00000000-0005-0000-0000-00000E2B0000}"/>
    <cellStyle name="40% - Accent2 24 4" xfId="9122" xr:uid="{00000000-0005-0000-0000-00000F2B0000}"/>
    <cellStyle name="40% - Accent2 24 4 2" xfId="20410" xr:uid="{00000000-0005-0000-0000-0000102B0000}"/>
    <cellStyle name="40% - Accent2 24 5" xfId="7128" xr:uid="{00000000-0005-0000-0000-0000112B0000}"/>
    <cellStyle name="40% - Accent2 24 5 2" xfId="18416" xr:uid="{00000000-0005-0000-0000-0000122B0000}"/>
    <cellStyle name="40% - Accent2 24 6" xfId="5134" xr:uid="{00000000-0005-0000-0000-0000132B0000}"/>
    <cellStyle name="40% - Accent2 24 6 2" xfId="16422" xr:uid="{00000000-0005-0000-0000-0000142B0000}"/>
    <cellStyle name="40% - Accent2 24 7" xfId="14428" xr:uid="{00000000-0005-0000-0000-0000152B0000}"/>
    <cellStyle name="40% - Accent2 24 8" xfId="13114" xr:uid="{00000000-0005-0000-0000-0000162B0000}"/>
    <cellStyle name="40% - Accent2 25" xfId="1179" xr:uid="{00000000-0005-0000-0000-0000172B0000}"/>
    <cellStyle name="40% - Accent2 25 2" xfId="4135" xr:uid="{00000000-0005-0000-0000-0000182B0000}"/>
    <cellStyle name="40% - Accent2 25 2 2" xfId="12114" xr:uid="{00000000-0005-0000-0000-0000192B0000}"/>
    <cellStyle name="40% - Accent2 25 2 2 2" xfId="23402" xr:uid="{00000000-0005-0000-0000-00001A2B0000}"/>
    <cellStyle name="40% - Accent2 25 2 3" xfId="10120" xr:uid="{00000000-0005-0000-0000-00001B2B0000}"/>
    <cellStyle name="40% - Accent2 25 2 3 2" xfId="21408" xr:uid="{00000000-0005-0000-0000-00001C2B0000}"/>
    <cellStyle name="40% - Accent2 25 2 4" xfId="8126" xr:uid="{00000000-0005-0000-0000-00001D2B0000}"/>
    <cellStyle name="40% - Accent2 25 2 4 2" xfId="19414" xr:uid="{00000000-0005-0000-0000-00001E2B0000}"/>
    <cellStyle name="40% - Accent2 25 2 5" xfId="6132" xr:uid="{00000000-0005-0000-0000-00001F2B0000}"/>
    <cellStyle name="40% - Accent2 25 2 5 2" xfId="17420" xr:uid="{00000000-0005-0000-0000-0000202B0000}"/>
    <cellStyle name="40% - Accent2 25 2 6" xfId="15426" xr:uid="{00000000-0005-0000-0000-0000212B0000}"/>
    <cellStyle name="40% - Accent2 25 3" xfId="11117" xr:uid="{00000000-0005-0000-0000-0000222B0000}"/>
    <cellStyle name="40% - Accent2 25 3 2" xfId="22405" xr:uid="{00000000-0005-0000-0000-0000232B0000}"/>
    <cellStyle name="40% - Accent2 25 4" xfId="9123" xr:uid="{00000000-0005-0000-0000-0000242B0000}"/>
    <cellStyle name="40% - Accent2 25 4 2" xfId="20411" xr:uid="{00000000-0005-0000-0000-0000252B0000}"/>
    <cellStyle name="40% - Accent2 25 5" xfId="7129" xr:uid="{00000000-0005-0000-0000-0000262B0000}"/>
    <cellStyle name="40% - Accent2 25 5 2" xfId="18417" xr:uid="{00000000-0005-0000-0000-0000272B0000}"/>
    <cellStyle name="40% - Accent2 25 6" xfId="5135" xr:uid="{00000000-0005-0000-0000-0000282B0000}"/>
    <cellStyle name="40% - Accent2 25 6 2" xfId="16423" xr:uid="{00000000-0005-0000-0000-0000292B0000}"/>
    <cellStyle name="40% - Accent2 25 7" xfId="14429" xr:uid="{00000000-0005-0000-0000-00002A2B0000}"/>
    <cellStyle name="40% - Accent2 25 8" xfId="13115" xr:uid="{00000000-0005-0000-0000-00002B2B0000}"/>
    <cellStyle name="40% - Accent2 26" xfId="1180" xr:uid="{00000000-0005-0000-0000-00002C2B0000}"/>
    <cellStyle name="40% - Accent2 26 2" xfId="4136" xr:uid="{00000000-0005-0000-0000-00002D2B0000}"/>
    <cellStyle name="40% - Accent2 26 2 2" xfId="12115" xr:uid="{00000000-0005-0000-0000-00002E2B0000}"/>
    <cellStyle name="40% - Accent2 26 2 2 2" xfId="23403" xr:uid="{00000000-0005-0000-0000-00002F2B0000}"/>
    <cellStyle name="40% - Accent2 26 2 3" xfId="10121" xr:uid="{00000000-0005-0000-0000-0000302B0000}"/>
    <cellStyle name="40% - Accent2 26 2 3 2" xfId="21409" xr:uid="{00000000-0005-0000-0000-0000312B0000}"/>
    <cellStyle name="40% - Accent2 26 2 4" xfId="8127" xr:uid="{00000000-0005-0000-0000-0000322B0000}"/>
    <cellStyle name="40% - Accent2 26 2 4 2" xfId="19415" xr:uid="{00000000-0005-0000-0000-0000332B0000}"/>
    <cellStyle name="40% - Accent2 26 2 5" xfId="6133" xr:uid="{00000000-0005-0000-0000-0000342B0000}"/>
    <cellStyle name="40% - Accent2 26 2 5 2" xfId="17421" xr:uid="{00000000-0005-0000-0000-0000352B0000}"/>
    <cellStyle name="40% - Accent2 26 2 6" xfId="15427" xr:uid="{00000000-0005-0000-0000-0000362B0000}"/>
    <cellStyle name="40% - Accent2 26 3" xfId="11118" xr:uid="{00000000-0005-0000-0000-0000372B0000}"/>
    <cellStyle name="40% - Accent2 26 3 2" xfId="22406" xr:uid="{00000000-0005-0000-0000-0000382B0000}"/>
    <cellStyle name="40% - Accent2 26 4" xfId="9124" xr:uid="{00000000-0005-0000-0000-0000392B0000}"/>
    <cellStyle name="40% - Accent2 26 4 2" xfId="20412" xr:uid="{00000000-0005-0000-0000-00003A2B0000}"/>
    <cellStyle name="40% - Accent2 26 5" xfId="7130" xr:uid="{00000000-0005-0000-0000-00003B2B0000}"/>
    <cellStyle name="40% - Accent2 26 5 2" xfId="18418" xr:uid="{00000000-0005-0000-0000-00003C2B0000}"/>
    <cellStyle name="40% - Accent2 26 6" xfId="5136" xr:uid="{00000000-0005-0000-0000-00003D2B0000}"/>
    <cellStyle name="40% - Accent2 26 6 2" xfId="16424" xr:uid="{00000000-0005-0000-0000-00003E2B0000}"/>
    <cellStyle name="40% - Accent2 26 7" xfId="14430" xr:uid="{00000000-0005-0000-0000-00003F2B0000}"/>
    <cellStyle name="40% - Accent2 26 8" xfId="13116" xr:uid="{00000000-0005-0000-0000-0000402B0000}"/>
    <cellStyle name="40% - Accent2 27" xfId="1181" xr:uid="{00000000-0005-0000-0000-0000412B0000}"/>
    <cellStyle name="40% - Accent2 27 2" xfId="4137" xr:uid="{00000000-0005-0000-0000-0000422B0000}"/>
    <cellStyle name="40% - Accent2 27 2 2" xfId="12116" xr:uid="{00000000-0005-0000-0000-0000432B0000}"/>
    <cellStyle name="40% - Accent2 27 2 2 2" xfId="23404" xr:uid="{00000000-0005-0000-0000-0000442B0000}"/>
    <cellStyle name="40% - Accent2 27 2 3" xfId="10122" xr:uid="{00000000-0005-0000-0000-0000452B0000}"/>
    <cellStyle name="40% - Accent2 27 2 3 2" xfId="21410" xr:uid="{00000000-0005-0000-0000-0000462B0000}"/>
    <cellStyle name="40% - Accent2 27 2 4" xfId="8128" xr:uid="{00000000-0005-0000-0000-0000472B0000}"/>
    <cellStyle name="40% - Accent2 27 2 4 2" xfId="19416" xr:uid="{00000000-0005-0000-0000-0000482B0000}"/>
    <cellStyle name="40% - Accent2 27 2 5" xfId="6134" xr:uid="{00000000-0005-0000-0000-0000492B0000}"/>
    <cellStyle name="40% - Accent2 27 2 5 2" xfId="17422" xr:uid="{00000000-0005-0000-0000-00004A2B0000}"/>
    <cellStyle name="40% - Accent2 27 2 6" xfId="15428" xr:uid="{00000000-0005-0000-0000-00004B2B0000}"/>
    <cellStyle name="40% - Accent2 27 3" xfId="11119" xr:uid="{00000000-0005-0000-0000-00004C2B0000}"/>
    <cellStyle name="40% - Accent2 27 3 2" xfId="22407" xr:uid="{00000000-0005-0000-0000-00004D2B0000}"/>
    <cellStyle name="40% - Accent2 27 4" xfId="9125" xr:uid="{00000000-0005-0000-0000-00004E2B0000}"/>
    <cellStyle name="40% - Accent2 27 4 2" xfId="20413" xr:uid="{00000000-0005-0000-0000-00004F2B0000}"/>
    <cellStyle name="40% - Accent2 27 5" xfId="7131" xr:uid="{00000000-0005-0000-0000-0000502B0000}"/>
    <cellStyle name="40% - Accent2 27 5 2" xfId="18419" xr:uid="{00000000-0005-0000-0000-0000512B0000}"/>
    <cellStyle name="40% - Accent2 27 6" xfId="5137" xr:uid="{00000000-0005-0000-0000-0000522B0000}"/>
    <cellStyle name="40% - Accent2 27 6 2" xfId="16425" xr:uid="{00000000-0005-0000-0000-0000532B0000}"/>
    <cellStyle name="40% - Accent2 27 7" xfId="14431" xr:uid="{00000000-0005-0000-0000-0000542B0000}"/>
    <cellStyle name="40% - Accent2 27 8" xfId="13117" xr:uid="{00000000-0005-0000-0000-0000552B0000}"/>
    <cellStyle name="40% - Accent2 28" xfId="1182" xr:uid="{00000000-0005-0000-0000-0000562B0000}"/>
    <cellStyle name="40% - Accent2 28 2" xfId="4138" xr:uid="{00000000-0005-0000-0000-0000572B0000}"/>
    <cellStyle name="40% - Accent2 28 2 2" xfId="12117" xr:uid="{00000000-0005-0000-0000-0000582B0000}"/>
    <cellStyle name="40% - Accent2 28 2 2 2" xfId="23405" xr:uid="{00000000-0005-0000-0000-0000592B0000}"/>
    <cellStyle name="40% - Accent2 28 2 3" xfId="10123" xr:uid="{00000000-0005-0000-0000-00005A2B0000}"/>
    <cellStyle name="40% - Accent2 28 2 3 2" xfId="21411" xr:uid="{00000000-0005-0000-0000-00005B2B0000}"/>
    <cellStyle name="40% - Accent2 28 2 4" xfId="8129" xr:uid="{00000000-0005-0000-0000-00005C2B0000}"/>
    <cellStyle name="40% - Accent2 28 2 4 2" xfId="19417" xr:uid="{00000000-0005-0000-0000-00005D2B0000}"/>
    <cellStyle name="40% - Accent2 28 2 5" xfId="6135" xr:uid="{00000000-0005-0000-0000-00005E2B0000}"/>
    <cellStyle name="40% - Accent2 28 2 5 2" xfId="17423" xr:uid="{00000000-0005-0000-0000-00005F2B0000}"/>
    <cellStyle name="40% - Accent2 28 2 6" xfId="15429" xr:uid="{00000000-0005-0000-0000-0000602B0000}"/>
    <cellStyle name="40% - Accent2 28 3" xfId="11120" xr:uid="{00000000-0005-0000-0000-0000612B0000}"/>
    <cellStyle name="40% - Accent2 28 3 2" xfId="22408" xr:uid="{00000000-0005-0000-0000-0000622B0000}"/>
    <cellStyle name="40% - Accent2 28 4" xfId="9126" xr:uid="{00000000-0005-0000-0000-0000632B0000}"/>
    <cellStyle name="40% - Accent2 28 4 2" xfId="20414" xr:uid="{00000000-0005-0000-0000-0000642B0000}"/>
    <cellStyle name="40% - Accent2 28 5" xfId="7132" xr:uid="{00000000-0005-0000-0000-0000652B0000}"/>
    <cellStyle name="40% - Accent2 28 5 2" xfId="18420" xr:uid="{00000000-0005-0000-0000-0000662B0000}"/>
    <cellStyle name="40% - Accent2 28 6" xfId="5138" xr:uid="{00000000-0005-0000-0000-0000672B0000}"/>
    <cellStyle name="40% - Accent2 28 6 2" xfId="16426" xr:uid="{00000000-0005-0000-0000-0000682B0000}"/>
    <cellStyle name="40% - Accent2 28 7" xfId="14432" xr:uid="{00000000-0005-0000-0000-0000692B0000}"/>
    <cellStyle name="40% - Accent2 28 8" xfId="13118" xr:uid="{00000000-0005-0000-0000-00006A2B0000}"/>
    <cellStyle name="40% - Accent2 29" xfId="1183" xr:uid="{00000000-0005-0000-0000-00006B2B0000}"/>
    <cellStyle name="40% - Accent2 29 2" xfId="4139" xr:uid="{00000000-0005-0000-0000-00006C2B0000}"/>
    <cellStyle name="40% - Accent2 29 2 2" xfId="12118" xr:uid="{00000000-0005-0000-0000-00006D2B0000}"/>
    <cellStyle name="40% - Accent2 29 2 2 2" xfId="23406" xr:uid="{00000000-0005-0000-0000-00006E2B0000}"/>
    <cellStyle name="40% - Accent2 29 2 3" xfId="10124" xr:uid="{00000000-0005-0000-0000-00006F2B0000}"/>
    <cellStyle name="40% - Accent2 29 2 3 2" xfId="21412" xr:uid="{00000000-0005-0000-0000-0000702B0000}"/>
    <cellStyle name="40% - Accent2 29 2 4" xfId="8130" xr:uid="{00000000-0005-0000-0000-0000712B0000}"/>
    <cellStyle name="40% - Accent2 29 2 4 2" xfId="19418" xr:uid="{00000000-0005-0000-0000-0000722B0000}"/>
    <cellStyle name="40% - Accent2 29 2 5" xfId="6136" xr:uid="{00000000-0005-0000-0000-0000732B0000}"/>
    <cellStyle name="40% - Accent2 29 2 5 2" xfId="17424" xr:uid="{00000000-0005-0000-0000-0000742B0000}"/>
    <cellStyle name="40% - Accent2 29 2 6" xfId="15430" xr:uid="{00000000-0005-0000-0000-0000752B0000}"/>
    <cellStyle name="40% - Accent2 29 3" xfId="11121" xr:uid="{00000000-0005-0000-0000-0000762B0000}"/>
    <cellStyle name="40% - Accent2 29 3 2" xfId="22409" xr:uid="{00000000-0005-0000-0000-0000772B0000}"/>
    <cellStyle name="40% - Accent2 29 4" xfId="9127" xr:uid="{00000000-0005-0000-0000-0000782B0000}"/>
    <cellStyle name="40% - Accent2 29 4 2" xfId="20415" xr:uid="{00000000-0005-0000-0000-0000792B0000}"/>
    <cellStyle name="40% - Accent2 29 5" xfId="7133" xr:uid="{00000000-0005-0000-0000-00007A2B0000}"/>
    <cellStyle name="40% - Accent2 29 5 2" xfId="18421" xr:uid="{00000000-0005-0000-0000-00007B2B0000}"/>
    <cellStyle name="40% - Accent2 29 6" xfId="5139" xr:uid="{00000000-0005-0000-0000-00007C2B0000}"/>
    <cellStyle name="40% - Accent2 29 6 2" xfId="16427" xr:uid="{00000000-0005-0000-0000-00007D2B0000}"/>
    <cellStyle name="40% - Accent2 29 7" xfId="14433" xr:uid="{00000000-0005-0000-0000-00007E2B0000}"/>
    <cellStyle name="40% - Accent2 29 8" xfId="13119" xr:uid="{00000000-0005-0000-0000-00007F2B0000}"/>
    <cellStyle name="40% - Accent2 3" xfId="1184" xr:uid="{00000000-0005-0000-0000-0000802B0000}"/>
    <cellStyle name="40% - Accent2 3 10" xfId="24602" xr:uid="{00000000-0005-0000-0000-0000812B0000}"/>
    <cellStyle name="40% - Accent2 3 11" xfId="24992" xr:uid="{00000000-0005-0000-0000-0000822B0000}"/>
    <cellStyle name="40% - Accent2 3 2" xfId="4140" xr:uid="{00000000-0005-0000-0000-0000832B0000}"/>
    <cellStyle name="40% - Accent2 3 2 2" xfId="12119" xr:uid="{00000000-0005-0000-0000-0000842B0000}"/>
    <cellStyle name="40% - Accent2 3 2 2 2" xfId="23407" xr:uid="{00000000-0005-0000-0000-0000852B0000}"/>
    <cellStyle name="40% - Accent2 3 2 3" xfId="10125" xr:uid="{00000000-0005-0000-0000-0000862B0000}"/>
    <cellStyle name="40% - Accent2 3 2 3 2" xfId="21413" xr:uid="{00000000-0005-0000-0000-0000872B0000}"/>
    <cellStyle name="40% - Accent2 3 2 4" xfId="8131" xr:uid="{00000000-0005-0000-0000-0000882B0000}"/>
    <cellStyle name="40% - Accent2 3 2 4 2" xfId="19419" xr:uid="{00000000-0005-0000-0000-0000892B0000}"/>
    <cellStyle name="40% - Accent2 3 2 5" xfId="6137" xr:uid="{00000000-0005-0000-0000-00008A2B0000}"/>
    <cellStyle name="40% - Accent2 3 2 5 2" xfId="17425" xr:uid="{00000000-0005-0000-0000-00008B2B0000}"/>
    <cellStyle name="40% - Accent2 3 2 6" xfId="15431" xr:uid="{00000000-0005-0000-0000-00008C2B0000}"/>
    <cellStyle name="40% - Accent2 3 2 7" xfId="24363" xr:uid="{00000000-0005-0000-0000-00008D2B0000}"/>
    <cellStyle name="40% - Accent2 3 2 8" xfId="24827" xr:uid="{00000000-0005-0000-0000-00008E2B0000}"/>
    <cellStyle name="40% - Accent2 3 2 9" xfId="25194" xr:uid="{00000000-0005-0000-0000-00008F2B0000}"/>
    <cellStyle name="40% - Accent2 3 3" xfId="11122" xr:uid="{00000000-0005-0000-0000-0000902B0000}"/>
    <cellStyle name="40% - Accent2 3 3 2" xfId="22410" xr:uid="{00000000-0005-0000-0000-0000912B0000}"/>
    <cellStyle name="40% - Accent2 3 4" xfId="9128" xr:uid="{00000000-0005-0000-0000-0000922B0000}"/>
    <cellStyle name="40% - Accent2 3 4 2" xfId="20416" xr:uid="{00000000-0005-0000-0000-0000932B0000}"/>
    <cellStyle name="40% - Accent2 3 5" xfId="7134" xr:uid="{00000000-0005-0000-0000-0000942B0000}"/>
    <cellStyle name="40% - Accent2 3 5 2" xfId="18422" xr:uid="{00000000-0005-0000-0000-0000952B0000}"/>
    <cellStyle name="40% - Accent2 3 6" xfId="5140" xr:uid="{00000000-0005-0000-0000-0000962B0000}"/>
    <cellStyle name="40% - Accent2 3 6 2" xfId="16428" xr:uid="{00000000-0005-0000-0000-0000972B0000}"/>
    <cellStyle name="40% - Accent2 3 7" xfId="14434" xr:uid="{00000000-0005-0000-0000-0000982B0000}"/>
    <cellStyle name="40% - Accent2 3 8" xfId="13120" xr:uid="{00000000-0005-0000-0000-0000992B0000}"/>
    <cellStyle name="40% - Accent2 3 9" xfId="23975" xr:uid="{00000000-0005-0000-0000-00009A2B0000}"/>
    <cellStyle name="40% - Accent2 30" xfId="1185" xr:uid="{00000000-0005-0000-0000-00009B2B0000}"/>
    <cellStyle name="40% - Accent2 30 2" xfId="4141" xr:uid="{00000000-0005-0000-0000-00009C2B0000}"/>
    <cellStyle name="40% - Accent2 30 2 2" xfId="12120" xr:uid="{00000000-0005-0000-0000-00009D2B0000}"/>
    <cellStyle name="40% - Accent2 30 2 2 2" xfId="23408" xr:uid="{00000000-0005-0000-0000-00009E2B0000}"/>
    <cellStyle name="40% - Accent2 30 2 3" xfId="10126" xr:uid="{00000000-0005-0000-0000-00009F2B0000}"/>
    <cellStyle name="40% - Accent2 30 2 3 2" xfId="21414" xr:uid="{00000000-0005-0000-0000-0000A02B0000}"/>
    <cellStyle name="40% - Accent2 30 2 4" xfId="8132" xr:uid="{00000000-0005-0000-0000-0000A12B0000}"/>
    <cellStyle name="40% - Accent2 30 2 4 2" xfId="19420" xr:uid="{00000000-0005-0000-0000-0000A22B0000}"/>
    <cellStyle name="40% - Accent2 30 2 5" xfId="6138" xr:uid="{00000000-0005-0000-0000-0000A32B0000}"/>
    <cellStyle name="40% - Accent2 30 2 5 2" xfId="17426" xr:uid="{00000000-0005-0000-0000-0000A42B0000}"/>
    <cellStyle name="40% - Accent2 30 2 6" xfId="15432" xr:uid="{00000000-0005-0000-0000-0000A52B0000}"/>
    <cellStyle name="40% - Accent2 30 3" xfId="11123" xr:uid="{00000000-0005-0000-0000-0000A62B0000}"/>
    <cellStyle name="40% - Accent2 30 3 2" xfId="22411" xr:uid="{00000000-0005-0000-0000-0000A72B0000}"/>
    <cellStyle name="40% - Accent2 30 4" xfId="9129" xr:uid="{00000000-0005-0000-0000-0000A82B0000}"/>
    <cellStyle name="40% - Accent2 30 4 2" xfId="20417" xr:uid="{00000000-0005-0000-0000-0000A92B0000}"/>
    <cellStyle name="40% - Accent2 30 5" xfId="7135" xr:uid="{00000000-0005-0000-0000-0000AA2B0000}"/>
    <cellStyle name="40% - Accent2 30 5 2" xfId="18423" xr:uid="{00000000-0005-0000-0000-0000AB2B0000}"/>
    <cellStyle name="40% - Accent2 30 6" xfId="5141" xr:uid="{00000000-0005-0000-0000-0000AC2B0000}"/>
    <cellStyle name="40% - Accent2 30 6 2" xfId="16429" xr:uid="{00000000-0005-0000-0000-0000AD2B0000}"/>
    <cellStyle name="40% - Accent2 30 7" xfId="14435" xr:uid="{00000000-0005-0000-0000-0000AE2B0000}"/>
    <cellStyle name="40% - Accent2 30 8" xfId="13121" xr:uid="{00000000-0005-0000-0000-0000AF2B0000}"/>
    <cellStyle name="40% - Accent2 31" xfId="1186" xr:uid="{00000000-0005-0000-0000-0000B02B0000}"/>
    <cellStyle name="40% - Accent2 31 2" xfId="4142" xr:uid="{00000000-0005-0000-0000-0000B12B0000}"/>
    <cellStyle name="40% - Accent2 31 2 2" xfId="12121" xr:uid="{00000000-0005-0000-0000-0000B22B0000}"/>
    <cellStyle name="40% - Accent2 31 2 2 2" xfId="23409" xr:uid="{00000000-0005-0000-0000-0000B32B0000}"/>
    <cellStyle name="40% - Accent2 31 2 3" xfId="10127" xr:uid="{00000000-0005-0000-0000-0000B42B0000}"/>
    <cellStyle name="40% - Accent2 31 2 3 2" xfId="21415" xr:uid="{00000000-0005-0000-0000-0000B52B0000}"/>
    <cellStyle name="40% - Accent2 31 2 4" xfId="8133" xr:uid="{00000000-0005-0000-0000-0000B62B0000}"/>
    <cellStyle name="40% - Accent2 31 2 4 2" xfId="19421" xr:uid="{00000000-0005-0000-0000-0000B72B0000}"/>
    <cellStyle name="40% - Accent2 31 2 5" xfId="6139" xr:uid="{00000000-0005-0000-0000-0000B82B0000}"/>
    <cellStyle name="40% - Accent2 31 2 5 2" xfId="17427" xr:uid="{00000000-0005-0000-0000-0000B92B0000}"/>
    <cellStyle name="40% - Accent2 31 2 6" xfId="15433" xr:uid="{00000000-0005-0000-0000-0000BA2B0000}"/>
    <cellStyle name="40% - Accent2 31 3" xfId="11124" xr:uid="{00000000-0005-0000-0000-0000BB2B0000}"/>
    <cellStyle name="40% - Accent2 31 3 2" xfId="22412" xr:uid="{00000000-0005-0000-0000-0000BC2B0000}"/>
    <cellStyle name="40% - Accent2 31 4" xfId="9130" xr:uid="{00000000-0005-0000-0000-0000BD2B0000}"/>
    <cellStyle name="40% - Accent2 31 4 2" xfId="20418" xr:uid="{00000000-0005-0000-0000-0000BE2B0000}"/>
    <cellStyle name="40% - Accent2 31 5" xfId="7136" xr:uid="{00000000-0005-0000-0000-0000BF2B0000}"/>
    <cellStyle name="40% - Accent2 31 5 2" xfId="18424" xr:uid="{00000000-0005-0000-0000-0000C02B0000}"/>
    <cellStyle name="40% - Accent2 31 6" xfId="5142" xr:uid="{00000000-0005-0000-0000-0000C12B0000}"/>
    <cellStyle name="40% - Accent2 31 6 2" xfId="16430" xr:uid="{00000000-0005-0000-0000-0000C22B0000}"/>
    <cellStyle name="40% - Accent2 31 7" xfId="14436" xr:uid="{00000000-0005-0000-0000-0000C32B0000}"/>
    <cellStyle name="40% - Accent2 31 8" xfId="13122" xr:uid="{00000000-0005-0000-0000-0000C42B0000}"/>
    <cellStyle name="40% - Accent2 32" xfId="1187" xr:uid="{00000000-0005-0000-0000-0000C52B0000}"/>
    <cellStyle name="40% - Accent2 32 2" xfId="4143" xr:uid="{00000000-0005-0000-0000-0000C62B0000}"/>
    <cellStyle name="40% - Accent2 32 2 2" xfId="12122" xr:uid="{00000000-0005-0000-0000-0000C72B0000}"/>
    <cellStyle name="40% - Accent2 32 2 2 2" xfId="23410" xr:uid="{00000000-0005-0000-0000-0000C82B0000}"/>
    <cellStyle name="40% - Accent2 32 2 3" xfId="10128" xr:uid="{00000000-0005-0000-0000-0000C92B0000}"/>
    <cellStyle name="40% - Accent2 32 2 3 2" xfId="21416" xr:uid="{00000000-0005-0000-0000-0000CA2B0000}"/>
    <cellStyle name="40% - Accent2 32 2 4" xfId="8134" xr:uid="{00000000-0005-0000-0000-0000CB2B0000}"/>
    <cellStyle name="40% - Accent2 32 2 4 2" xfId="19422" xr:uid="{00000000-0005-0000-0000-0000CC2B0000}"/>
    <cellStyle name="40% - Accent2 32 2 5" xfId="6140" xr:uid="{00000000-0005-0000-0000-0000CD2B0000}"/>
    <cellStyle name="40% - Accent2 32 2 5 2" xfId="17428" xr:uid="{00000000-0005-0000-0000-0000CE2B0000}"/>
    <cellStyle name="40% - Accent2 32 2 6" xfId="15434" xr:uid="{00000000-0005-0000-0000-0000CF2B0000}"/>
    <cellStyle name="40% - Accent2 32 3" xfId="11125" xr:uid="{00000000-0005-0000-0000-0000D02B0000}"/>
    <cellStyle name="40% - Accent2 32 3 2" xfId="22413" xr:uid="{00000000-0005-0000-0000-0000D12B0000}"/>
    <cellStyle name="40% - Accent2 32 4" xfId="9131" xr:uid="{00000000-0005-0000-0000-0000D22B0000}"/>
    <cellStyle name="40% - Accent2 32 4 2" xfId="20419" xr:uid="{00000000-0005-0000-0000-0000D32B0000}"/>
    <cellStyle name="40% - Accent2 32 5" xfId="7137" xr:uid="{00000000-0005-0000-0000-0000D42B0000}"/>
    <cellStyle name="40% - Accent2 32 5 2" xfId="18425" xr:uid="{00000000-0005-0000-0000-0000D52B0000}"/>
    <cellStyle name="40% - Accent2 32 6" xfId="5143" xr:uid="{00000000-0005-0000-0000-0000D62B0000}"/>
    <cellStyle name="40% - Accent2 32 6 2" xfId="16431" xr:uid="{00000000-0005-0000-0000-0000D72B0000}"/>
    <cellStyle name="40% - Accent2 32 7" xfId="14437" xr:uid="{00000000-0005-0000-0000-0000D82B0000}"/>
    <cellStyle name="40% - Accent2 32 8" xfId="13123" xr:uid="{00000000-0005-0000-0000-0000D92B0000}"/>
    <cellStyle name="40% - Accent2 33" xfId="1188" xr:uid="{00000000-0005-0000-0000-0000DA2B0000}"/>
    <cellStyle name="40% - Accent2 33 2" xfId="4144" xr:uid="{00000000-0005-0000-0000-0000DB2B0000}"/>
    <cellStyle name="40% - Accent2 33 2 2" xfId="12123" xr:uid="{00000000-0005-0000-0000-0000DC2B0000}"/>
    <cellStyle name="40% - Accent2 33 2 2 2" xfId="23411" xr:uid="{00000000-0005-0000-0000-0000DD2B0000}"/>
    <cellStyle name="40% - Accent2 33 2 3" xfId="10129" xr:uid="{00000000-0005-0000-0000-0000DE2B0000}"/>
    <cellStyle name="40% - Accent2 33 2 3 2" xfId="21417" xr:uid="{00000000-0005-0000-0000-0000DF2B0000}"/>
    <cellStyle name="40% - Accent2 33 2 4" xfId="8135" xr:uid="{00000000-0005-0000-0000-0000E02B0000}"/>
    <cellStyle name="40% - Accent2 33 2 4 2" xfId="19423" xr:uid="{00000000-0005-0000-0000-0000E12B0000}"/>
    <cellStyle name="40% - Accent2 33 2 5" xfId="6141" xr:uid="{00000000-0005-0000-0000-0000E22B0000}"/>
    <cellStyle name="40% - Accent2 33 2 5 2" xfId="17429" xr:uid="{00000000-0005-0000-0000-0000E32B0000}"/>
    <cellStyle name="40% - Accent2 33 2 6" xfId="15435" xr:uid="{00000000-0005-0000-0000-0000E42B0000}"/>
    <cellStyle name="40% - Accent2 33 3" xfId="11126" xr:uid="{00000000-0005-0000-0000-0000E52B0000}"/>
    <cellStyle name="40% - Accent2 33 3 2" xfId="22414" xr:uid="{00000000-0005-0000-0000-0000E62B0000}"/>
    <cellStyle name="40% - Accent2 33 4" xfId="9132" xr:uid="{00000000-0005-0000-0000-0000E72B0000}"/>
    <cellStyle name="40% - Accent2 33 4 2" xfId="20420" xr:uid="{00000000-0005-0000-0000-0000E82B0000}"/>
    <cellStyle name="40% - Accent2 33 5" xfId="7138" xr:uid="{00000000-0005-0000-0000-0000E92B0000}"/>
    <cellStyle name="40% - Accent2 33 5 2" xfId="18426" xr:uid="{00000000-0005-0000-0000-0000EA2B0000}"/>
    <cellStyle name="40% - Accent2 33 6" xfId="5144" xr:uid="{00000000-0005-0000-0000-0000EB2B0000}"/>
    <cellStyle name="40% - Accent2 33 6 2" xfId="16432" xr:uid="{00000000-0005-0000-0000-0000EC2B0000}"/>
    <cellStyle name="40% - Accent2 33 7" xfId="14438" xr:uid="{00000000-0005-0000-0000-0000ED2B0000}"/>
    <cellStyle name="40% - Accent2 33 8" xfId="13124" xr:uid="{00000000-0005-0000-0000-0000EE2B0000}"/>
    <cellStyle name="40% - Accent2 34" xfId="1189" xr:uid="{00000000-0005-0000-0000-0000EF2B0000}"/>
    <cellStyle name="40% - Accent2 34 2" xfId="4145" xr:uid="{00000000-0005-0000-0000-0000F02B0000}"/>
    <cellStyle name="40% - Accent2 34 2 2" xfId="12124" xr:uid="{00000000-0005-0000-0000-0000F12B0000}"/>
    <cellStyle name="40% - Accent2 34 2 2 2" xfId="23412" xr:uid="{00000000-0005-0000-0000-0000F22B0000}"/>
    <cellStyle name="40% - Accent2 34 2 3" xfId="10130" xr:uid="{00000000-0005-0000-0000-0000F32B0000}"/>
    <cellStyle name="40% - Accent2 34 2 3 2" xfId="21418" xr:uid="{00000000-0005-0000-0000-0000F42B0000}"/>
    <cellStyle name="40% - Accent2 34 2 4" xfId="8136" xr:uid="{00000000-0005-0000-0000-0000F52B0000}"/>
    <cellStyle name="40% - Accent2 34 2 4 2" xfId="19424" xr:uid="{00000000-0005-0000-0000-0000F62B0000}"/>
    <cellStyle name="40% - Accent2 34 2 5" xfId="6142" xr:uid="{00000000-0005-0000-0000-0000F72B0000}"/>
    <cellStyle name="40% - Accent2 34 2 5 2" xfId="17430" xr:uid="{00000000-0005-0000-0000-0000F82B0000}"/>
    <cellStyle name="40% - Accent2 34 2 6" xfId="15436" xr:uid="{00000000-0005-0000-0000-0000F92B0000}"/>
    <cellStyle name="40% - Accent2 34 3" xfId="11127" xr:uid="{00000000-0005-0000-0000-0000FA2B0000}"/>
    <cellStyle name="40% - Accent2 34 3 2" xfId="22415" xr:uid="{00000000-0005-0000-0000-0000FB2B0000}"/>
    <cellStyle name="40% - Accent2 34 4" xfId="9133" xr:uid="{00000000-0005-0000-0000-0000FC2B0000}"/>
    <cellStyle name="40% - Accent2 34 4 2" xfId="20421" xr:uid="{00000000-0005-0000-0000-0000FD2B0000}"/>
    <cellStyle name="40% - Accent2 34 5" xfId="7139" xr:uid="{00000000-0005-0000-0000-0000FE2B0000}"/>
    <cellStyle name="40% - Accent2 34 5 2" xfId="18427" xr:uid="{00000000-0005-0000-0000-0000FF2B0000}"/>
    <cellStyle name="40% - Accent2 34 6" xfId="5145" xr:uid="{00000000-0005-0000-0000-0000002C0000}"/>
    <cellStyle name="40% - Accent2 34 6 2" xfId="16433" xr:uid="{00000000-0005-0000-0000-0000012C0000}"/>
    <cellStyle name="40% - Accent2 34 7" xfId="14439" xr:uid="{00000000-0005-0000-0000-0000022C0000}"/>
    <cellStyle name="40% - Accent2 34 8" xfId="13125" xr:uid="{00000000-0005-0000-0000-0000032C0000}"/>
    <cellStyle name="40% - Accent2 35" xfId="1190" xr:uid="{00000000-0005-0000-0000-0000042C0000}"/>
    <cellStyle name="40% - Accent2 35 2" xfId="4146" xr:uid="{00000000-0005-0000-0000-0000052C0000}"/>
    <cellStyle name="40% - Accent2 35 2 2" xfId="12125" xr:uid="{00000000-0005-0000-0000-0000062C0000}"/>
    <cellStyle name="40% - Accent2 35 2 2 2" xfId="23413" xr:uid="{00000000-0005-0000-0000-0000072C0000}"/>
    <cellStyle name="40% - Accent2 35 2 3" xfId="10131" xr:uid="{00000000-0005-0000-0000-0000082C0000}"/>
    <cellStyle name="40% - Accent2 35 2 3 2" xfId="21419" xr:uid="{00000000-0005-0000-0000-0000092C0000}"/>
    <cellStyle name="40% - Accent2 35 2 4" xfId="8137" xr:uid="{00000000-0005-0000-0000-00000A2C0000}"/>
    <cellStyle name="40% - Accent2 35 2 4 2" xfId="19425" xr:uid="{00000000-0005-0000-0000-00000B2C0000}"/>
    <cellStyle name="40% - Accent2 35 2 5" xfId="6143" xr:uid="{00000000-0005-0000-0000-00000C2C0000}"/>
    <cellStyle name="40% - Accent2 35 2 5 2" xfId="17431" xr:uid="{00000000-0005-0000-0000-00000D2C0000}"/>
    <cellStyle name="40% - Accent2 35 2 6" xfId="15437" xr:uid="{00000000-0005-0000-0000-00000E2C0000}"/>
    <cellStyle name="40% - Accent2 35 3" xfId="11128" xr:uid="{00000000-0005-0000-0000-00000F2C0000}"/>
    <cellStyle name="40% - Accent2 35 3 2" xfId="22416" xr:uid="{00000000-0005-0000-0000-0000102C0000}"/>
    <cellStyle name="40% - Accent2 35 4" xfId="9134" xr:uid="{00000000-0005-0000-0000-0000112C0000}"/>
    <cellStyle name="40% - Accent2 35 4 2" xfId="20422" xr:uid="{00000000-0005-0000-0000-0000122C0000}"/>
    <cellStyle name="40% - Accent2 35 5" xfId="7140" xr:uid="{00000000-0005-0000-0000-0000132C0000}"/>
    <cellStyle name="40% - Accent2 35 5 2" xfId="18428" xr:uid="{00000000-0005-0000-0000-0000142C0000}"/>
    <cellStyle name="40% - Accent2 35 6" xfId="5146" xr:uid="{00000000-0005-0000-0000-0000152C0000}"/>
    <cellStyle name="40% - Accent2 35 6 2" xfId="16434" xr:uid="{00000000-0005-0000-0000-0000162C0000}"/>
    <cellStyle name="40% - Accent2 35 7" xfId="14440" xr:uid="{00000000-0005-0000-0000-0000172C0000}"/>
    <cellStyle name="40% - Accent2 35 8" xfId="13126" xr:uid="{00000000-0005-0000-0000-0000182C0000}"/>
    <cellStyle name="40% - Accent2 36" xfId="1191" xr:uid="{00000000-0005-0000-0000-0000192C0000}"/>
    <cellStyle name="40% - Accent2 36 2" xfId="4147" xr:uid="{00000000-0005-0000-0000-00001A2C0000}"/>
    <cellStyle name="40% - Accent2 36 2 2" xfId="12126" xr:uid="{00000000-0005-0000-0000-00001B2C0000}"/>
    <cellStyle name="40% - Accent2 36 2 2 2" xfId="23414" xr:uid="{00000000-0005-0000-0000-00001C2C0000}"/>
    <cellStyle name="40% - Accent2 36 2 3" xfId="10132" xr:uid="{00000000-0005-0000-0000-00001D2C0000}"/>
    <cellStyle name="40% - Accent2 36 2 3 2" xfId="21420" xr:uid="{00000000-0005-0000-0000-00001E2C0000}"/>
    <cellStyle name="40% - Accent2 36 2 4" xfId="8138" xr:uid="{00000000-0005-0000-0000-00001F2C0000}"/>
    <cellStyle name="40% - Accent2 36 2 4 2" xfId="19426" xr:uid="{00000000-0005-0000-0000-0000202C0000}"/>
    <cellStyle name="40% - Accent2 36 2 5" xfId="6144" xr:uid="{00000000-0005-0000-0000-0000212C0000}"/>
    <cellStyle name="40% - Accent2 36 2 5 2" xfId="17432" xr:uid="{00000000-0005-0000-0000-0000222C0000}"/>
    <cellStyle name="40% - Accent2 36 2 6" xfId="15438" xr:uid="{00000000-0005-0000-0000-0000232C0000}"/>
    <cellStyle name="40% - Accent2 36 3" xfId="11129" xr:uid="{00000000-0005-0000-0000-0000242C0000}"/>
    <cellStyle name="40% - Accent2 36 3 2" xfId="22417" xr:uid="{00000000-0005-0000-0000-0000252C0000}"/>
    <cellStyle name="40% - Accent2 36 4" xfId="9135" xr:uid="{00000000-0005-0000-0000-0000262C0000}"/>
    <cellStyle name="40% - Accent2 36 4 2" xfId="20423" xr:uid="{00000000-0005-0000-0000-0000272C0000}"/>
    <cellStyle name="40% - Accent2 36 5" xfId="7141" xr:uid="{00000000-0005-0000-0000-0000282C0000}"/>
    <cellStyle name="40% - Accent2 36 5 2" xfId="18429" xr:uid="{00000000-0005-0000-0000-0000292C0000}"/>
    <cellStyle name="40% - Accent2 36 6" xfId="5147" xr:uid="{00000000-0005-0000-0000-00002A2C0000}"/>
    <cellStyle name="40% - Accent2 36 6 2" xfId="16435" xr:uid="{00000000-0005-0000-0000-00002B2C0000}"/>
    <cellStyle name="40% - Accent2 36 7" xfId="14441" xr:uid="{00000000-0005-0000-0000-00002C2C0000}"/>
    <cellStyle name="40% - Accent2 36 8" xfId="13127" xr:uid="{00000000-0005-0000-0000-00002D2C0000}"/>
    <cellStyle name="40% - Accent2 37" xfId="1192" xr:uid="{00000000-0005-0000-0000-00002E2C0000}"/>
    <cellStyle name="40% - Accent2 37 2" xfId="4148" xr:uid="{00000000-0005-0000-0000-00002F2C0000}"/>
    <cellStyle name="40% - Accent2 37 2 2" xfId="12127" xr:uid="{00000000-0005-0000-0000-0000302C0000}"/>
    <cellStyle name="40% - Accent2 37 2 2 2" xfId="23415" xr:uid="{00000000-0005-0000-0000-0000312C0000}"/>
    <cellStyle name="40% - Accent2 37 2 3" xfId="10133" xr:uid="{00000000-0005-0000-0000-0000322C0000}"/>
    <cellStyle name="40% - Accent2 37 2 3 2" xfId="21421" xr:uid="{00000000-0005-0000-0000-0000332C0000}"/>
    <cellStyle name="40% - Accent2 37 2 4" xfId="8139" xr:uid="{00000000-0005-0000-0000-0000342C0000}"/>
    <cellStyle name="40% - Accent2 37 2 4 2" xfId="19427" xr:uid="{00000000-0005-0000-0000-0000352C0000}"/>
    <cellStyle name="40% - Accent2 37 2 5" xfId="6145" xr:uid="{00000000-0005-0000-0000-0000362C0000}"/>
    <cellStyle name="40% - Accent2 37 2 5 2" xfId="17433" xr:uid="{00000000-0005-0000-0000-0000372C0000}"/>
    <cellStyle name="40% - Accent2 37 2 6" xfId="15439" xr:uid="{00000000-0005-0000-0000-0000382C0000}"/>
    <cellStyle name="40% - Accent2 37 3" xfId="11130" xr:uid="{00000000-0005-0000-0000-0000392C0000}"/>
    <cellStyle name="40% - Accent2 37 3 2" xfId="22418" xr:uid="{00000000-0005-0000-0000-00003A2C0000}"/>
    <cellStyle name="40% - Accent2 37 4" xfId="9136" xr:uid="{00000000-0005-0000-0000-00003B2C0000}"/>
    <cellStyle name="40% - Accent2 37 4 2" xfId="20424" xr:uid="{00000000-0005-0000-0000-00003C2C0000}"/>
    <cellStyle name="40% - Accent2 37 5" xfId="7142" xr:uid="{00000000-0005-0000-0000-00003D2C0000}"/>
    <cellStyle name="40% - Accent2 37 5 2" xfId="18430" xr:uid="{00000000-0005-0000-0000-00003E2C0000}"/>
    <cellStyle name="40% - Accent2 37 6" xfId="5148" xr:uid="{00000000-0005-0000-0000-00003F2C0000}"/>
    <cellStyle name="40% - Accent2 37 6 2" xfId="16436" xr:uid="{00000000-0005-0000-0000-0000402C0000}"/>
    <cellStyle name="40% - Accent2 37 7" xfId="14442" xr:uid="{00000000-0005-0000-0000-0000412C0000}"/>
    <cellStyle name="40% - Accent2 37 8" xfId="13128" xr:uid="{00000000-0005-0000-0000-0000422C0000}"/>
    <cellStyle name="40% - Accent2 38" xfId="1193" xr:uid="{00000000-0005-0000-0000-0000432C0000}"/>
    <cellStyle name="40% - Accent2 38 2" xfId="4149" xr:uid="{00000000-0005-0000-0000-0000442C0000}"/>
    <cellStyle name="40% - Accent2 38 2 2" xfId="12128" xr:uid="{00000000-0005-0000-0000-0000452C0000}"/>
    <cellStyle name="40% - Accent2 38 2 2 2" xfId="23416" xr:uid="{00000000-0005-0000-0000-0000462C0000}"/>
    <cellStyle name="40% - Accent2 38 2 3" xfId="10134" xr:uid="{00000000-0005-0000-0000-0000472C0000}"/>
    <cellStyle name="40% - Accent2 38 2 3 2" xfId="21422" xr:uid="{00000000-0005-0000-0000-0000482C0000}"/>
    <cellStyle name="40% - Accent2 38 2 4" xfId="8140" xr:uid="{00000000-0005-0000-0000-0000492C0000}"/>
    <cellStyle name="40% - Accent2 38 2 4 2" xfId="19428" xr:uid="{00000000-0005-0000-0000-00004A2C0000}"/>
    <cellStyle name="40% - Accent2 38 2 5" xfId="6146" xr:uid="{00000000-0005-0000-0000-00004B2C0000}"/>
    <cellStyle name="40% - Accent2 38 2 5 2" xfId="17434" xr:uid="{00000000-0005-0000-0000-00004C2C0000}"/>
    <cellStyle name="40% - Accent2 38 2 6" xfId="15440" xr:uid="{00000000-0005-0000-0000-00004D2C0000}"/>
    <cellStyle name="40% - Accent2 38 3" xfId="11131" xr:uid="{00000000-0005-0000-0000-00004E2C0000}"/>
    <cellStyle name="40% - Accent2 38 3 2" xfId="22419" xr:uid="{00000000-0005-0000-0000-00004F2C0000}"/>
    <cellStyle name="40% - Accent2 38 4" xfId="9137" xr:uid="{00000000-0005-0000-0000-0000502C0000}"/>
    <cellStyle name="40% - Accent2 38 4 2" xfId="20425" xr:uid="{00000000-0005-0000-0000-0000512C0000}"/>
    <cellStyle name="40% - Accent2 38 5" xfId="7143" xr:uid="{00000000-0005-0000-0000-0000522C0000}"/>
    <cellStyle name="40% - Accent2 38 5 2" xfId="18431" xr:uid="{00000000-0005-0000-0000-0000532C0000}"/>
    <cellStyle name="40% - Accent2 38 6" xfId="5149" xr:uid="{00000000-0005-0000-0000-0000542C0000}"/>
    <cellStyle name="40% - Accent2 38 6 2" xfId="16437" xr:uid="{00000000-0005-0000-0000-0000552C0000}"/>
    <cellStyle name="40% - Accent2 38 7" xfId="14443" xr:uid="{00000000-0005-0000-0000-0000562C0000}"/>
    <cellStyle name="40% - Accent2 38 8" xfId="13129" xr:uid="{00000000-0005-0000-0000-0000572C0000}"/>
    <cellStyle name="40% - Accent2 39" xfId="1194" xr:uid="{00000000-0005-0000-0000-0000582C0000}"/>
    <cellStyle name="40% - Accent2 39 2" xfId="4150" xr:uid="{00000000-0005-0000-0000-0000592C0000}"/>
    <cellStyle name="40% - Accent2 39 2 2" xfId="12129" xr:uid="{00000000-0005-0000-0000-00005A2C0000}"/>
    <cellStyle name="40% - Accent2 39 2 2 2" xfId="23417" xr:uid="{00000000-0005-0000-0000-00005B2C0000}"/>
    <cellStyle name="40% - Accent2 39 2 3" xfId="10135" xr:uid="{00000000-0005-0000-0000-00005C2C0000}"/>
    <cellStyle name="40% - Accent2 39 2 3 2" xfId="21423" xr:uid="{00000000-0005-0000-0000-00005D2C0000}"/>
    <cellStyle name="40% - Accent2 39 2 4" xfId="8141" xr:uid="{00000000-0005-0000-0000-00005E2C0000}"/>
    <cellStyle name="40% - Accent2 39 2 4 2" xfId="19429" xr:uid="{00000000-0005-0000-0000-00005F2C0000}"/>
    <cellStyle name="40% - Accent2 39 2 5" xfId="6147" xr:uid="{00000000-0005-0000-0000-0000602C0000}"/>
    <cellStyle name="40% - Accent2 39 2 5 2" xfId="17435" xr:uid="{00000000-0005-0000-0000-0000612C0000}"/>
    <cellStyle name="40% - Accent2 39 2 6" xfId="15441" xr:uid="{00000000-0005-0000-0000-0000622C0000}"/>
    <cellStyle name="40% - Accent2 39 3" xfId="11132" xr:uid="{00000000-0005-0000-0000-0000632C0000}"/>
    <cellStyle name="40% - Accent2 39 3 2" xfId="22420" xr:uid="{00000000-0005-0000-0000-0000642C0000}"/>
    <cellStyle name="40% - Accent2 39 4" xfId="9138" xr:uid="{00000000-0005-0000-0000-0000652C0000}"/>
    <cellStyle name="40% - Accent2 39 4 2" xfId="20426" xr:uid="{00000000-0005-0000-0000-0000662C0000}"/>
    <cellStyle name="40% - Accent2 39 5" xfId="7144" xr:uid="{00000000-0005-0000-0000-0000672C0000}"/>
    <cellStyle name="40% - Accent2 39 5 2" xfId="18432" xr:uid="{00000000-0005-0000-0000-0000682C0000}"/>
    <cellStyle name="40% - Accent2 39 6" xfId="5150" xr:uid="{00000000-0005-0000-0000-0000692C0000}"/>
    <cellStyle name="40% - Accent2 39 6 2" xfId="16438" xr:uid="{00000000-0005-0000-0000-00006A2C0000}"/>
    <cellStyle name="40% - Accent2 39 7" xfId="14444" xr:uid="{00000000-0005-0000-0000-00006B2C0000}"/>
    <cellStyle name="40% - Accent2 39 8" xfId="13130" xr:uid="{00000000-0005-0000-0000-00006C2C0000}"/>
    <cellStyle name="40% - Accent2 4" xfId="1195" xr:uid="{00000000-0005-0000-0000-00006D2C0000}"/>
    <cellStyle name="40% - Accent2 4 10" xfId="24603" xr:uid="{00000000-0005-0000-0000-00006E2C0000}"/>
    <cellStyle name="40% - Accent2 4 11" xfId="24993" xr:uid="{00000000-0005-0000-0000-00006F2C0000}"/>
    <cellStyle name="40% - Accent2 4 2" xfId="4151" xr:uid="{00000000-0005-0000-0000-0000702C0000}"/>
    <cellStyle name="40% - Accent2 4 2 2" xfId="12130" xr:uid="{00000000-0005-0000-0000-0000712C0000}"/>
    <cellStyle name="40% - Accent2 4 2 2 2" xfId="23418" xr:uid="{00000000-0005-0000-0000-0000722C0000}"/>
    <cellStyle name="40% - Accent2 4 2 3" xfId="10136" xr:uid="{00000000-0005-0000-0000-0000732C0000}"/>
    <cellStyle name="40% - Accent2 4 2 3 2" xfId="21424" xr:uid="{00000000-0005-0000-0000-0000742C0000}"/>
    <cellStyle name="40% - Accent2 4 2 4" xfId="8142" xr:uid="{00000000-0005-0000-0000-0000752C0000}"/>
    <cellStyle name="40% - Accent2 4 2 4 2" xfId="19430" xr:uid="{00000000-0005-0000-0000-0000762C0000}"/>
    <cellStyle name="40% - Accent2 4 2 5" xfId="6148" xr:uid="{00000000-0005-0000-0000-0000772C0000}"/>
    <cellStyle name="40% - Accent2 4 2 5 2" xfId="17436" xr:uid="{00000000-0005-0000-0000-0000782C0000}"/>
    <cellStyle name="40% - Accent2 4 2 6" xfId="15442" xr:uid="{00000000-0005-0000-0000-0000792C0000}"/>
    <cellStyle name="40% - Accent2 4 2 7" xfId="24364" xr:uid="{00000000-0005-0000-0000-00007A2C0000}"/>
    <cellStyle name="40% - Accent2 4 2 8" xfId="24828" xr:uid="{00000000-0005-0000-0000-00007B2C0000}"/>
    <cellStyle name="40% - Accent2 4 2 9" xfId="25195" xr:uid="{00000000-0005-0000-0000-00007C2C0000}"/>
    <cellStyle name="40% - Accent2 4 3" xfId="11133" xr:uid="{00000000-0005-0000-0000-00007D2C0000}"/>
    <cellStyle name="40% - Accent2 4 3 2" xfId="22421" xr:uid="{00000000-0005-0000-0000-00007E2C0000}"/>
    <cellStyle name="40% - Accent2 4 4" xfId="9139" xr:uid="{00000000-0005-0000-0000-00007F2C0000}"/>
    <cellStyle name="40% - Accent2 4 4 2" xfId="20427" xr:uid="{00000000-0005-0000-0000-0000802C0000}"/>
    <cellStyle name="40% - Accent2 4 5" xfId="7145" xr:uid="{00000000-0005-0000-0000-0000812C0000}"/>
    <cellStyle name="40% - Accent2 4 5 2" xfId="18433" xr:uid="{00000000-0005-0000-0000-0000822C0000}"/>
    <cellStyle name="40% - Accent2 4 6" xfId="5151" xr:uid="{00000000-0005-0000-0000-0000832C0000}"/>
    <cellStyle name="40% - Accent2 4 6 2" xfId="16439" xr:uid="{00000000-0005-0000-0000-0000842C0000}"/>
    <cellStyle name="40% - Accent2 4 7" xfId="14445" xr:uid="{00000000-0005-0000-0000-0000852C0000}"/>
    <cellStyle name="40% - Accent2 4 8" xfId="13131" xr:uid="{00000000-0005-0000-0000-0000862C0000}"/>
    <cellStyle name="40% - Accent2 4 9" xfId="23976" xr:uid="{00000000-0005-0000-0000-0000872C0000}"/>
    <cellStyle name="40% - Accent2 40" xfId="1196" xr:uid="{00000000-0005-0000-0000-0000882C0000}"/>
    <cellStyle name="40% - Accent2 40 2" xfId="4152" xr:uid="{00000000-0005-0000-0000-0000892C0000}"/>
    <cellStyle name="40% - Accent2 40 2 2" xfId="12131" xr:uid="{00000000-0005-0000-0000-00008A2C0000}"/>
    <cellStyle name="40% - Accent2 40 2 2 2" xfId="23419" xr:uid="{00000000-0005-0000-0000-00008B2C0000}"/>
    <cellStyle name="40% - Accent2 40 2 3" xfId="10137" xr:uid="{00000000-0005-0000-0000-00008C2C0000}"/>
    <cellStyle name="40% - Accent2 40 2 3 2" xfId="21425" xr:uid="{00000000-0005-0000-0000-00008D2C0000}"/>
    <cellStyle name="40% - Accent2 40 2 4" xfId="8143" xr:uid="{00000000-0005-0000-0000-00008E2C0000}"/>
    <cellStyle name="40% - Accent2 40 2 4 2" xfId="19431" xr:uid="{00000000-0005-0000-0000-00008F2C0000}"/>
    <cellStyle name="40% - Accent2 40 2 5" xfId="6149" xr:uid="{00000000-0005-0000-0000-0000902C0000}"/>
    <cellStyle name="40% - Accent2 40 2 5 2" xfId="17437" xr:uid="{00000000-0005-0000-0000-0000912C0000}"/>
    <cellStyle name="40% - Accent2 40 2 6" xfId="15443" xr:uid="{00000000-0005-0000-0000-0000922C0000}"/>
    <cellStyle name="40% - Accent2 40 3" xfId="11134" xr:uid="{00000000-0005-0000-0000-0000932C0000}"/>
    <cellStyle name="40% - Accent2 40 3 2" xfId="22422" xr:uid="{00000000-0005-0000-0000-0000942C0000}"/>
    <cellStyle name="40% - Accent2 40 4" xfId="9140" xr:uid="{00000000-0005-0000-0000-0000952C0000}"/>
    <cellStyle name="40% - Accent2 40 4 2" xfId="20428" xr:uid="{00000000-0005-0000-0000-0000962C0000}"/>
    <cellStyle name="40% - Accent2 40 5" xfId="7146" xr:uid="{00000000-0005-0000-0000-0000972C0000}"/>
    <cellStyle name="40% - Accent2 40 5 2" xfId="18434" xr:uid="{00000000-0005-0000-0000-0000982C0000}"/>
    <cellStyle name="40% - Accent2 40 6" xfId="5152" xr:uid="{00000000-0005-0000-0000-0000992C0000}"/>
    <cellStyle name="40% - Accent2 40 6 2" xfId="16440" xr:uid="{00000000-0005-0000-0000-00009A2C0000}"/>
    <cellStyle name="40% - Accent2 40 7" xfId="14446" xr:uid="{00000000-0005-0000-0000-00009B2C0000}"/>
    <cellStyle name="40% - Accent2 40 8" xfId="13132" xr:uid="{00000000-0005-0000-0000-00009C2C0000}"/>
    <cellStyle name="40% - Accent2 41" xfId="1197" xr:uid="{00000000-0005-0000-0000-00009D2C0000}"/>
    <cellStyle name="40% - Accent2 41 2" xfId="4153" xr:uid="{00000000-0005-0000-0000-00009E2C0000}"/>
    <cellStyle name="40% - Accent2 41 2 2" xfId="12132" xr:uid="{00000000-0005-0000-0000-00009F2C0000}"/>
    <cellStyle name="40% - Accent2 41 2 2 2" xfId="23420" xr:uid="{00000000-0005-0000-0000-0000A02C0000}"/>
    <cellStyle name="40% - Accent2 41 2 3" xfId="10138" xr:uid="{00000000-0005-0000-0000-0000A12C0000}"/>
    <cellStyle name="40% - Accent2 41 2 3 2" xfId="21426" xr:uid="{00000000-0005-0000-0000-0000A22C0000}"/>
    <cellStyle name="40% - Accent2 41 2 4" xfId="8144" xr:uid="{00000000-0005-0000-0000-0000A32C0000}"/>
    <cellStyle name="40% - Accent2 41 2 4 2" xfId="19432" xr:uid="{00000000-0005-0000-0000-0000A42C0000}"/>
    <cellStyle name="40% - Accent2 41 2 5" xfId="6150" xr:uid="{00000000-0005-0000-0000-0000A52C0000}"/>
    <cellStyle name="40% - Accent2 41 2 5 2" xfId="17438" xr:uid="{00000000-0005-0000-0000-0000A62C0000}"/>
    <cellStyle name="40% - Accent2 41 2 6" xfId="15444" xr:uid="{00000000-0005-0000-0000-0000A72C0000}"/>
    <cellStyle name="40% - Accent2 41 3" xfId="11135" xr:uid="{00000000-0005-0000-0000-0000A82C0000}"/>
    <cellStyle name="40% - Accent2 41 3 2" xfId="22423" xr:uid="{00000000-0005-0000-0000-0000A92C0000}"/>
    <cellStyle name="40% - Accent2 41 4" xfId="9141" xr:uid="{00000000-0005-0000-0000-0000AA2C0000}"/>
    <cellStyle name="40% - Accent2 41 4 2" xfId="20429" xr:uid="{00000000-0005-0000-0000-0000AB2C0000}"/>
    <cellStyle name="40% - Accent2 41 5" xfId="7147" xr:uid="{00000000-0005-0000-0000-0000AC2C0000}"/>
    <cellStyle name="40% - Accent2 41 5 2" xfId="18435" xr:uid="{00000000-0005-0000-0000-0000AD2C0000}"/>
    <cellStyle name="40% - Accent2 41 6" xfId="5153" xr:uid="{00000000-0005-0000-0000-0000AE2C0000}"/>
    <cellStyle name="40% - Accent2 41 6 2" xfId="16441" xr:uid="{00000000-0005-0000-0000-0000AF2C0000}"/>
    <cellStyle name="40% - Accent2 41 7" xfId="14447" xr:uid="{00000000-0005-0000-0000-0000B02C0000}"/>
    <cellStyle name="40% - Accent2 41 8" xfId="13133" xr:uid="{00000000-0005-0000-0000-0000B12C0000}"/>
    <cellStyle name="40% - Accent2 42" xfId="1198" xr:uid="{00000000-0005-0000-0000-0000B22C0000}"/>
    <cellStyle name="40% - Accent2 42 2" xfId="4154" xr:uid="{00000000-0005-0000-0000-0000B32C0000}"/>
    <cellStyle name="40% - Accent2 42 2 2" xfId="12133" xr:uid="{00000000-0005-0000-0000-0000B42C0000}"/>
    <cellStyle name="40% - Accent2 42 2 2 2" xfId="23421" xr:uid="{00000000-0005-0000-0000-0000B52C0000}"/>
    <cellStyle name="40% - Accent2 42 2 3" xfId="10139" xr:uid="{00000000-0005-0000-0000-0000B62C0000}"/>
    <cellStyle name="40% - Accent2 42 2 3 2" xfId="21427" xr:uid="{00000000-0005-0000-0000-0000B72C0000}"/>
    <cellStyle name="40% - Accent2 42 2 4" xfId="8145" xr:uid="{00000000-0005-0000-0000-0000B82C0000}"/>
    <cellStyle name="40% - Accent2 42 2 4 2" xfId="19433" xr:uid="{00000000-0005-0000-0000-0000B92C0000}"/>
    <cellStyle name="40% - Accent2 42 2 5" xfId="6151" xr:uid="{00000000-0005-0000-0000-0000BA2C0000}"/>
    <cellStyle name="40% - Accent2 42 2 5 2" xfId="17439" xr:uid="{00000000-0005-0000-0000-0000BB2C0000}"/>
    <cellStyle name="40% - Accent2 42 2 6" xfId="15445" xr:uid="{00000000-0005-0000-0000-0000BC2C0000}"/>
    <cellStyle name="40% - Accent2 42 3" xfId="11136" xr:uid="{00000000-0005-0000-0000-0000BD2C0000}"/>
    <cellStyle name="40% - Accent2 42 3 2" xfId="22424" xr:uid="{00000000-0005-0000-0000-0000BE2C0000}"/>
    <cellStyle name="40% - Accent2 42 4" xfId="9142" xr:uid="{00000000-0005-0000-0000-0000BF2C0000}"/>
    <cellStyle name="40% - Accent2 42 4 2" xfId="20430" xr:uid="{00000000-0005-0000-0000-0000C02C0000}"/>
    <cellStyle name="40% - Accent2 42 5" xfId="7148" xr:uid="{00000000-0005-0000-0000-0000C12C0000}"/>
    <cellStyle name="40% - Accent2 42 5 2" xfId="18436" xr:uid="{00000000-0005-0000-0000-0000C22C0000}"/>
    <cellStyle name="40% - Accent2 42 6" xfId="5154" xr:uid="{00000000-0005-0000-0000-0000C32C0000}"/>
    <cellStyle name="40% - Accent2 42 6 2" xfId="16442" xr:uid="{00000000-0005-0000-0000-0000C42C0000}"/>
    <cellStyle name="40% - Accent2 42 7" xfId="14448" xr:uid="{00000000-0005-0000-0000-0000C52C0000}"/>
    <cellStyle name="40% - Accent2 42 8" xfId="13134" xr:uid="{00000000-0005-0000-0000-0000C62C0000}"/>
    <cellStyle name="40% - Accent2 43" xfId="1199" xr:uid="{00000000-0005-0000-0000-0000C72C0000}"/>
    <cellStyle name="40% - Accent2 43 2" xfId="4155" xr:uid="{00000000-0005-0000-0000-0000C82C0000}"/>
    <cellStyle name="40% - Accent2 43 2 2" xfId="12134" xr:uid="{00000000-0005-0000-0000-0000C92C0000}"/>
    <cellStyle name="40% - Accent2 43 2 2 2" xfId="23422" xr:uid="{00000000-0005-0000-0000-0000CA2C0000}"/>
    <cellStyle name="40% - Accent2 43 2 3" xfId="10140" xr:uid="{00000000-0005-0000-0000-0000CB2C0000}"/>
    <cellStyle name="40% - Accent2 43 2 3 2" xfId="21428" xr:uid="{00000000-0005-0000-0000-0000CC2C0000}"/>
    <cellStyle name="40% - Accent2 43 2 4" xfId="8146" xr:uid="{00000000-0005-0000-0000-0000CD2C0000}"/>
    <cellStyle name="40% - Accent2 43 2 4 2" xfId="19434" xr:uid="{00000000-0005-0000-0000-0000CE2C0000}"/>
    <cellStyle name="40% - Accent2 43 2 5" xfId="6152" xr:uid="{00000000-0005-0000-0000-0000CF2C0000}"/>
    <cellStyle name="40% - Accent2 43 2 5 2" xfId="17440" xr:uid="{00000000-0005-0000-0000-0000D02C0000}"/>
    <cellStyle name="40% - Accent2 43 2 6" xfId="15446" xr:uid="{00000000-0005-0000-0000-0000D12C0000}"/>
    <cellStyle name="40% - Accent2 43 3" xfId="11137" xr:uid="{00000000-0005-0000-0000-0000D22C0000}"/>
    <cellStyle name="40% - Accent2 43 3 2" xfId="22425" xr:uid="{00000000-0005-0000-0000-0000D32C0000}"/>
    <cellStyle name="40% - Accent2 43 4" xfId="9143" xr:uid="{00000000-0005-0000-0000-0000D42C0000}"/>
    <cellStyle name="40% - Accent2 43 4 2" xfId="20431" xr:uid="{00000000-0005-0000-0000-0000D52C0000}"/>
    <cellStyle name="40% - Accent2 43 5" xfId="7149" xr:uid="{00000000-0005-0000-0000-0000D62C0000}"/>
    <cellStyle name="40% - Accent2 43 5 2" xfId="18437" xr:uid="{00000000-0005-0000-0000-0000D72C0000}"/>
    <cellStyle name="40% - Accent2 43 6" xfId="5155" xr:uid="{00000000-0005-0000-0000-0000D82C0000}"/>
    <cellStyle name="40% - Accent2 43 6 2" xfId="16443" xr:uid="{00000000-0005-0000-0000-0000D92C0000}"/>
    <cellStyle name="40% - Accent2 43 7" xfId="14449" xr:uid="{00000000-0005-0000-0000-0000DA2C0000}"/>
    <cellStyle name="40% - Accent2 43 8" xfId="13135" xr:uid="{00000000-0005-0000-0000-0000DB2C0000}"/>
    <cellStyle name="40% - Accent2 44" xfId="1200" xr:uid="{00000000-0005-0000-0000-0000DC2C0000}"/>
    <cellStyle name="40% - Accent2 44 2" xfId="4156" xr:uid="{00000000-0005-0000-0000-0000DD2C0000}"/>
    <cellStyle name="40% - Accent2 44 2 2" xfId="12135" xr:uid="{00000000-0005-0000-0000-0000DE2C0000}"/>
    <cellStyle name="40% - Accent2 44 2 2 2" xfId="23423" xr:uid="{00000000-0005-0000-0000-0000DF2C0000}"/>
    <cellStyle name="40% - Accent2 44 2 3" xfId="10141" xr:uid="{00000000-0005-0000-0000-0000E02C0000}"/>
    <cellStyle name="40% - Accent2 44 2 3 2" xfId="21429" xr:uid="{00000000-0005-0000-0000-0000E12C0000}"/>
    <cellStyle name="40% - Accent2 44 2 4" xfId="8147" xr:uid="{00000000-0005-0000-0000-0000E22C0000}"/>
    <cellStyle name="40% - Accent2 44 2 4 2" xfId="19435" xr:uid="{00000000-0005-0000-0000-0000E32C0000}"/>
    <cellStyle name="40% - Accent2 44 2 5" xfId="6153" xr:uid="{00000000-0005-0000-0000-0000E42C0000}"/>
    <cellStyle name="40% - Accent2 44 2 5 2" xfId="17441" xr:uid="{00000000-0005-0000-0000-0000E52C0000}"/>
    <cellStyle name="40% - Accent2 44 2 6" xfId="15447" xr:uid="{00000000-0005-0000-0000-0000E62C0000}"/>
    <cellStyle name="40% - Accent2 44 3" xfId="11138" xr:uid="{00000000-0005-0000-0000-0000E72C0000}"/>
    <cellStyle name="40% - Accent2 44 3 2" xfId="22426" xr:uid="{00000000-0005-0000-0000-0000E82C0000}"/>
    <cellStyle name="40% - Accent2 44 4" xfId="9144" xr:uid="{00000000-0005-0000-0000-0000E92C0000}"/>
    <cellStyle name="40% - Accent2 44 4 2" xfId="20432" xr:uid="{00000000-0005-0000-0000-0000EA2C0000}"/>
    <cellStyle name="40% - Accent2 44 5" xfId="7150" xr:uid="{00000000-0005-0000-0000-0000EB2C0000}"/>
    <cellStyle name="40% - Accent2 44 5 2" xfId="18438" xr:uid="{00000000-0005-0000-0000-0000EC2C0000}"/>
    <cellStyle name="40% - Accent2 44 6" xfId="5156" xr:uid="{00000000-0005-0000-0000-0000ED2C0000}"/>
    <cellStyle name="40% - Accent2 44 6 2" xfId="16444" xr:uid="{00000000-0005-0000-0000-0000EE2C0000}"/>
    <cellStyle name="40% - Accent2 44 7" xfId="14450" xr:uid="{00000000-0005-0000-0000-0000EF2C0000}"/>
    <cellStyle name="40% - Accent2 44 8" xfId="13136" xr:uid="{00000000-0005-0000-0000-0000F02C0000}"/>
    <cellStyle name="40% - Accent2 45" xfId="1201" xr:uid="{00000000-0005-0000-0000-0000F12C0000}"/>
    <cellStyle name="40% - Accent2 45 2" xfId="4157" xr:uid="{00000000-0005-0000-0000-0000F22C0000}"/>
    <cellStyle name="40% - Accent2 45 2 2" xfId="12136" xr:uid="{00000000-0005-0000-0000-0000F32C0000}"/>
    <cellStyle name="40% - Accent2 45 2 2 2" xfId="23424" xr:uid="{00000000-0005-0000-0000-0000F42C0000}"/>
    <cellStyle name="40% - Accent2 45 2 3" xfId="10142" xr:uid="{00000000-0005-0000-0000-0000F52C0000}"/>
    <cellStyle name="40% - Accent2 45 2 3 2" xfId="21430" xr:uid="{00000000-0005-0000-0000-0000F62C0000}"/>
    <cellStyle name="40% - Accent2 45 2 4" xfId="8148" xr:uid="{00000000-0005-0000-0000-0000F72C0000}"/>
    <cellStyle name="40% - Accent2 45 2 4 2" xfId="19436" xr:uid="{00000000-0005-0000-0000-0000F82C0000}"/>
    <cellStyle name="40% - Accent2 45 2 5" xfId="6154" xr:uid="{00000000-0005-0000-0000-0000F92C0000}"/>
    <cellStyle name="40% - Accent2 45 2 5 2" xfId="17442" xr:uid="{00000000-0005-0000-0000-0000FA2C0000}"/>
    <cellStyle name="40% - Accent2 45 2 6" xfId="15448" xr:uid="{00000000-0005-0000-0000-0000FB2C0000}"/>
    <cellStyle name="40% - Accent2 45 3" xfId="11139" xr:uid="{00000000-0005-0000-0000-0000FC2C0000}"/>
    <cellStyle name="40% - Accent2 45 3 2" xfId="22427" xr:uid="{00000000-0005-0000-0000-0000FD2C0000}"/>
    <cellStyle name="40% - Accent2 45 4" xfId="9145" xr:uid="{00000000-0005-0000-0000-0000FE2C0000}"/>
    <cellStyle name="40% - Accent2 45 4 2" xfId="20433" xr:uid="{00000000-0005-0000-0000-0000FF2C0000}"/>
    <cellStyle name="40% - Accent2 45 5" xfId="7151" xr:uid="{00000000-0005-0000-0000-0000002D0000}"/>
    <cellStyle name="40% - Accent2 45 5 2" xfId="18439" xr:uid="{00000000-0005-0000-0000-0000012D0000}"/>
    <cellStyle name="40% - Accent2 45 6" xfId="5157" xr:uid="{00000000-0005-0000-0000-0000022D0000}"/>
    <cellStyle name="40% - Accent2 45 6 2" xfId="16445" xr:uid="{00000000-0005-0000-0000-0000032D0000}"/>
    <cellStyle name="40% - Accent2 45 7" xfId="14451" xr:uid="{00000000-0005-0000-0000-0000042D0000}"/>
    <cellStyle name="40% - Accent2 45 8" xfId="13137" xr:uid="{00000000-0005-0000-0000-0000052D0000}"/>
    <cellStyle name="40% - Accent2 46" xfId="1202" xr:uid="{00000000-0005-0000-0000-0000062D0000}"/>
    <cellStyle name="40% - Accent2 46 2" xfId="4158" xr:uid="{00000000-0005-0000-0000-0000072D0000}"/>
    <cellStyle name="40% - Accent2 46 2 2" xfId="12137" xr:uid="{00000000-0005-0000-0000-0000082D0000}"/>
    <cellStyle name="40% - Accent2 46 2 2 2" xfId="23425" xr:uid="{00000000-0005-0000-0000-0000092D0000}"/>
    <cellStyle name="40% - Accent2 46 2 3" xfId="10143" xr:uid="{00000000-0005-0000-0000-00000A2D0000}"/>
    <cellStyle name="40% - Accent2 46 2 3 2" xfId="21431" xr:uid="{00000000-0005-0000-0000-00000B2D0000}"/>
    <cellStyle name="40% - Accent2 46 2 4" xfId="8149" xr:uid="{00000000-0005-0000-0000-00000C2D0000}"/>
    <cellStyle name="40% - Accent2 46 2 4 2" xfId="19437" xr:uid="{00000000-0005-0000-0000-00000D2D0000}"/>
    <cellStyle name="40% - Accent2 46 2 5" xfId="6155" xr:uid="{00000000-0005-0000-0000-00000E2D0000}"/>
    <cellStyle name="40% - Accent2 46 2 5 2" xfId="17443" xr:uid="{00000000-0005-0000-0000-00000F2D0000}"/>
    <cellStyle name="40% - Accent2 46 2 6" xfId="15449" xr:uid="{00000000-0005-0000-0000-0000102D0000}"/>
    <cellStyle name="40% - Accent2 46 3" xfId="11140" xr:uid="{00000000-0005-0000-0000-0000112D0000}"/>
    <cellStyle name="40% - Accent2 46 3 2" xfId="22428" xr:uid="{00000000-0005-0000-0000-0000122D0000}"/>
    <cellStyle name="40% - Accent2 46 4" xfId="9146" xr:uid="{00000000-0005-0000-0000-0000132D0000}"/>
    <cellStyle name="40% - Accent2 46 4 2" xfId="20434" xr:uid="{00000000-0005-0000-0000-0000142D0000}"/>
    <cellStyle name="40% - Accent2 46 5" xfId="7152" xr:uid="{00000000-0005-0000-0000-0000152D0000}"/>
    <cellStyle name="40% - Accent2 46 5 2" xfId="18440" xr:uid="{00000000-0005-0000-0000-0000162D0000}"/>
    <cellStyle name="40% - Accent2 46 6" xfId="5158" xr:uid="{00000000-0005-0000-0000-0000172D0000}"/>
    <cellStyle name="40% - Accent2 46 6 2" xfId="16446" xr:uid="{00000000-0005-0000-0000-0000182D0000}"/>
    <cellStyle name="40% - Accent2 46 7" xfId="14452" xr:uid="{00000000-0005-0000-0000-0000192D0000}"/>
    <cellStyle name="40% - Accent2 46 8" xfId="13138" xr:uid="{00000000-0005-0000-0000-00001A2D0000}"/>
    <cellStyle name="40% - Accent2 47" xfId="1203" xr:uid="{00000000-0005-0000-0000-00001B2D0000}"/>
    <cellStyle name="40% - Accent2 47 2" xfId="4159" xr:uid="{00000000-0005-0000-0000-00001C2D0000}"/>
    <cellStyle name="40% - Accent2 47 2 2" xfId="12138" xr:uid="{00000000-0005-0000-0000-00001D2D0000}"/>
    <cellStyle name="40% - Accent2 47 2 2 2" xfId="23426" xr:uid="{00000000-0005-0000-0000-00001E2D0000}"/>
    <cellStyle name="40% - Accent2 47 2 3" xfId="10144" xr:uid="{00000000-0005-0000-0000-00001F2D0000}"/>
    <cellStyle name="40% - Accent2 47 2 3 2" xfId="21432" xr:uid="{00000000-0005-0000-0000-0000202D0000}"/>
    <cellStyle name="40% - Accent2 47 2 4" xfId="8150" xr:uid="{00000000-0005-0000-0000-0000212D0000}"/>
    <cellStyle name="40% - Accent2 47 2 4 2" xfId="19438" xr:uid="{00000000-0005-0000-0000-0000222D0000}"/>
    <cellStyle name="40% - Accent2 47 2 5" xfId="6156" xr:uid="{00000000-0005-0000-0000-0000232D0000}"/>
    <cellStyle name="40% - Accent2 47 2 5 2" xfId="17444" xr:uid="{00000000-0005-0000-0000-0000242D0000}"/>
    <cellStyle name="40% - Accent2 47 2 6" xfId="15450" xr:uid="{00000000-0005-0000-0000-0000252D0000}"/>
    <cellStyle name="40% - Accent2 47 3" xfId="11141" xr:uid="{00000000-0005-0000-0000-0000262D0000}"/>
    <cellStyle name="40% - Accent2 47 3 2" xfId="22429" xr:uid="{00000000-0005-0000-0000-0000272D0000}"/>
    <cellStyle name="40% - Accent2 47 4" xfId="9147" xr:uid="{00000000-0005-0000-0000-0000282D0000}"/>
    <cellStyle name="40% - Accent2 47 4 2" xfId="20435" xr:uid="{00000000-0005-0000-0000-0000292D0000}"/>
    <cellStyle name="40% - Accent2 47 5" xfId="7153" xr:uid="{00000000-0005-0000-0000-00002A2D0000}"/>
    <cellStyle name="40% - Accent2 47 5 2" xfId="18441" xr:uid="{00000000-0005-0000-0000-00002B2D0000}"/>
    <cellStyle name="40% - Accent2 47 6" xfId="5159" xr:uid="{00000000-0005-0000-0000-00002C2D0000}"/>
    <cellStyle name="40% - Accent2 47 6 2" xfId="16447" xr:uid="{00000000-0005-0000-0000-00002D2D0000}"/>
    <cellStyle name="40% - Accent2 47 7" xfId="14453" xr:uid="{00000000-0005-0000-0000-00002E2D0000}"/>
    <cellStyle name="40% - Accent2 47 8" xfId="13139" xr:uid="{00000000-0005-0000-0000-00002F2D0000}"/>
    <cellStyle name="40% - Accent2 48" xfId="1204" xr:uid="{00000000-0005-0000-0000-0000302D0000}"/>
    <cellStyle name="40% - Accent2 48 2" xfId="4160" xr:uid="{00000000-0005-0000-0000-0000312D0000}"/>
    <cellStyle name="40% - Accent2 48 2 2" xfId="12139" xr:uid="{00000000-0005-0000-0000-0000322D0000}"/>
    <cellStyle name="40% - Accent2 48 2 2 2" xfId="23427" xr:uid="{00000000-0005-0000-0000-0000332D0000}"/>
    <cellStyle name="40% - Accent2 48 2 3" xfId="10145" xr:uid="{00000000-0005-0000-0000-0000342D0000}"/>
    <cellStyle name="40% - Accent2 48 2 3 2" xfId="21433" xr:uid="{00000000-0005-0000-0000-0000352D0000}"/>
    <cellStyle name="40% - Accent2 48 2 4" xfId="8151" xr:uid="{00000000-0005-0000-0000-0000362D0000}"/>
    <cellStyle name="40% - Accent2 48 2 4 2" xfId="19439" xr:uid="{00000000-0005-0000-0000-0000372D0000}"/>
    <cellStyle name="40% - Accent2 48 2 5" xfId="6157" xr:uid="{00000000-0005-0000-0000-0000382D0000}"/>
    <cellStyle name="40% - Accent2 48 2 5 2" xfId="17445" xr:uid="{00000000-0005-0000-0000-0000392D0000}"/>
    <cellStyle name="40% - Accent2 48 2 6" xfId="15451" xr:uid="{00000000-0005-0000-0000-00003A2D0000}"/>
    <cellStyle name="40% - Accent2 48 3" xfId="11142" xr:uid="{00000000-0005-0000-0000-00003B2D0000}"/>
    <cellStyle name="40% - Accent2 48 3 2" xfId="22430" xr:uid="{00000000-0005-0000-0000-00003C2D0000}"/>
    <cellStyle name="40% - Accent2 48 4" xfId="9148" xr:uid="{00000000-0005-0000-0000-00003D2D0000}"/>
    <cellStyle name="40% - Accent2 48 4 2" xfId="20436" xr:uid="{00000000-0005-0000-0000-00003E2D0000}"/>
    <cellStyle name="40% - Accent2 48 5" xfId="7154" xr:uid="{00000000-0005-0000-0000-00003F2D0000}"/>
    <cellStyle name="40% - Accent2 48 5 2" xfId="18442" xr:uid="{00000000-0005-0000-0000-0000402D0000}"/>
    <cellStyle name="40% - Accent2 48 6" xfId="5160" xr:uid="{00000000-0005-0000-0000-0000412D0000}"/>
    <cellStyle name="40% - Accent2 48 6 2" xfId="16448" xr:uid="{00000000-0005-0000-0000-0000422D0000}"/>
    <cellStyle name="40% - Accent2 48 7" xfId="14454" xr:uid="{00000000-0005-0000-0000-0000432D0000}"/>
    <cellStyle name="40% - Accent2 48 8" xfId="13140" xr:uid="{00000000-0005-0000-0000-0000442D0000}"/>
    <cellStyle name="40% - Accent2 49" xfId="1205" xr:uid="{00000000-0005-0000-0000-0000452D0000}"/>
    <cellStyle name="40% - Accent2 49 2" xfId="4161" xr:uid="{00000000-0005-0000-0000-0000462D0000}"/>
    <cellStyle name="40% - Accent2 49 2 2" xfId="12140" xr:uid="{00000000-0005-0000-0000-0000472D0000}"/>
    <cellStyle name="40% - Accent2 49 2 2 2" xfId="23428" xr:uid="{00000000-0005-0000-0000-0000482D0000}"/>
    <cellStyle name="40% - Accent2 49 2 3" xfId="10146" xr:uid="{00000000-0005-0000-0000-0000492D0000}"/>
    <cellStyle name="40% - Accent2 49 2 3 2" xfId="21434" xr:uid="{00000000-0005-0000-0000-00004A2D0000}"/>
    <cellStyle name="40% - Accent2 49 2 4" xfId="8152" xr:uid="{00000000-0005-0000-0000-00004B2D0000}"/>
    <cellStyle name="40% - Accent2 49 2 4 2" xfId="19440" xr:uid="{00000000-0005-0000-0000-00004C2D0000}"/>
    <cellStyle name="40% - Accent2 49 2 5" xfId="6158" xr:uid="{00000000-0005-0000-0000-00004D2D0000}"/>
    <cellStyle name="40% - Accent2 49 2 5 2" xfId="17446" xr:uid="{00000000-0005-0000-0000-00004E2D0000}"/>
    <cellStyle name="40% - Accent2 49 2 6" xfId="15452" xr:uid="{00000000-0005-0000-0000-00004F2D0000}"/>
    <cellStyle name="40% - Accent2 49 3" xfId="11143" xr:uid="{00000000-0005-0000-0000-0000502D0000}"/>
    <cellStyle name="40% - Accent2 49 3 2" xfId="22431" xr:uid="{00000000-0005-0000-0000-0000512D0000}"/>
    <cellStyle name="40% - Accent2 49 4" xfId="9149" xr:uid="{00000000-0005-0000-0000-0000522D0000}"/>
    <cellStyle name="40% - Accent2 49 4 2" xfId="20437" xr:uid="{00000000-0005-0000-0000-0000532D0000}"/>
    <cellStyle name="40% - Accent2 49 5" xfId="7155" xr:uid="{00000000-0005-0000-0000-0000542D0000}"/>
    <cellStyle name="40% - Accent2 49 5 2" xfId="18443" xr:uid="{00000000-0005-0000-0000-0000552D0000}"/>
    <cellStyle name="40% - Accent2 49 6" xfId="5161" xr:uid="{00000000-0005-0000-0000-0000562D0000}"/>
    <cellStyle name="40% - Accent2 49 6 2" xfId="16449" xr:uid="{00000000-0005-0000-0000-0000572D0000}"/>
    <cellStyle name="40% - Accent2 49 7" xfId="14455" xr:uid="{00000000-0005-0000-0000-0000582D0000}"/>
    <cellStyle name="40% - Accent2 49 8" xfId="13141" xr:uid="{00000000-0005-0000-0000-0000592D0000}"/>
    <cellStyle name="40% - Accent2 5" xfId="1206" xr:uid="{00000000-0005-0000-0000-00005A2D0000}"/>
    <cellStyle name="40% - Accent2 5 10" xfId="24604" xr:uid="{00000000-0005-0000-0000-00005B2D0000}"/>
    <cellStyle name="40% - Accent2 5 11" xfId="24994" xr:uid="{00000000-0005-0000-0000-00005C2D0000}"/>
    <cellStyle name="40% - Accent2 5 2" xfId="4162" xr:uid="{00000000-0005-0000-0000-00005D2D0000}"/>
    <cellStyle name="40% - Accent2 5 2 2" xfId="12141" xr:uid="{00000000-0005-0000-0000-00005E2D0000}"/>
    <cellStyle name="40% - Accent2 5 2 2 2" xfId="23429" xr:uid="{00000000-0005-0000-0000-00005F2D0000}"/>
    <cellStyle name="40% - Accent2 5 2 3" xfId="10147" xr:uid="{00000000-0005-0000-0000-0000602D0000}"/>
    <cellStyle name="40% - Accent2 5 2 3 2" xfId="21435" xr:uid="{00000000-0005-0000-0000-0000612D0000}"/>
    <cellStyle name="40% - Accent2 5 2 4" xfId="8153" xr:uid="{00000000-0005-0000-0000-0000622D0000}"/>
    <cellStyle name="40% - Accent2 5 2 4 2" xfId="19441" xr:uid="{00000000-0005-0000-0000-0000632D0000}"/>
    <cellStyle name="40% - Accent2 5 2 5" xfId="6159" xr:uid="{00000000-0005-0000-0000-0000642D0000}"/>
    <cellStyle name="40% - Accent2 5 2 5 2" xfId="17447" xr:uid="{00000000-0005-0000-0000-0000652D0000}"/>
    <cellStyle name="40% - Accent2 5 2 6" xfId="15453" xr:uid="{00000000-0005-0000-0000-0000662D0000}"/>
    <cellStyle name="40% - Accent2 5 2 7" xfId="24365" xr:uid="{00000000-0005-0000-0000-0000672D0000}"/>
    <cellStyle name="40% - Accent2 5 2 8" xfId="24829" xr:uid="{00000000-0005-0000-0000-0000682D0000}"/>
    <cellStyle name="40% - Accent2 5 2 9" xfId="25196" xr:uid="{00000000-0005-0000-0000-0000692D0000}"/>
    <cellStyle name="40% - Accent2 5 3" xfId="11144" xr:uid="{00000000-0005-0000-0000-00006A2D0000}"/>
    <cellStyle name="40% - Accent2 5 3 2" xfId="22432" xr:uid="{00000000-0005-0000-0000-00006B2D0000}"/>
    <cellStyle name="40% - Accent2 5 4" xfId="9150" xr:uid="{00000000-0005-0000-0000-00006C2D0000}"/>
    <cellStyle name="40% - Accent2 5 4 2" xfId="20438" xr:uid="{00000000-0005-0000-0000-00006D2D0000}"/>
    <cellStyle name="40% - Accent2 5 5" xfId="7156" xr:uid="{00000000-0005-0000-0000-00006E2D0000}"/>
    <cellStyle name="40% - Accent2 5 5 2" xfId="18444" xr:uid="{00000000-0005-0000-0000-00006F2D0000}"/>
    <cellStyle name="40% - Accent2 5 6" xfId="5162" xr:uid="{00000000-0005-0000-0000-0000702D0000}"/>
    <cellStyle name="40% - Accent2 5 6 2" xfId="16450" xr:uid="{00000000-0005-0000-0000-0000712D0000}"/>
    <cellStyle name="40% - Accent2 5 7" xfId="14456" xr:uid="{00000000-0005-0000-0000-0000722D0000}"/>
    <cellStyle name="40% - Accent2 5 8" xfId="13142" xr:uid="{00000000-0005-0000-0000-0000732D0000}"/>
    <cellStyle name="40% - Accent2 5 9" xfId="23977" xr:uid="{00000000-0005-0000-0000-0000742D0000}"/>
    <cellStyle name="40% - Accent2 50" xfId="1207" xr:uid="{00000000-0005-0000-0000-0000752D0000}"/>
    <cellStyle name="40% - Accent2 50 2" xfId="4163" xr:uid="{00000000-0005-0000-0000-0000762D0000}"/>
    <cellStyle name="40% - Accent2 50 2 2" xfId="12142" xr:uid="{00000000-0005-0000-0000-0000772D0000}"/>
    <cellStyle name="40% - Accent2 50 2 2 2" xfId="23430" xr:uid="{00000000-0005-0000-0000-0000782D0000}"/>
    <cellStyle name="40% - Accent2 50 2 3" xfId="10148" xr:uid="{00000000-0005-0000-0000-0000792D0000}"/>
    <cellStyle name="40% - Accent2 50 2 3 2" xfId="21436" xr:uid="{00000000-0005-0000-0000-00007A2D0000}"/>
    <cellStyle name="40% - Accent2 50 2 4" xfId="8154" xr:uid="{00000000-0005-0000-0000-00007B2D0000}"/>
    <cellStyle name="40% - Accent2 50 2 4 2" xfId="19442" xr:uid="{00000000-0005-0000-0000-00007C2D0000}"/>
    <cellStyle name="40% - Accent2 50 2 5" xfId="6160" xr:uid="{00000000-0005-0000-0000-00007D2D0000}"/>
    <cellStyle name="40% - Accent2 50 2 5 2" xfId="17448" xr:uid="{00000000-0005-0000-0000-00007E2D0000}"/>
    <cellStyle name="40% - Accent2 50 2 6" xfId="15454" xr:uid="{00000000-0005-0000-0000-00007F2D0000}"/>
    <cellStyle name="40% - Accent2 50 3" xfId="11145" xr:uid="{00000000-0005-0000-0000-0000802D0000}"/>
    <cellStyle name="40% - Accent2 50 3 2" xfId="22433" xr:uid="{00000000-0005-0000-0000-0000812D0000}"/>
    <cellStyle name="40% - Accent2 50 4" xfId="9151" xr:uid="{00000000-0005-0000-0000-0000822D0000}"/>
    <cellStyle name="40% - Accent2 50 4 2" xfId="20439" xr:uid="{00000000-0005-0000-0000-0000832D0000}"/>
    <cellStyle name="40% - Accent2 50 5" xfId="7157" xr:uid="{00000000-0005-0000-0000-0000842D0000}"/>
    <cellStyle name="40% - Accent2 50 5 2" xfId="18445" xr:uid="{00000000-0005-0000-0000-0000852D0000}"/>
    <cellStyle name="40% - Accent2 50 6" xfId="5163" xr:uid="{00000000-0005-0000-0000-0000862D0000}"/>
    <cellStyle name="40% - Accent2 50 6 2" xfId="16451" xr:uid="{00000000-0005-0000-0000-0000872D0000}"/>
    <cellStyle name="40% - Accent2 50 7" xfId="14457" xr:uid="{00000000-0005-0000-0000-0000882D0000}"/>
    <cellStyle name="40% - Accent2 50 8" xfId="13143" xr:uid="{00000000-0005-0000-0000-0000892D0000}"/>
    <cellStyle name="40% - Accent2 51" xfId="1208" xr:uid="{00000000-0005-0000-0000-00008A2D0000}"/>
    <cellStyle name="40% - Accent2 51 2" xfId="4164" xr:uid="{00000000-0005-0000-0000-00008B2D0000}"/>
    <cellStyle name="40% - Accent2 51 2 2" xfId="12143" xr:uid="{00000000-0005-0000-0000-00008C2D0000}"/>
    <cellStyle name="40% - Accent2 51 2 2 2" xfId="23431" xr:uid="{00000000-0005-0000-0000-00008D2D0000}"/>
    <cellStyle name="40% - Accent2 51 2 3" xfId="10149" xr:uid="{00000000-0005-0000-0000-00008E2D0000}"/>
    <cellStyle name="40% - Accent2 51 2 3 2" xfId="21437" xr:uid="{00000000-0005-0000-0000-00008F2D0000}"/>
    <cellStyle name="40% - Accent2 51 2 4" xfId="8155" xr:uid="{00000000-0005-0000-0000-0000902D0000}"/>
    <cellStyle name="40% - Accent2 51 2 4 2" xfId="19443" xr:uid="{00000000-0005-0000-0000-0000912D0000}"/>
    <cellStyle name="40% - Accent2 51 2 5" xfId="6161" xr:uid="{00000000-0005-0000-0000-0000922D0000}"/>
    <cellStyle name="40% - Accent2 51 2 5 2" xfId="17449" xr:uid="{00000000-0005-0000-0000-0000932D0000}"/>
    <cellStyle name="40% - Accent2 51 2 6" xfId="15455" xr:uid="{00000000-0005-0000-0000-0000942D0000}"/>
    <cellStyle name="40% - Accent2 51 3" xfId="11146" xr:uid="{00000000-0005-0000-0000-0000952D0000}"/>
    <cellStyle name="40% - Accent2 51 3 2" xfId="22434" xr:uid="{00000000-0005-0000-0000-0000962D0000}"/>
    <cellStyle name="40% - Accent2 51 4" xfId="9152" xr:uid="{00000000-0005-0000-0000-0000972D0000}"/>
    <cellStyle name="40% - Accent2 51 4 2" xfId="20440" xr:uid="{00000000-0005-0000-0000-0000982D0000}"/>
    <cellStyle name="40% - Accent2 51 5" xfId="7158" xr:uid="{00000000-0005-0000-0000-0000992D0000}"/>
    <cellStyle name="40% - Accent2 51 5 2" xfId="18446" xr:uid="{00000000-0005-0000-0000-00009A2D0000}"/>
    <cellStyle name="40% - Accent2 51 6" xfId="5164" xr:uid="{00000000-0005-0000-0000-00009B2D0000}"/>
    <cellStyle name="40% - Accent2 51 6 2" xfId="16452" xr:uid="{00000000-0005-0000-0000-00009C2D0000}"/>
    <cellStyle name="40% - Accent2 51 7" xfId="14458" xr:uid="{00000000-0005-0000-0000-00009D2D0000}"/>
    <cellStyle name="40% - Accent2 51 8" xfId="13144" xr:uid="{00000000-0005-0000-0000-00009E2D0000}"/>
    <cellStyle name="40% - Accent2 52" xfId="1209" xr:uid="{00000000-0005-0000-0000-00009F2D0000}"/>
    <cellStyle name="40% - Accent2 52 2" xfId="4165" xr:uid="{00000000-0005-0000-0000-0000A02D0000}"/>
    <cellStyle name="40% - Accent2 52 2 2" xfId="12144" xr:uid="{00000000-0005-0000-0000-0000A12D0000}"/>
    <cellStyle name="40% - Accent2 52 2 2 2" xfId="23432" xr:uid="{00000000-0005-0000-0000-0000A22D0000}"/>
    <cellStyle name="40% - Accent2 52 2 3" xfId="10150" xr:uid="{00000000-0005-0000-0000-0000A32D0000}"/>
    <cellStyle name="40% - Accent2 52 2 3 2" xfId="21438" xr:uid="{00000000-0005-0000-0000-0000A42D0000}"/>
    <cellStyle name="40% - Accent2 52 2 4" xfId="8156" xr:uid="{00000000-0005-0000-0000-0000A52D0000}"/>
    <cellStyle name="40% - Accent2 52 2 4 2" xfId="19444" xr:uid="{00000000-0005-0000-0000-0000A62D0000}"/>
    <cellStyle name="40% - Accent2 52 2 5" xfId="6162" xr:uid="{00000000-0005-0000-0000-0000A72D0000}"/>
    <cellStyle name="40% - Accent2 52 2 5 2" xfId="17450" xr:uid="{00000000-0005-0000-0000-0000A82D0000}"/>
    <cellStyle name="40% - Accent2 52 2 6" xfId="15456" xr:uid="{00000000-0005-0000-0000-0000A92D0000}"/>
    <cellStyle name="40% - Accent2 52 3" xfId="11147" xr:uid="{00000000-0005-0000-0000-0000AA2D0000}"/>
    <cellStyle name="40% - Accent2 52 3 2" xfId="22435" xr:uid="{00000000-0005-0000-0000-0000AB2D0000}"/>
    <cellStyle name="40% - Accent2 52 4" xfId="9153" xr:uid="{00000000-0005-0000-0000-0000AC2D0000}"/>
    <cellStyle name="40% - Accent2 52 4 2" xfId="20441" xr:uid="{00000000-0005-0000-0000-0000AD2D0000}"/>
    <cellStyle name="40% - Accent2 52 5" xfId="7159" xr:uid="{00000000-0005-0000-0000-0000AE2D0000}"/>
    <cellStyle name="40% - Accent2 52 5 2" xfId="18447" xr:uid="{00000000-0005-0000-0000-0000AF2D0000}"/>
    <cellStyle name="40% - Accent2 52 6" xfId="5165" xr:uid="{00000000-0005-0000-0000-0000B02D0000}"/>
    <cellStyle name="40% - Accent2 52 6 2" xfId="16453" xr:uid="{00000000-0005-0000-0000-0000B12D0000}"/>
    <cellStyle name="40% - Accent2 52 7" xfId="14459" xr:uid="{00000000-0005-0000-0000-0000B22D0000}"/>
    <cellStyle name="40% - Accent2 52 8" xfId="13145" xr:uid="{00000000-0005-0000-0000-0000B32D0000}"/>
    <cellStyle name="40% - Accent2 53" xfId="1210" xr:uid="{00000000-0005-0000-0000-0000B42D0000}"/>
    <cellStyle name="40% - Accent2 53 2" xfId="4166" xr:uid="{00000000-0005-0000-0000-0000B52D0000}"/>
    <cellStyle name="40% - Accent2 53 2 2" xfId="12145" xr:uid="{00000000-0005-0000-0000-0000B62D0000}"/>
    <cellStyle name="40% - Accent2 53 2 2 2" xfId="23433" xr:uid="{00000000-0005-0000-0000-0000B72D0000}"/>
    <cellStyle name="40% - Accent2 53 2 3" xfId="10151" xr:uid="{00000000-0005-0000-0000-0000B82D0000}"/>
    <cellStyle name="40% - Accent2 53 2 3 2" xfId="21439" xr:uid="{00000000-0005-0000-0000-0000B92D0000}"/>
    <cellStyle name="40% - Accent2 53 2 4" xfId="8157" xr:uid="{00000000-0005-0000-0000-0000BA2D0000}"/>
    <cellStyle name="40% - Accent2 53 2 4 2" xfId="19445" xr:uid="{00000000-0005-0000-0000-0000BB2D0000}"/>
    <cellStyle name="40% - Accent2 53 2 5" xfId="6163" xr:uid="{00000000-0005-0000-0000-0000BC2D0000}"/>
    <cellStyle name="40% - Accent2 53 2 5 2" xfId="17451" xr:uid="{00000000-0005-0000-0000-0000BD2D0000}"/>
    <cellStyle name="40% - Accent2 53 2 6" xfId="15457" xr:uid="{00000000-0005-0000-0000-0000BE2D0000}"/>
    <cellStyle name="40% - Accent2 53 3" xfId="11148" xr:uid="{00000000-0005-0000-0000-0000BF2D0000}"/>
    <cellStyle name="40% - Accent2 53 3 2" xfId="22436" xr:uid="{00000000-0005-0000-0000-0000C02D0000}"/>
    <cellStyle name="40% - Accent2 53 4" xfId="9154" xr:uid="{00000000-0005-0000-0000-0000C12D0000}"/>
    <cellStyle name="40% - Accent2 53 4 2" xfId="20442" xr:uid="{00000000-0005-0000-0000-0000C22D0000}"/>
    <cellStyle name="40% - Accent2 53 5" xfId="7160" xr:uid="{00000000-0005-0000-0000-0000C32D0000}"/>
    <cellStyle name="40% - Accent2 53 5 2" xfId="18448" xr:uid="{00000000-0005-0000-0000-0000C42D0000}"/>
    <cellStyle name="40% - Accent2 53 6" xfId="5166" xr:uid="{00000000-0005-0000-0000-0000C52D0000}"/>
    <cellStyle name="40% - Accent2 53 6 2" xfId="16454" xr:uid="{00000000-0005-0000-0000-0000C62D0000}"/>
    <cellStyle name="40% - Accent2 53 7" xfId="14460" xr:uid="{00000000-0005-0000-0000-0000C72D0000}"/>
    <cellStyle name="40% - Accent2 53 8" xfId="13146" xr:uid="{00000000-0005-0000-0000-0000C82D0000}"/>
    <cellStyle name="40% - Accent2 54" xfId="1211" xr:uid="{00000000-0005-0000-0000-0000C92D0000}"/>
    <cellStyle name="40% - Accent2 54 2" xfId="4167" xr:uid="{00000000-0005-0000-0000-0000CA2D0000}"/>
    <cellStyle name="40% - Accent2 54 2 2" xfId="12146" xr:uid="{00000000-0005-0000-0000-0000CB2D0000}"/>
    <cellStyle name="40% - Accent2 54 2 2 2" xfId="23434" xr:uid="{00000000-0005-0000-0000-0000CC2D0000}"/>
    <cellStyle name="40% - Accent2 54 2 3" xfId="10152" xr:uid="{00000000-0005-0000-0000-0000CD2D0000}"/>
    <cellStyle name="40% - Accent2 54 2 3 2" xfId="21440" xr:uid="{00000000-0005-0000-0000-0000CE2D0000}"/>
    <cellStyle name="40% - Accent2 54 2 4" xfId="8158" xr:uid="{00000000-0005-0000-0000-0000CF2D0000}"/>
    <cellStyle name="40% - Accent2 54 2 4 2" xfId="19446" xr:uid="{00000000-0005-0000-0000-0000D02D0000}"/>
    <cellStyle name="40% - Accent2 54 2 5" xfId="6164" xr:uid="{00000000-0005-0000-0000-0000D12D0000}"/>
    <cellStyle name="40% - Accent2 54 2 5 2" xfId="17452" xr:uid="{00000000-0005-0000-0000-0000D22D0000}"/>
    <cellStyle name="40% - Accent2 54 2 6" xfId="15458" xr:uid="{00000000-0005-0000-0000-0000D32D0000}"/>
    <cellStyle name="40% - Accent2 54 3" xfId="11149" xr:uid="{00000000-0005-0000-0000-0000D42D0000}"/>
    <cellStyle name="40% - Accent2 54 3 2" xfId="22437" xr:uid="{00000000-0005-0000-0000-0000D52D0000}"/>
    <cellStyle name="40% - Accent2 54 4" xfId="9155" xr:uid="{00000000-0005-0000-0000-0000D62D0000}"/>
    <cellStyle name="40% - Accent2 54 4 2" xfId="20443" xr:uid="{00000000-0005-0000-0000-0000D72D0000}"/>
    <cellStyle name="40% - Accent2 54 5" xfId="7161" xr:uid="{00000000-0005-0000-0000-0000D82D0000}"/>
    <cellStyle name="40% - Accent2 54 5 2" xfId="18449" xr:uid="{00000000-0005-0000-0000-0000D92D0000}"/>
    <cellStyle name="40% - Accent2 54 6" xfId="5167" xr:uid="{00000000-0005-0000-0000-0000DA2D0000}"/>
    <cellStyle name="40% - Accent2 54 6 2" xfId="16455" xr:uid="{00000000-0005-0000-0000-0000DB2D0000}"/>
    <cellStyle name="40% - Accent2 54 7" xfId="14461" xr:uid="{00000000-0005-0000-0000-0000DC2D0000}"/>
    <cellStyle name="40% - Accent2 54 8" xfId="13147" xr:uid="{00000000-0005-0000-0000-0000DD2D0000}"/>
    <cellStyle name="40% - Accent2 55" xfId="1212" xr:uid="{00000000-0005-0000-0000-0000DE2D0000}"/>
    <cellStyle name="40% - Accent2 55 2" xfId="4168" xr:uid="{00000000-0005-0000-0000-0000DF2D0000}"/>
    <cellStyle name="40% - Accent2 55 2 2" xfId="12147" xr:uid="{00000000-0005-0000-0000-0000E02D0000}"/>
    <cellStyle name="40% - Accent2 55 2 2 2" xfId="23435" xr:uid="{00000000-0005-0000-0000-0000E12D0000}"/>
    <cellStyle name="40% - Accent2 55 2 3" xfId="10153" xr:uid="{00000000-0005-0000-0000-0000E22D0000}"/>
    <cellStyle name="40% - Accent2 55 2 3 2" xfId="21441" xr:uid="{00000000-0005-0000-0000-0000E32D0000}"/>
    <cellStyle name="40% - Accent2 55 2 4" xfId="8159" xr:uid="{00000000-0005-0000-0000-0000E42D0000}"/>
    <cellStyle name="40% - Accent2 55 2 4 2" xfId="19447" xr:uid="{00000000-0005-0000-0000-0000E52D0000}"/>
    <cellStyle name="40% - Accent2 55 2 5" xfId="6165" xr:uid="{00000000-0005-0000-0000-0000E62D0000}"/>
    <cellStyle name="40% - Accent2 55 2 5 2" xfId="17453" xr:uid="{00000000-0005-0000-0000-0000E72D0000}"/>
    <cellStyle name="40% - Accent2 55 2 6" xfId="15459" xr:uid="{00000000-0005-0000-0000-0000E82D0000}"/>
    <cellStyle name="40% - Accent2 55 3" xfId="11150" xr:uid="{00000000-0005-0000-0000-0000E92D0000}"/>
    <cellStyle name="40% - Accent2 55 3 2" xfId="22438" xr:uid="{00000000-0005-0000-0000-0000EA2D0000}"/>
    <cellStyle name="40% - Accent2 55 4" xfId="9156" xr:uid="{00000000-0005-0000-0000-0000EB2D0000}"/>
    <cellStyle name="40% - Accent2 55 4 2" xfId="20444" xr:uid="{00000000-0005-0000-0000-0000EC2D0000}"/>
    <cellStyle name="40% - Accent2 55 5" xfId="7162" xr:uid="{00000000-0005-0000-0000-0000ED2D0000}"/>
    <cellStyle name="40% - Accent2 55 5 2" xfId="18450" xr:uid="{00000000-0005-0000-0000-0000EE2D0000}"/>
    <cellStyle name="40% - Accent2 55 6" xfId="5168" xr:uid="{00000000-0005-0000-0000-0000EF2D0000}"/>
    <cellStyle name="40% - Accent2 55 6 2" xfId="16456" xr:uid="{00000000-0005-0000-0000-0000F02D0000}"/>
    <cellStyle name="40% - Accent2 55 7" xfId="14462" xr:uid="{00000000-0005-0000-0000-0000F12D0000}"/>
    <cellStyle name="40% - Accent2 55 8" xfId="13148" xr:uid="{00000000-0005-0000-0000-0000F22D0000}"/>
    <cellStyle name="40% - Accent2 56" xfId="1213" xr:uid="{00000000-0005-0000-0000-0000F32D0000}"/>
    <cellStyle name="40% - Accent2 56 2" xfId="4169" xr:uid="{00000000-0005-0000-0000-0000F42D0000}"/>
    <cellStyle name="40% - Accent2 56 2 2" xfId="12148" xr:uid="{00000000-0005-0000-0000-0000F52D0000}"/>
    <cellStyle name="40% - Accent2 56 2 2 2" xfId="23436" xr:uid="{00000000-0005-0000-0000-0000F62D0000}"/>
    <cellStyle name="40% - Accent2 56 2 3" xfId="10154" xr:uid="{00000000-0005-0000-0000-0000F72D0000}"/>
    <cellStyle name="40% - Accent2 56 2 3 2" xfId="21442" xr:uid="{00000000-0005-0000-0000-0000F82D0000}"/>
    <cellStyle name="40% - Accent2 56 2 4" xfId="8160" xr:uid="{00000000-0005-0000-0000-0000F92D0000}"/>
    <cellStyle name="40% - Accent2 56 2 4 2" xfId="19448" xr:uid="{00000000-0005-0000-0000-0000FA2D0000}"/>
    <cellStyle name="40% - Accent2 56 2 5" xfId="6166" xr:uid="{00000000-0005-0000-0000-0000FB2D0000}"/>
    <cellStyle name="40% - Accent2 56 2 5 2" xfId="17454" xr:uid="{00000000-0005-0000-0000-0000FC2D0000}"/>
    <cellStyle name="40% - Accent2 56 2 6" xfId="15460" xr:uid="{00000000-0005-0000-0000-0000FD2D0000}"/>
    <cellStyle name="40% - Accent2 56 3" xfId="11151" xr:uid="{00000000-0005-0000-0000-0000FE2D0000}"/>
    <cellStyle name="40% - Accent2 56 3 2" xfId="22439" xr:uid="{00000000-0005-0000-0000-0000FF2D0000}"/>
    <cellStyle name="40% - Accent2 56 4" xfId="9157" xr:uid="{00000000-0005-0000-0000-0000002E0000}"/>
    <cellStyle name="40% - Accent2 56 4 2" xfId="20445" xr:uid="{00000000-0005-0000-0000-0000012E0000}"/>
    <cellStyle name="40% - Accent2 56 5" xfId="7163" xr:uid="{00000000-0005-0000-0000-0000022E0000}"/>
    <cellStyle name="40% - Accent2 56 5 2" xfId="18451" xr:uid="{00000000-0005-0000-0000-0000032E0000}"/>
    <cellStyle name="40% - Accent2 56 6" xfId="5169" xr:uid="{00000000-0005-0000-0000-0000042E0000}"/>
    <cellStyle name="40% - Accent2 56 6 2" xfId="16457" xr:uid="{00000000-0005-0000-0000-0000052E0000}"/>
    <cellStyle name="40% - Accent2 56 7" xfId="14463" xr:uid="{00000000-0005-0000-0000-0000062E0000}"/>
    <cellStyle name="40% - Accent2 56 8" xfId="13149" xr:uid="{00000000-0005-0000-0000-0000072E0000}"/>
    <cellStyle name="40% - Accent2 57" xfId="1214" xr:uid="{00000000-0005-0000-0000-0000082E0000}"/>
    <cellStyle name="40% - Accent2 57 2" xfId="4170" xr:uid="{00000000-0005-0000-0000-0000092E0000}"/>
    <cellStyle name="40% - Accent2 57 2 2" xfId="12149" xr:uid="{00000000-0005-0000-0000-00000A2E0000}"/>
    <cellStyle name="40% - Accent2 57 2 2 2" xfId="23437" xr:uid="{00000000-0005-0000-0000-00000B2E0000}"/>
    <cellStyle name="40% - Accent2 57 2 3" xfId="10155" xr:uid="{00000000-0005-0000-0000-00000C2E0000}"/>
    <cellStyle name="40% - Accent2 57 2 3 2" xfId="21443" xr:uid="{00000000-0005-0000-0000-00000D2E0000}"/>
    <cellStyle name="40% - Accent2 57 2 4" xfId="8161" xr:uid="{00000000-0005-0000-0000-00000E2E0000}"/>
    <cellStyle name="40% - Accent2 57 2 4 2" xfId="19449" xr:uid="{00000000-0005-0000-0000-00000F2E0000}"/>
    <cellStyle name="40% - Accent2 57 2 5" xfId="6167" xr:uid="{00000000-0005-0000-0000-0000102E0000}"/>
    <cellStyle name="40% - Accent2 57 2 5 2" xfId="17455" xr:uid="{00000000-0005-0000-0000-0000112E0000}"/>
    <cellStyle name="40% - Accent2 57 2 6" xfId="15461" xr:uid="{00000000-0005-0000-0000-0000122E0000}"/>
    <cellStyle name="40% - Accent2 57 3" xfId="11152" xr:uid="{00000000-0005-0000-0000-0000132E0000}"/>
    <cellStyle name="40% - Accent2 57 3 2" xfId="22440" xr:uid="{00000000-0005-0000-0000-0000142E0000}"/>
    <cellStyle name="40% - Accent2 57 4" xfId="9158" xr:uid="{00000000-0005-0000-0000-0000152E0000}"/>
    <cellStyle name="40% - Accent2 57 4 2" xfId="20446" xr:uid="{00000000-0005-0000-0000-0000162E0000}"/>
    <cellStyle name="40% - Accent2 57 5" xfId="7164" xr:uid="{00000000-0005-0000-0000-0000172E0000}"/>
    <cellStyle name="40% - Accent2 57 5 2" xfId="18452" xr:uid="{00000000-0005-0000-0000-0000182E0000}"/>
    <cellStyle name="40% - Accent2 57 6" xfId="5170" xr:uid="{00000000-0005-0000-0000-0000192E0000}"/>
    <cellStyle name="40% - Accent2 57 6 2" xfId="16458" xr:uid="{00000000-0005-0000-0000-00001A2E0000}"/>
    <cellStyle name="40% - Accent2 57 7" xfId="14464" xr:uid="{00000000-0005-0000-0000-00001B2E0000}"/>
    <cellStyle name="40% - Accent2 57 8" xfId="13150" xr:uid="{00000000-0005-0000-0000-00001C2E0000}"/>
    <cellStyle name="40% - Accent2 58" xfId="1215" xr:uid="{00000000-0005-0000-0000-00001D2E0000}"/>
    <cellStyle name="40% - Accent2 58 2" xfId="4171" xr:uid="{00000000-0005-0000-0000-00001E2E0000}"/>
    <cellStyle name="40% - Accent2 58 2 2" xfId="12150" xr:uid="{00000000-0005-0000-0000-00001F2E0000}"/>
    <cellStyle name="40% - Accent2 58 2 2 2" xfId="23438" xr:uid="{00000000-0005-0000-0000-0000202E0000}"/>
    <cellStyle name="40% - Accent2 58 2 3" xfId="10156" xr:uid="{00000000-0005-0000-0000-0000212E0000}"/>
    <cellStyle name="40% - Accent2 58 2 3 2" xfId="21444" xr:uid="{00000000-0005-0000-0000-0000222E0000}"/>
    <cellStyle name="40% - Accent2 58 2 4" xfId="8162" xr:uid="{00000000-0005-0000-0000-0000232E0000}"/>
    <cellStyle name="40% - Accent2 58 2 4 2" xfId="19450" xr:uid="{00000000-0005-0000-0000-0000242E0000}"/>
    <cellStyle name="40% - Accent2 58 2 5" xfId="6168" xr:uid="{00000000-0005-0000-0000-0000252E0000}"/>
    <cellStyle name="40% - Accent2 58 2 5 2" xfId="17456" xr:uid="{00000000-0005-0000-0000-0000262E0000}"/>
    <cellStyle name="40% - Accent2 58 2 6" xfId="15462" xr:uid="{00000000-0005-0000-0000-0000272E0000}"/>
    <cellStyle name="40% - Accent2 58 3" xfId="11153" xr:uid="{00000000-0005-0000-0000-0000282E0000}"/>
    <cellStyle name="40% - Accent2 58 3 2" xfId="22441" xr:uid="{00000000-0005-0000-0000-0000292E0000}"/>
    <cellStyle name="40% - Accent2 58 4" xfId="9159" xr:uid="{00000000-0005-0000-0000-00002A2E0000}"/>
    <cellStyle name="40% - Accent2 58 4 2" xfId="20447" xr:uid="{00000000-0005-0000-0000-00002B2E0000}"/>
    <cellStyle name="40% - Accent2 58 5" xfId="7165" xr:uid="{00000000-0005-0000-0000-00002C2E0000}"/>
    <cellStyle name="40% - Accent2 58 5 2" xfId="18453" xr:uid="{00000000-0005-0000-0000-00002D2E0000}"/>
    <cellStyle name="40% - Accent2 58 6" xfId="5171" xr:uid="{00000000-0005-0000-0000-00002E2E0000}"/>
    <cellStyle name="40% - Accent2 58 6 2" xfId="16459" xr:uid="{00000000-0005-0000-0000-00002F2E0000}"/>
    <cellStyle name="40% - Accent2 58 7" xfId="14465" xr:uid="{00000000-0005-0000-0000-0000302E0000}"/>
    <cellStyle name="40% - Accent2 58 8" xfId="13151" xr:uid="{00000000-0005-0000-0000-0000312E0000}"/>
    <cellStyle name="40% - Accent2 59" xfId="1216" xr:uid="{00000000-0005-0000-0000-0000322E0000}"/>
    <cellStyle name="40% - Accent2 59 2" xfId="4172" xr:uid="{00000000-0005-0000-0000-0000332E0000}"/>
    <cellStyle name="40% - Accent2 59 2 2" xfId="12151" xr:uid="{00000000-0005-0000-0000-0000342E0000}"/>
    <cellStyle name="40% - Accent2 59 2 2 2" xfId="23439" xr:uid="{00000000-0005-0000-0000-0000352E0000}"/>
    <cellStyle name="40% - Accent2 59 2 3" xfId="10157" xr:uid="{00000000-0005-0000-0000-0000362E0000}"/>
    <cellStyle name="40% - Accent2 59 2 3 2" xfId="21445" xr:uid="{00000000-0005-0000-0000-0000372E0000}"/>
    <cellStyle name="40% - Accent2 59 2 4" xfId="8163" xr:uid="{00000000-0005-0000-0000-0000382E0000}"/>
    <cellStyle name="40% - Accent2 59 2 4 2" xfId="19451" xr:uid="{00000000-0005-0000-0000-0000392E0000}"/>
    <cellStyle name="40% - Accent2 59 2 5" xfId="6169" xr:uid="{00000000-0005-0000-0000-00003A2E0000}"/>
    <cellStyle name="40% - Accent2 59 2 5 2" xfId="17457" xr:uid="{00000000-0005-0000-0000-00003B2E0000}"/>
    <cellStyle name="40% - Accent2 59 2 6" xfId="15463" xr:uid="{00000000-0005-0000-0000-00003C2E0000}"/>
    <cellStyle name="40% - Accent2 59 3" xfId="11154" xr:uid="{00000000-0005-0000-0000-00003D2E0000}"/>
    <cellStyle name="40% - Accent2 59 3 2" xfId="22442" xr:uid="{00000000-0005-0000-0000-00003E2E0000}"/>
    <cellStyle name="40% - Accent2 59 4" xfId="9160" xr:uid="{00000000-0005-0000-0000-00003F2E0000}"/>
    <cellStyle name="40% - Accent2 59 4 2" xfId="20448" xr:uid="{00000000-0005-0000-0000-0000402E0000}"/>
    <cellStyle name="40% - Accent2 59 5" xfId="7166" xr:uid="{00000000-0005-0000-0000-0000412E0000}"/>
    <cellStyle name="40% - Accent2 59 5 2" xfId="18454" xr:uid="{00000000-0005-0000-0000-0000422E0000}"/>
    <cellStyle name="40% - Accent2 59 6" xfId="5172" xr:uid="{00000000-0005-0000-0000-0000432E0000}"/>
    <cellStyle name="40% - Accent2 59 6 2" xfId="16460" xr:uid="{00000000-0005-0000-0000-0000442E0000}"/>
    <cellStyle name="40% - Accent2 59 7" xfId="14466" xr:uid="{00000000-0005-0000-0000-0000452E0000}"/>
    <cellStyle name="40% - Accent2 59 8" xfId="13152" xr:uid="{00000000-0005-0000-0000-0000462E0000}"/>
    <cellStyle name="40% - Accent2 6" xfId="1217" xr:uid="{00000000-0005-0000-0000-0000472E0000}"/>
    <cellStyle name="40% - Accent2 6 10" xfId="24605" xr:uid="{00000000-0005-0000-0000-0000482E0000}"/>
    <cellStyle name="40% - Accent2 6 11" xfId="24995" xr:uid="{00000000-0005-0000-0000-0000492E0000}"/>
    <cellStyle name="40% - Accent2 6 2" xfId="4173" xr:uid="{00000000-0005-0000-0000-00004A2E0000}"/>
    <cellStyle name="40% - Accent2 6 2 2" xfId="12152" xr:uid="{00000000-0005-0000-0000-00004B2E0000}"/>
    <cellStyle name="40% - Accent2 6 2 2 2" xfId="23440" xr:uid="{00000000-0005-0000-0000-00004C2E0000}"/>
    <cellStyle name="40% - Accent2 6 2 3" xfId="10158" xr:uid="{00000000-0005-0000-0000-00004D2E0000}"/>
    <cellStyle name="40% - Accent2 6 2 3 2" xfId="21446" xr:uid="{00000000-0005-0000-0000-00004E2E0000}"/>
    <cellStyle name="40% - Accent2 6 2 4" xfId="8164" xr:uid="{00000000-0005-0000-0000-00004F2E0000}"/>
    <cellStyle name="40% - Accent2 6 2 4 2" xfId="19452" xr:uid="{00000000-0005-0000-0000-0000502E0000}"/>
    <cellStyle name="40% - Accent2 6 2 5" xfId="6170" xr:uid="{00000000-0005-0000-0000-0000512E0000}"/>
    <cellStyle name="40% - Accent2 6 2 5 2" xfId="17458" xr:uid="{00000000-0005-0000-0000-0000522E0000}"/>
    <cellStyle name="40% - Accent2 6 2 6" xfId="15464" xr:uid="{00000000-0005-0000-0000-0000532E0000}"/>
    <cellStyle name="40% - Accent2 6 2 7" xfId="24366" xr:uid="{00000000-0005-0000-0000-0000542E0000}"/>
    <cellStyle name="40% - Accent2 6 2 8" xfId="24830" xr:uid="{00000000-0005-0000-0000-0000552E0000}"/>
    <cellStyle name="40% - Accent2 6 2 9" xfId="25197" xr:uid="{00000000-0005-0000-0000-0000562E0000}"/>
    <cellStyle name="40% - Accent2 6 3" xfId="11155" xr:uid="{00000000-0005-0000-0000-0000572E0000}"/>
    <cellStyle name="40% - Accent2 6 3 2" xfId="22443" xr:uid="{00000000-0005-0000-0000-0000582E0000}"/>
    <cellStyle name="40% - Accent2 6 4" xfId="9161" xr:uid="{00000000-0005-0000-0000-0000592E0000}"/>
    <cellStyle name="40% - Accent2 6 4 2" xfId="20449" xr:uid="{00000000-0005-0000-0000-00005A2E0000}"/>
    <cellStyle name="40% - Accent2 6 5" xfId="7167" xr:uid="{00000000-0005-0000-0000-00005B2E0000}"/>
    <cellStyle name="40% - Accent2 6 5 2" xfId="18455" xr:uid="{00000000-0005-0000-0000-00005C2E0000}"/>
    <cellStyle name="40% - Accent2 6 6" xfId="5173" xr:uid="{00000000-0005-0000-0000-00005D2E0000}"/>
    <cellStyle name="40% - Accent2 6 6 2" xfId="16461" xr:uid="{00000000-0005-0000-0000-00005E2E0000}"/>
    <cellStyle name="40% - Accent2 6 7" xfId="14467" xr:uid="{00000000-0005-0000-0000-00005F2E0000}"/>
    <cellStyle name="40% - Accent2 6 8" xfId="13153" xr:uid="{00000000-0005-0000-0000-0000602E0000}"/>
    <cellStyle name="40% - Accent2 6 9" xfId="23978" xr:uid="{00000000-0005-0000-0000-0000612E0000}"/>
    <cellStyle name="40% - Accent2 60" xfId="1218" xr:uid="{00000000-0005-0000-0000-0000622E0000}"/>
    <cellStyle name="40% - Accent2 60 2" xfId="4174" xr:uid="{00000000-0005-0000-0000-0000632E0000}"/>
    <cellStyle name="40% - Accent2 60 2 2" xfId="12153" xr:uid="{00000000-0005-0000-0000-0000642E0000}"/>
    <cellStyle name="40% - Accent2 60 2 2 2" xfId="23441" xr:uid="{00000000-0005-0000-0000-0000652E0000}"/>
    <cellStyle name="40% - Accent2 60 2 3" xfId="10159" xr:uid="{00000000-0005-0000-0000-0000662E0000}"/>
    <cellStyle name="40% - Accent2 60 2 3 2" xfId="21447" xr:uid="{00000000-0005-0000-0000-0000672E0000}"/>
    <cellStyle name="40% - Accent2 60 2 4" xfId="8165" xr:uid="{00000000-0005-0000-0000-0000682E0000}"/>
    <cellStyle name="40% - Accent2 60 2 4 2" xfId="19453" xr:uid="{00000000-0005-0000-0000-0000692E0000}"/>
    <cellStyle name="40% - Accent2 60 2 5" xfId="6171" xr:uid="{00000000-0005-0000-0000-00006A2E0000}"/>
    <cellStyle name="40% - Accent2 60 2 5 2" xfId="17459" xr:uid="{00000000-0005-0000-0000-00006B2E0000}"/>
    <cellStyle name="40% - Accent2 60 2 6" xfId="15465" xr:uid="{00000000-0005-0000-0000-00006C2E0000}"/>
    <cellStyle name="40% - Accent2 60 3" xfId="11156" xr:uid="{00000000-0005-0000-0000-00006D2E0000}"/>
    <cellStyle name="40% - Accent2 60 3 2" xfId="22444" xr:uid="{00000000-0005-0000-0000-00006E2E0000}"/>
    <cellStyle name="40% - Accent2 60 4" xfId="9162" xr:uid="{00000000-0005-0000-0000-00006F2E0000}"/>
    <cellStyle name="40% - Accent2 60 4 2" xfId="20450" xr:uid="{00000000-0005-0000-0000-0000702E0000}"/>
    <cellStyle name="40% - Accent2 60 5" xfId="7168" xr:uid="{00000000-0005-0000-0000-0000712E0000}"/>
    <cellStyle name="40% - Accent2 60 5 2" xfId="18456" xr:uid="{00000000-0005-0000-0000-0000722E0000}"/>
    <cellStyle name="40% - Accent2 60 6" xfId="5174" xr:uid="{00000000-0005-0000-0000-0000732E0000}"/>
    <cellStyle name="40% - Accent2 60 6 2" xfId="16462" xr:uid="{00000000-0005-0000-0000-0000742E0000}"/>
    <cellStyle name="40% - Accent2 60 7" xfId="14468" xr:uid="{00000000-0005-0000-0000-0000752E0000}"/>
    <cellStyle name="40% - Accent2 60 8" xfId="13154" xr:uid="{00000000-0005-0000-0000-0000762E0000}"/>
    <cellStyle name="40% - Accent2 61" xfId="1219" xr:uid="{00000000-0005-0000-0000-0000772E0000}"/>
    <cellStyle name="40% - Accent2 61 2" xfId="4175" xr:uid="{00000000-0005-0000-0000-0000782E0000}"/>
    <cellStyle name="40% - Accent2 61 2 2" xfId="12154" xr:uid="{00000000-0005-0000-0000-0000792E0000}"/>
    <cellStyle name="40% - Accent2 61 2 2 2" xfId="23442" xr:uid="{00000000-0005-0000-0000-00007A2E0000}"/>
    <cellStyle name="40% - Accent2 61 2 3" xfId="10160" xr:uid="{00000000-0005-0000-0000-00007B2E0000}"/>
    <cellStyle name="40% - Accent2 61 2 3 2" xfId="21448" xr:uid="{00000000-0005-0000-0000-00007C2E0000}"/>
    <cellStyle name="40% - Accent2 61 2 4" xfId="8166" xr:uid="{00000000-0005-0000-0000-00007D2E0000}"/>
    <cellStyle name="40% - Accent2 61 2 4 2" xfId="19454" xr:uid="{00000000-0005-0000-0000-00007E2E0000}"/>
    <cellStyle name="40% - Accent2 61 2 5" xfId="6172" xr:uid="{00000000-0005-0000-0000-00007F2E0000}"/>
    <cellStyle name="40% - Accent2 61 2 5 2" xfId="17460" xr:uid="{00000000-0005-0000-0000-0000802E0000}"/>
    <cellStyle name="40% - Accent2 61 2 6" xfId="15466" xr:uid="{00000000-0005-0000-0000-0000812E0000}"/>
    <cellStyle name="40% - Accent2 61 3" xfId="11157" xr:uid="{00000000-0005-0000-0000-0000822E0000}"/>
    <cellStyle name="40% - Accent2 61 3 2" xfId="22445" xr:uid="{00000000-0005-0000-0000-0000832E0000}"/>
    <cellStyle name="40% - Accent2 61 4" xfId="9163" xr:uid="{00000000-0005-0000-0000-0000842E0000}"/>
    <cellStyle name="40% - Accent2 61 4 2" xfId="20451" xr:uid="{00000000-0005-0000-0000-0000852E0000}"/>
    <cellStyle name="40% - Accent2 61 5" xfId="7169" xr:uid="{00000000-0005-0000-0000-0000862E0000}"/>
    <cellStyle name="40% - Accent2 61 5 2" xfId="18457" xr:uid="{00000000-0005-0000-0000-0000872E0000}"/>
    <cellStyle name="40% - Accent2 61 6" xfId="5175" xr:uid="{00000000-0005-0000-0000-0000882E0000}"/>
    <cellStyle name="40% - Accent2 61 6 2" xfId="16463" xr:uid="{00000000-0005-0000-0000-0000892E0000}"/>
    <cellStyle name="40% - Accent2 61 7" xfId="14469" xr:uid="{00000000-0005-0000-0000-00008A2E0000}"/>
    <cellStyle name="40% - Accent2 61 8" xfId="13155" xr:uid="{00000000-0005-0000-0000-00008B2E0000}"/>
    <cellStyle name="40% - Accent2 62" xfId="1220" xr:uid="{00000000-0005-0000-0000-00008C2E0000}"/>
    <cellStyle name="40% - Accent2 62 2" xfId="4176" xr:uid="{00000000-0005-0000-0000-00008D2E0000}"/>
    <cellStyle name="40% - Accent2 62 2 2" xfId="12155" xr:uid="{00000000-0005-0000-0000-00008E2E0000}"/>
    <cellStyle name="40% - Accent2 62 2 2 2" xfId="23443" xr:uid="{00000000-0005-0000-0000-00008F2E0000}"/>
    <cellStyle name="40% - Accent2 62 2 3" xfId="10161" xr:uid="{00000000-0005-0000-0000-0000902E0000}"/>
    <cellStyle name="40% - Accent2 62 2 3 2" xfId="21449" xr:uid="{00000000-0005-0000-0000-0000912E0000}"/>
    <cellStyle name="40% - Accent2 62 2 4" xfId="8167" xr:uid="{00000000-0005-0000-0000-0000922E0000}"/>
    <cellStyle name="40% - Accent2 62 2 4 2" xfId="19455" xr:uid="{00000000-0005-0000-0000-0000932E0000}"/>
    <cellStyle name="40% - Accent2 62 2 5" xfId="6173" xr:uid="{00000000-0005-0000-0000-0000942E0000}"/>
    <cellStyle name="40% - Accent2 62 2 5 2" xfId="17461" xr:uid="{00000000-0005-0000-0000-0000952E0000}"/>
    <cellStyle name="40% - Accent2 62 2 6" xfId="15467" xr:uid="{00000000-0005-0000-0000-0000962E0000}"/>
    <cellStyle name="40% - Accent2 62 3" xfId="11158" xr:uid="{00000000-0005-0000-0000-0000972E0000}"/>
    <cellStyle name="40% - Accent2 62 3 2" xfId="22446" xr:uid="{00000000-0005-0000-0000-0000982E0000}"/>
    <cellStyle name="40% - Accent2 62 4" xfId="9164" xr:uid="{00000000-0005-0000-0000-0000992E0000}"/>
    <cellStyle name="40% - Accent2 62 4 2" xfId="20452" xr:uid="{00000000-0005-0000-0000-00009A2E0000}"/>
    <cellStyle name="40% - Accent2 62 5" xfId="7170" xr:uid="{00000000-0005-0000-0000-00009B2E0000}"/>
    <cellStyle name="40% - Accent2 62 5 2" xfId="18458" xr:uid="{00000000-0005-0000-0000-00009C2E0000}"/>
    <cellStyle name="40% - Accent2 62 6" xfId="5176" xr:uid="{00000000-0005-0000-0000-00009D2E0000}"/>
    <cellStyle name="40% - Accent2 62 6 2" xfId="16464" xr:uid="{00000000-0005-0000-0000-00009E2E0000}"/>
    <cellStyle name="40% - Accent2 62 7" xfId="14470" xr:uid="{00000000-0005-0000-0000-00009F2E0000}"/>
    <cellStyle name="40% - Accent2 62 8" xfId="13156" xr:uid="{00000000-0005-0000-0000-0000A02E0000}"/>
    <cellStyle name="40% - Accent2 63" xfId="1221" xr:uid="{00000000-0005-0000-0000-0000A12E0000}"/>
    <cellStyle name="40% - Accent2 63 2" xfId="4177" xr:uid="{00000000-0005-0000-0000-0000A22E0000}"/>
    <cellStyle name="40% - Accent2 63 2 2" xfId="12156" xr:uid="{00000000-0005-0000-0000-0000A32E0000}"/>
    <cellStyle name="40% - Accent2 63 2 2 2" xfId="23444" xr:uid="{00000000-0005-0000-0000-0000A42E0000}"/>
    <cellStyle name="40% - Accent2 63 2 3" xfId="10162" xr:uid="{00000000-0005-0000-0000-0000A52E0000}"/>
    <cellStyle name="40% - Accent2 63 2 3 2" xfId="21450" xr:uid="{00000000-0005-0000-0000-0000A62E0000}"/>
    <cellStyle name="40% - Accent2 63 2 4" xfId="8168" xr:uid="{00000000-0005-0000-0000-0000A72E0000}"/>
    <cellStyle name="40% - Accent2 63 2 4 2" xfId="19456" xr:uid="{00000000-0005-0000-0000-0000A82E0000}"/>
    <cellStyle name="40% - Accent2 63 2 5" xfId="6174" xr:uid="{00000000-0005-0000-0000-0000A92E0000}"/>
    <cellStyle name="40% - Accent2 63 2 5 2" xfId="17462" xr:uid="{00000000-0005-0000-0000-0000AA2E0000}"/>
    <cellStyle name="40% - Accent2 63 2 6" xfId="15468" xr:uid="{00000000-0005-0000-0000-0000AB2E0000}"/>
    <cellStyle name="40% - Accent2 63 3" xfId="11159" xr:uid="{00000000-0005-0000-0000-0000AC2E0000}"/>
    <cellStyle name="40% - Accent2 63 3 2" xfId="22447" xr:uid="{00000000-0005-0000-0000-0000AD2E0000}"/>
    <cellStyle name="40% - Accent2 63 4" xfId="9165" xr:uid="{00000000-0005-0000-0000-0000AE2E0000}"/>
    <cellStyle name="40% - Accent2 63 4 2" xfId="20453" xr:uid="{00000000-0005-0000-0000-0000AF2E0000}"/>
    <cellStyle name="40% - Accent2 63 5" xfId="7171" xr:uid="{00000000-0005-0000-0000-0000B02E0000}"/>
    <cellStyle name="40% - Accent2 63 5 2" xfId="18459" xr:uid="{00000000-0005-0000-0000-0000B12E0000}"/>
    <cellStyle name="40% - Accent2 63 6" xfId="5177" xr:uid="{00000000-0005-0000-0000-0000B22E0000}"/>
    <cellStyle name="40% - Accent2 63 6 2" xfId="16465" xr:uid="{00000000-0005-0000-0000-0000B32E0000}"/>
    <cellStyle name="40% - Accent2 63 7" xfId="14471" xr:uid="{00000000-0005-0000-0000-0000B42E0000}"/>
    <cellStyle name="40% - Accent2 63 8" xfId="13157" xr:uid="{00000000-0005-0000-0000-0000B52E0000}"/>
    <cellStyle name="40% - Accent2 64" xfId="1222" xr:uid="{00000000-0005-0000-0000-0000B62E0000}"/>
    <cellStyle name="40% - Accent2 64 2" xfId="4178" xr:uid="{00000000-0005-0000-0000-0000B72E0000}"/>
    <cellStyle name="40% - Accent2 64 2 2" xfId="12157" xr:uid="{00000000-0005-0000-0000-0000B82E0000}"/>
    <cellStyle name="40% - Accent2 64 2 2 2" xfId="23445" xr:uid="{00000000-0005-0000-0000-0000B92E0000}"/>
    <cellStyle name="40% - Accent2 64 2 3" xfId="10163" xr:uid="{00000000-0005-0000-0000-0000BA2E0000}"/>
    <cellStyle name="40% - Accent2 64 2 3 2" xfId="21451" xr:uid="{00000000-0005-0000-0000-0000BB2E0000}"/>
    <cellStyle name="40% - Accent2 64 2 4" xfId="8169" xr:uid="{00000000-0005-0000-0000-0000BC2E0000}"/>
    <cellStyle name="40% - Accent2 64 2 4 2" xfId="19457" xr:uid="{00000000-0005-0000-0000-0000BD2E0000}"/>
    <cellStyle name="40% - Accent2 64 2 5" xfId="6175" xr:uid="{00000000-0005-0000-0000-0000BE2E0000}"/>
    <cellStyle name="40% - Accent2 64 2 5 2" xfId="17463" xr:uid="{00000000-0005-0000-0000-0000BF2E0000}"/>
    <cellStyle name="40% - Accent2 64 2 6" xfId="15469" xr:uid="{00000000-0005-0000-0000-0000C02E0000}"/>
    <cellStyle name="40% - Accent2 64 3" xfId="11160" xr:uid="{00000000-0005-0000-0000-0000C12E0000}"/>
    <cellStyle name="40% - Accent2 64 3 2" xfId="22448" xr:uid="{00000000-0005-0000-0000-0000C22E0000}"/>
    <cellStyle name="40% - Accent2 64 4" xfId="9166" xr:uid="{00000000-0005-0000-0000-0000C32E0000}"/>
    <cellStyle name="40% - Accent2 64 4 2" xfId="20454" xr:uid="{00000000-0005-0000-0000-0000C42E0000}"/>
    <cellStyle name="40% - Accent2 64 5" xfId="7172" xr:uid="{00000000-0005-0000-0000-0000C52E0000}"/>
    <cellStyle name="40% - Accent2 64 5 2" xfId="18460" xr:uid="{00000000-0005-0000-0000-0000C62E0000}"/>
    <cellStyle name="40% - Accent2 64 6" xfId="5178" xr:uid="{00000000-0005-0000-0000-0000C72E0000}"/>
    <cellStyle name="40% - Accent2 64 6 2" xfId="16466" xr:uid="{00000000-0005-0000-0000-0000C82E0000}"/>
    <cellStyle name="40% - Accent2 64 7" xfId="14472" xr:uid="{00000000-0005-0000-0000-0000C92E0000}"/>
    <cellStyle name="40% - Accent2 64 8" xfId="13158" xr:uid="{00000000-0005-0000-0000-0000CA2E0000}"/>
    <cellStyle name="40% - Accent2 65" xfId="1223" xr:uid="{00000000-0005-0000-0000-0000CB2E0000}"/>
    <cellStyle name="40% - Accent2 65 2" xfId="4179" xr:uid="{00000000-0005-0000-0000-0000CC2E0000}"/>
    <cellStyle name="40% - Accent2 65 2 2" xfId="12158" xr:uid="{00000000-0005-0000-0000-0000CD2E0000}"/>
    <cellStyle name="40% - Accent2 65 2 2 2" xfId="23446" xr:uid="{00000000-0005-0000-0000-0000CE2E0000}"/>
    <cellStyle name="40% - Accent2 65 2 3" xfId="10164" xr:uid="{00000000-0005-0000-0000-0000CF2E0000}"/>
    <cellStyle name="40% - Accent2 65 2 3 2" xfId="21452" xr:uid="{00000000-0005-0000-0000-0000D02E0000}"/>
    <cellStyle name="40% - Accent2 65 2 4" xfId="8170" xr:uid="{00000000-0005-0000-0000-0000D12E0000}"/>
    <cellStyle name="40% - Accent2 65 2 4 2" xfId="19458" xr:uid="{00000000-0005-0000-0000-0000D22E0000}"/>
    <cellStyle name="40% - Accent2 65 2 5" xfId="6176" xr:uid="{00000000-0005-0000-0000-0000D32E0000}"/>
    <cellStyle name="40% - Accent2 65 2 5 2" xfId="17464" xr:uid="{00000000-0005-0000-0000-0000D42E0000}"/>
    <cellStyle name="40% - Accent2 65 2 6" xfId="15470" xr:uid="{00000000-0005-0000-0000-0000D52E0000}"/>
    <cellStyle name="40% - Accent2 65 3" xfId="11161" xr:uid="{00000000-0005-0000-0000-0000D62E0000}"/>
    <cellStyle name="40% - Accent2 65 3 2" xfId="22449" xr:uid="{00000000-0005-0000-0000-0000D72E0000}"/>
    <cellStyle name="40% - Accent2 65 4" xfId="9167" xr:uid="{00000000-0005-0000-0000-0000D82E0000}"/>
    <cellStyle name="40% - Accent2 65 4 2" xfId="20455" xr:uid="{00000000-0005-0000-0000-0000D92E0000}"/>
    <cellStyle name="40% - Accent2 65 5" xfId="7173" xr:uid="{00000000-0005-0000-0000-0000DA2E0000}"/>
    <cellStyle name="40% - Accent2 65 5 2" xfId="18461" xr:uid="{00000000-0005-0000-0000-0000DB2E0000}"/>
    <cellStyle name="40% - Accent2 65 6" xfId="5179" xr:uid="{00000000-0005-0000-0000-0000DC2E0000}"/>
    <cellStyle name="40% - Accent2 65 6 2" xfId="16467" xr:uid="{00000000-0005-0000-0000-0000DD2E0000}"/>
    <cellStyle name="40% - Accent2 65 7" xfId="14473" xr:uid="{00000000-0005-0000-0000-0000DE2E0000}"/>
    <cellStyle name="40% - Accent2 65 8" xfId="13159" xr:uid="{00000000-0005-0000-0000-0000DF2E0000}"/>
    <cellStyle name="40% - Accent2 66" xfId="1224" xr:uid="{00000000-0005-0000-0000-0000E02E0000}"/>
    <cellStyle name="40% - Accent2 66 2" xfId="4180" xr:uid="{00000000-0005-0000-0000-0000E12E0000}"/>
    <cellStyle name="40% - Accent2 66 2 2" xfId="12159" xr:uid="{00000000-0005-0000-0000-0000E22E0000}"/>
    <cellStyle name="40% - Accent2 66 2 2 2" xfId="23447" xr:uid="{00000000-0005-0000-0000-0000E32E0000}"/>
    <cellStyle name="40% - Accent2 66 2 3" xfId="10165" xr:uid="{00000000-0005-0000-0000-0000E42E0000}"/>
    <cellStyle name="40% - Accent2 66 2 3 2" xfId="21453" xr:uid="{00000000-0005-0000-0000-0000E52E0000}"/>
    <cellStyle name="40% - Accent2 66 2 4" xfId="8171" xr:uid="{00000000-0005-0000-0000-0000E62E0000}"/>
    <cellStyle name="40% - Accent2 66 2 4 2" xfId="19459" xr:uid="{00000000-0005-0000-0000-0000E72E0000}"/>
    <cellStyle name="40% - Accent2 66 2 5" xfId="6177" xr:uid="{00000000-0005-0000-0000-0000E82E0000}"/>
    <cellStyle name="40% - Accent2 66 2 5 2" xfId="17465" xr:uid="{00000000-0005-0000-0000-0000E92E0000}"/>
    <cellStyle name="40% - Accent2 66 2 6" xfId="15471" xr:uid="{00000000-0005-0000-0000-0000EA2E0000}"/>
    <cellStyle name="40% - Accent2 66 3" xfId="11162" xr:uid="{00000000-0005-0000-0000-0000EB2E0000}"/>
    <cellStyle name="40% - Accent2 66 3 2" xfId="22450" xr:uid="{00000000-0005-0000-0000-0000EC2E0000}"/>
    <cellStyle name="40% - Accent2 66 4" xfId="9168" xr:uid="{00000000-0005-0000-0000-0000ED2E0000}"/>
    <cellStyle name="40% - Accent2 66 4 2" xfId="20456" xr:uid="{00000000-0005-0000-0000-0000EE2E0000}"/>
    <cellStyle name="40% - Accent2 66 5" xfId="7174" xr:uid="{00000000-0005-0000-0000-0000EF2E0000}"/>
    <cellStyle name="40% - Accent2 66 5 2" xfId="18462" xr:uid="{00000000-0005-0000-0000-0000F02E0000}"/>
    <cellStyle name="40% - Accent2 66 6" xfId="5180" xr:uid="{00000000-0005-0000-0000-0000F12E0000}"/>
    <cellStyle name="40% - Accent2 66 6 2" xfId="16468" xr:uid="{00000000-0005-0000-0000-0000F22E0000}"/>
    <cellStyle name="40% - Accent2 66 7" xfId="14474" xr:uid="{00000000-0005-0000-0000-0000F32E0000}"/>
    <cellStyle name="40% - Accent2 66 8" xfId="13160" xr:uid="{00000000-0005-0000-0000-0000F42E0000}"/>
    <cellStyle name="40% - Accent2 67" xfId="1225" xr:uid="{00000000-0005-0000-0000-0000F52E0000}"/>
    <cellStyle name="40% - Accent2 67 2" xfId="4181" xr:uid="{00000000-0005-0000-0000-0000F62E0000}"/>
    <cellStyle name="40% - Accent2 67 2 2" xfId="12160" xr:uid="{00000000-0005-0000-0000-0000F72E0000}"/>
    <cellStyle name="40% - Accent2 67 2 2 2" xfId="23448" xr:uid="{00000000-0005-0000-0000-0000F82E0000}"/>
    <cellStyle name="40% - Accent2 67 2 3" xfId="10166" xr:uid="{00000000-0005-0000-0000-0000F92E0000}"/>
    <cellStyle name="40% - Accent2 67 2 3 2" xfId="21454" xr:uid="{00000000-0005-0000-0000-0000FA2E0000}"/>
    <cellStyle name="40% - Accent2 67 2 4" xfId="8172" xr:uid="{00000000-0005-0000-0000-0000FB2E0000}"/>
    <cellStyle name="40% - Accent2 67 2 4 2" xfId="19460" xr:uid="{00000000-0005-0000-0000-0000FC2E0000}"/>
    <cellStyle name="40% - Accent2 67 2 5" xfId="6178" xr:uid="{00000000-0005-0000-0000-0000FD2E0000}"/>
    <cellStyle name="40% - Accent2 67 2 5 2" xfId="17466" xr:uid="{00000000-0005-0000-0000-0000FE2E0000}"/>
    <cellStyle name="40% - Accent2 67 2 6" xfId="15472" xr:uid="{00000000-0005-0000-0000-0000FF2E0000}"/>
    <cellStyle name="40% - Accent2 67 3" xfId="11163" xr:uid="{00000000-0005-0000-0000-0000002F0000}"/>
    <cellStyle name="40% - Accent2 67 3 2" xfId="22451" xr:uid="{00000000-0005-0000-0000-0000012F0000}"/>
    <cellStyle name="40% - Accent2 67 4" xfId="9169" xr:uid="{00000000-0005-0000-0000-0000022F0000}"/>
    <cellStyle name="40% - Accent2 67 4 2" xfId="20457" xr:uid="{00000000-0005-0000-0000-0000032F0000}"/>
    <cellStyle name="40% - Accent2 67 5" xfId="7175" xr:uid="{00000000-0005-0000-0000-0000042F0000}"/>
    <cellStyle name="40% - Accent2 67 5 2" xfId="18463" xr:uid="{00000000-0005-0000-0000-0000052F0000}"/>
    <cellStyle name="40% - Accent2 67 6" xfId="5181" xr:uid="{00000000-0005-0000-0000-0000062F0000}"/>
    <cellStyle name="40% - Accent2 67 6 2" xfId="16469" xr:uid="{00000000-0005-0000-0000-0000072F0000}"/>
    <cellStyle name="40% - Accent2 67 7" xfId="14475" xr:uid="{00000000-0005-0000-0000-0000082F0000}"/>
    <cellStyle name="40% - Accent2 67 8" xfId="13161" xr:uid="{00000000-0005-0000-0000-0000092F0000}"/>
    <cellStyle name="40% - Accent2 68" xfId="1226" xr:uid="{00000000-0005-0000-0000-00000A2F0000}"/>
    <cellStyle name="40% - Accent2 68 2" xfId="4182" xr:uid="{00000000-0005-0000-0000-00000B2F0000}"/>
    <cellStyle name="40% - Accent2 68 2 2" xfId="12161" xr:uid="{00000000-0005-0000-0000-00000C2F0000}"/>
    <cellStyle name="40% - Accent2 68 2 2 2" xfId="23449" xr:uid="{00000000-0005-0000-0000-00000D2F0000}"/>
    <cellStyle name="40% - Accent2 68 2 3" xfId="10167" xr:uid="{00000000-0005-0000-0000-00000E2F0000}"/>
    <cellStyle name="40% - Accent2 68 2 3 2" xfId="21455" xr:uid="{00000000-0005-0000-0000-00000F2F0000}"/>
    <cellStyle name="40% - Accent2 68 2 4" xfId="8173" xr:uid="{00000000-0005-0000-0000-0000102F0000}"/>
    <cellStyle name="40% - Accent2 68 2 4 2" xfId="19461" xr:uid="{00000000-0005-0000-0000-0000112F0000}"/>
    <cellStyle name="40% - Accent2 68 2 5" xfId="6179" xr:uid="{00000000-0005-0000-0000-0000122F0000}"/>
    <cellStyle name="40% - Accent2 68 2 5 2" xfId="17467" xr:uid="{00000000-0005-0000-0000-0000132F0000}"/>
    <cellStyle name="40% - Accent2 68 2 6" xfId="15473" xr:uid="{00000000-0005-0000-0000-0000142F0000}"/>
    <cellStyle name="40% - Accent2 68 3" xfId="11164" xr:uid="{00000000-0005-0000-0000-0000152F0000}"/>
    <cellStyle name="40% - Accent2 68 3 2" xfId="22452" xr:uid="{00000000-0005-0000-0000-0000162F0000}"/>
    <cellStyle name="40% - Accent2 68 4" xfId="9170" xr:uid="{00000000-0005-0000-0000-0000172F0000}"/>
    <cellStyle name="40% - Accent2 68 4 2" xfId="20458" xr:uid="{00000000-0005-0000-0000-0000182F0000}"/>
    <cellStyle name="40% - Accent2 68 5" xfId="7176" xr:uid="{00000000-0005-0000-0000-0000192F0000}"/>
    <cellStyle name="40% - Accent2 68 5 2" xfId="18464" xr:uid="{00000000-0005-0000-0000-00001A2F0000}"/>
    <cellStyle name="40% - Accent2 68 6" xfId="5182" xr:uid="{00000000-0005-0000-0000-00001B2F0000}"/>
    <cellStyle name="40% - Accent2 68 6 2" xfId="16470" xr:uid="{00000000-0005-0000-0000-00001C2F0000}"/>
    <cellStyle name="40% - Accent2 68 7" xfId="14476" xr:uid="{00000000-0005-0000-0000-00001D2F0000}"/>
    <cellStyle name="40% - Accent2 68 8" xfId="13162" xr:uid="{00000000-0005-0000-0000-00001E2F0000}"/>
    <cellStyle name="40% - Accent2 69" xfId="1227" xr:uid="{00000000-0005-0000-0000-00001F2F0000}"/>
    <cellStyle name="40% - Accent2 69 2" xfId="4183" xr:uid="{00000000-0005-0000-0000-0000202F0000}"/>
    <cellStyle name="40% - Accent2 69 2 2" xfId="12162" xr:uid="{00000000-0005-0000-0000-0000212F0000}"/>
    <cellStyle name="40% - Accent2 69 2 2 2" xfId="23450" xr:uid="{00000000-0005-0000-0000-0000222F0000}"/>
    <cellStyle name="40% - Accent2 69 2 3" xfId="10168" xr:uid="{00000000-0005-0000-0000-0000232F0000}"/>
    <cellStyle name="40% - Accent2 69 2 3 2" xfId="21456" xr:uid="{00000000-0005-0000-0000-0000242F0000}"/>
    <cellStyle name="40% - Accent2 69 2 4" xfId="8174" xr:uid="{00000000-0005-0000-0000-0000252F0000}"/>
    <cellStyle name="40% - Accent2 69 2 4 2" xfId="19462" xr:uid="{00000000-0005-0000-0000-0000262F0000}"/>
    <cellStyle name="40% - Accent2 69 2 5" xfId="6180" xr:uid="{00000000-0005-0000-0000-0000272F0000}"/>
    <cellStyle name="40% - Accent2 69 2 5 2" xfId="17468" xr:uid="{00000000-0005-0000-0000-0000282F0000}"/>
    <cellStyle name="40% - Accent2 69 2 6" xfId="15474" xr:uid="{00000000-0005-0000-0000-0000292F0000}"/>
    <cellStyle name="40% - Accent2 69 3" xfId="11165" xr:uid="{00000000-0005-0000-0000-00002A2F0000}"/>
    <cellStyle name="40% - Accent2 69 3 2" xfId="22453" xr:uid="{00000000-0005-0000-0000-00002B2F0000}"/>
    <cellStyle name="40% - Accent2 69 4" xfId="9171" xr:uid="{00000000-0005-0000-0000-00002C2F0000}"/>
    <cellStyle name="40% - Accent2 69 4 2" xfId="20459" xr:uid="{00000000-0005-0000-0000-00002D2F0000}"/>
    <cellStyle name="40% - Accent2 69 5" xfId="7177" xr:uid="{00000000-0005-0000-0000-00002E2F0000}"/>
    <cellStyle name="40% - Accent2 69 5 2" xfId="18465" xr:uid="{00000000-0005-0000-0000-00002F2F0000}"/>
    <cellStyle name="40% - Accent2 69 6" xfId="5183" xr:uid="{00000000-0005-0000-0000-0000302F0000}"/>
    <cellStyle name="40% - Accent2 69 6 2" xfId="16471" xr:uid="{00000000-0005-0000-0000-0000312F0000}"/>
    <cellStyle name="40% - Accent2 69 7" xfId="14477" xr:uid="{00000000-0005-0000-0000-0000322F0000}"/>
    <cellStyle name="40% - Accent2 69 8" xfId="13163" xr:uid="{00000000-0005-0000-0000-0000332F0000}"/>
    <cellStyle name="40% - Accent2 7" xfId="1228" xr:uid="{00000000-0005-0000-0000-0000342F0000}"/>
    <cellStyle name="40% - Accent2 7 10" xfId="24606" xr:uid="{00000000-0005-0000-0000-0000352F0000}"/>
    <cellStyle name="40% - Accent2 7 11" xfId="24996" xr:uid="{00000000-0005-0000-0000-0000362F0000}"/>
    <cellStyle name="40% - Accent2 7 2" xfId="4184" xr:uid="{00000000-0005-0000-0000-0000372F0000}"/>
    <cellStyle name="40% - Accent2 7 2 2" xfId="12163" xr:uid="{00000000-0005-0000-0000-0000382F0000}"/>
    <cellStyle name="40% - Accent2 7 2 2 2" xfId="23451" xr:uid="{00000000-0005-0000-0000-0000392F0000}"/>
    <cellStyle name="40% - Accent2 7 2 3" xfId="10169" xr:uid="{00000000-0005-0000-0000-00003A2F0000}"/>
    <cellStyle name="40% - Accent2 7 2 3 2" xfId="21457" xr:uid="{00000000-0005-0000-0000-00003B2F0000}"/>
    <cellStyle name="40% - Accent2 7 2 4" xfId="8175" xr:uid="{00000000-0005-0000-0000-00003C2F0000}"/>
    <cellStyle name="40% - Accent2 7 2 4 2" xfId="19463" xr:uid="{00000000-0005-0000-0000-00003D2F0000}"/>
    <cellStyle name="40% - Accent2 7 2 5" xfId="6181" xr:uid="{00000000-0005-0000-0000-00003E2F0000}"/>
    <cellStyle name="40% - Accent2 7 2 5 2" xfId="17469" xr:uid="{00000000-0005-0000-0000-00003F2F0000}"/>
    <cellStyle name="40% - Accent2 7 2 6" xfId="15475" xr:uid="{00000000-0005-0000-0000-0000402F0000}"/>
    <cellStyle name="40% - Accent2 7 2 7" xfId="24367" xr:uid="{00000000-0005-0000-0000-0000412F0000}"/>
    <cellStyle name="40% - Accent2 7 2 8" xfId="24831" xr:uid="{00000000-0005-0000-0000-0000422F0000}"/>
    <cellStyle name="40% - Accent2 7 2 9" xfId="25198" xr:uid="{00000000-0005-0000-0000-0000432F0000}"/>
    <cellStyle name="40% - Accent2 7 3" xfId="11166" xr:uid="{00000000-0005-0000-0000-0000442F0000}"/>
    <cellStyle name="40% - Accent2 7 3 2" xfId="22454" xr:uid="{00000000-0005-0000-0000-0000452F0000}"/>
    <cellStyle name="40% - Accent2 7 4" xfId="9172" xr:uid="{00000000-0005-0000-0000-0000462F0000}"/>
    <cellStyle name="40% - Accent2 7 4 2" xfId="20460" xr:uid="{00000000-0005-0000-0000-0000472F0000}"/>
    <cellStyle name="40% - Accent2 7 5" xfId="7178" xr:uid="{00000000-0005-0000-0000-0000482F0000}"/>
    <cellStyle name="40% - Accent2 7 5 2" xfId="18466" xr:uid="{00000000-0005-0000-0000-0000492F0000}"/>
    <cellStyle name="40% - Accent2 7 6" xfId="5184" xr:uid="{00000000-0005-0000-0000-00004A2F0000}"/>
    <cellStyle name="40% - Accent2 7 6 2" xfId="16472" xr:uid="{00000000-0005-0000-0000-00004B2F0000}"/>
    <cellStyle name="40% - Accent2 7 7" xfId="14478" xr:uid="{00000000-0005-0000-0000-00004C2F0000}"/>
    <cellStyle name="40% - Accent2 7 8" xfId="13164" xr:uid="{00000000-0005-0000-0000-00004D2F0000}"/>
    <cellStyle name="40% - Accent2 7 9" xfId="23979" xr:uid="{00000000-0005-0000-0000-00004E2F0000}"/>
    <cellStyle name="40% - Accent2 70" xfId="1229" xr:uid="{00000000-0005-0000-0000-00004F2F0000}"/>
    <cellStyle name="40% - Accent2 70 2" xfId="4185" xr:uid="{00000000-0005-0000-0000-0000502F0000}"/>
    <cellStyle name="40% - Accent2 70 2 2" xfId="12164" xr:uid="{00000000-0005-0000-0000-0000512F0000}"/>
    <cellStyle name="40% - Accent2 70 2 2 2" xfId="23452" xr:uid="{00000000-0005-0000-0000-0000522F0000}"/>
    <cellStyle name="40% - Accent2 70 2 3" xfId="10170" xr:uid="{00000000-0005-0000-0000-0000532F0000}"/>
    <cellStyle name="40% - Accent2 70 2 3 2" xfId="21458" xr:uid="{00000000-0005-0000-0000-0000542F0000}"/>
    <cellStyle name="40% - Accent2 70 2 4" xfId="8176" xr:uid="{00000000-0005-0000-0000-0000552F0000}"/>
    <cellStyle name="40% - Accent2 70 2 4 2" xfId="19464" xr:uid="{00000000-0005-0000-0000-0000562F0000}"/>
    <cellStyle name="40% - Accent2 70 2 5" xfId="6182" xr:uid="{00000000-0005-0000-0000-0000572F0000}"/>
    <cellStyle name="40% - Accent2 70 2 5 2" xfId="17470" xr:uid="{00000000-0005-0000-0000-0000582F0000}"/>
    <cellStyle name="40% - Accent2 70 2 6" xfId="15476" xr:uid="{00000000-0005-0000-0000-0000592F0000}"/>
    <cellStyle name="40% - Accent2 70 3" xfId="11167" xr:uid="{00000000-0005-0000-0000-00005A2F0000}"/>
    <cellStyle name="40% - Accent2 70 3 2" xfId="22455" xr:uid="{00000000-0005-0000-0000-00005B2F0000}"/>
    <cellStyle name="40% - Accent2 70 4" xfId="9173" xr:uid="{00000000-0005-0000-0000-00005C2F0000}"/>
    <cellStyle name="40% - Accent2 70 4 2" xfId="20461" xr:uid="{00000000-0005-0000-0000-00005D2F0000}"/>
    <cellStyle name="40% - Accent2 70 5" xfId="7179" xr:uid="{00000000-0005-0000-0000-00005E2F0000}"/>
    <cellStyle name="40% - Accent2 70 5 2" xfId="18467" xr:uid="{00000000-0005-0000-0000-00005F2F0000}"/>
    <cellStyle name="40% - Accent2 70 6" xfId="5185" xr:uid="{00000000-0005-0000-0000-0000602F0000}"/>
    <cellStyle name="40% - Accent2 70 6 2" xfId="16473" xr:uid="{00000000-0005-0000-0000-0000612F0000}"/>
    <cellStyle name="40% - Accent2 70 7" xfId="14479" xr:uid="{00000000-0005-0000-0000-0000622F0000}"/>
    <cellStyle name="40% - Accent2 70 8" xfId="13165" xr:uid="{00000000-0005-0000-0000-0000632F0000}"/>
    <cellStyle name="40% - Accent2 71" xfId="1230" xr:uid="{00000000-0005-0000-0000-0000642F0000}"/>
    <cellStyle name="40% - Accent2 71 2" xfId="4186" xr:uid="{00000000-0005-0000-0000-0000652F0000}"/>
    <cellStyle name="40% - Accent2 71 2 2" xfId="12165" xr:uid="{00000000-0005-0000-0000-0000662F0000}"/>
    <cellStyle name="40% - Accent2 71 2 2 2" xfId="23453" xr:uid="{00000000-0005-0000-0000-0000672F0000}"/>
    <cellStyle name="40% - Accent2 71 2 3" xfId="10171" xr:uid="{00000000-0005-0000-0000-0000682F0000}"/>
    <cellStyle name="40% - Accent2 71 2 3 2" xfId="21459" xr:uid="{00000000-0005-0000-0000-0000692F0000}"/>
    <cellStyle name="40% - Accent2 71 2 4" xfId="8177" xr:uid="{00000000-0005-0000-0000-00006A2F0000}"/>
    <cellStyle name="40% - Accent2 71 2 4 2" xfId="19465" xr:uid="{00000000-0005-0000-0000-00006B2F0000}"/>
    <cellStyle name="40% - Accent2 71 2 5" xfId="6183" xr:uid="{00000000-0005-0000-0000-00006C2F0000}"/>
    <cellStyle name="40% - Accent2 71 2 5 2" xfId="17471" xr:uid="{00000000-0005-0000-0000-00006D2F0000}"/>
    <cellStyle name="40% - Accent2 71 2 6" xfId="15477" xr:uid="{00000000-0005-0000-0000-00006E2F0000}"/>
    <cellStyle name="40% - Accent2 71 3" xfId="11168" xr:uid="{00000000-0005-0000-0000-00006F2F0000}"/>
    <cellStyle name="40% - Accent2 71 3 2" xfId="22456" xr:uid="{00000000-0005-0000-0000-0000702F0000}"/>
    <cellStyle name="40% - Accent2 71 4" xfId="9174" xr:uid="{00000000-0005-0000-0000-0000712F0000}"/>
    <cellStyle name="40% - Accent2 71 4 2" xfId="20462" xr:uid="{00000000-0005-0000-0000-0000722F0000}"/>
    <cellStyle name="40% - Accent2 71 5" xfId="7180" xr:uid="{00000000-0005-0000-0000-0000732F0000}"/>
    <cellStyle name="40% - Accent2 71 5 2" xfId="18468" xr:uid="{00000000-0005-0000-0000-0000742F0000}"/>
    <cellStyle name="40% - Accent2 71 6" xfId="5186" xr:uid="{00000000-0005-0000-0000-0000752F0000}"/>
    <cellStyle name="40% - Accent2 71 6 2" xfId="16474" xr:uid="{00000000-0005-0000-0000-0000762F0000}"/>
    <cellStyle name="40% - Accent2 71 7" xfId="14480" xr:uid="{00000000-0005-0000-0000-0000772F0000}"/>
    <cellStyle name="40% - Accent2 71 8" xfId="13166" xr:uid="{00000000-0005-0000-0000-0000782F0000}"/>
    <cellStyle name="40% - Accent2 72" xfId="1231" xr:uid="{00000000-0005-0000-0000-0000792F0000}"/>
    <cellStyle name="40% - Accent2 72 2" xfId="4187" xr:uid="{00000000-0005-0000-0000-00007A2F0000}"/>
    <cellStyle name="40% - Accent2 72 2 2" xfId="12166" xr:uid="{00000000-0005-0000-0000-00007B2F0000}"/>
    <cellStyle name="40% - Accent2 72 2 2 2" xfId="23454" xr:uid="{00000000-0005-0000-0000-00007C2F0000}"/>
    <cellStyle name="40% - Accent2 72 2 3" xfId="10172" xr:uid="{00000000-0005-0000-0000-00007D2F0000}"/>
    <cellStyle name="40% - Accent2 72 2 3 2" xfId="21460" xr:uid="{00000000-0005-0000-0000-00007E2F0000}"/>
    <cellStyle name="40% - Accent2 72 2 4" xfId="8178" xr:uid="{00000000-0005-0000-0000-00007F2F0000}"/>
    <cellStyle name="40% - Accent2 72 2 4 2" xfId="19466" xr:uid="{00000000-0005-0000-0000-0000802F0000}"/>
    <cellStyle name="40% - Accent2 72 2 5" xfId="6184" xr:uid="{00000000-0005-0000-0000-0000812F0000}"/>
    <cellStyle name="40% - Accent2 72 2 5 2" xfId="17472" xr:uid="{00000000-0005-0000-0000-0000822F0000}"/>
    <cellStyle name="40% - Accent2 72 2 6" xfId="15478" xr:uid="{00000000-0005-0000-0000-0000832F0000}"/>
    <cellStyle name="40% - Accent2 72 3" xfId="11169" xr:uid="{00000000-0005-0000-0000-0000842F0000}"/>
    <cellStyle name="40% - Accent2 72 3 2" xfId="22457" xr:uid="{00000000-0005-0000-0000-0000852F0000}"/>
    <cellStyle name="40% - Accent2 72 4" xfId="9175" xr:uid="{00000000-0005-0000-0000-0000862F0000}"/>
    <cellStyle name="40% - Accent2 72 4 2" xfId="20463" xr:uid="{00000000-0005-0000-0000-0000872F0000}"/>
    <cellStyle name="40% - Accent2 72 5" xfId="7181" xr:uid="{00000000-0005-0000-0000-0000882F0000}"/>
    <cellStyle name="40% - Accent2 72 5 2" xfId="18469" xr:uid="{00000000-0005-0000-0000-0000892F0000}"/>
    <cellStyle name="40% - Accent2 72 6" xfId="5187" xr:uid="{00000000-0005-0000-0000-00008A2F0000}"/>
    <cellStyle name="40% - Accent2 72 6 2" xfId="16475" xr:uid="{00000000-0005-0000-0000-00008B2F0000}"/>
    <cellStyle name="40% - Accent2 72 7" xfId="14481" xr:uid="{00000000-0005-0000-0000-00008C2F0000}"/>
    <cellStyle name="40% - Accent2 72 8" xfId="13167" xr:uid="{00000000-0005-0000-0000-00008D2F0000}"/>
    <cellStyle name="40% - Accent2 8" xfId="1232" xr:uid="{00000000-0005-0000-0000-00008E2F0000}"/>
    <cellStyle name="40% - Accent2 8 2" xfId="4188" xr:uid="{00000000-0005-0000-0000-00008F2F0000}"/>
    <cellStyle name="40% - Accent2 8 2 2" xfId="12167" xr:uid="{00000000-0005-0000-0000-0000902F0000}"/>
    <cellStyle name="40% - Accent2 8 2 2 2" xfId="23455" xr:uid="{00000000-0005-0000-0000-0000912F0000}"/>
    <cellStyle name="40% - Accent2 8 2 3" xfId="10173" xr:uid="{00000000-0005-0000-0000-0000922F0000}"/>
    <cellStyle name="40% - Accent2 8 2 3 2" xfId="21461" xr:uid="{00000000-0005-0000-0000-0000932F0000}"/>
    <cellStyle name="40% - Accent2 8 2 4" xfId="8179" xr:uid="{00000000-0005-0000-0000-0000942F0000}"/>
    <cellStyle name="40% - Accent2 8 2 4 2" xfId="19467" xr:uid="{00000000-0005-0000-0000-0000952F0000}"/>
    <cellStyle name="40% - Accent2 8 2 5" xfId="6185" xr:uid="{00000000-0005-0000-0000-0000962F0000}"/>
    <cellStyle name="40% - Accent2 8 2 5 2" xfId="17473" xr:uid="{00000000-0005-0000-0000-0000972F0000}"/>
    <cellStyle name="40% - Accent2 8 2 6" xfId="15479" xr:uid="{00000000-0005-0000-0000-0000982F0000}"/>
    <cellStyle name="40% - Accent2 8 3" xfId="11170" xr:uid="{00000000-0005-0000-0000-0000992F0000}"/>
    <cellStyle name="40% - Accent2 8 3 2" xfId="22458" xr:uid="{00000000-0005-0000-0000-00009A2F0000}"/>
    <cellStyle name="40% - Accent2 8 4" xfId="9176" xr:uid="{00000000-0005-0000-0000-00009B2F0000}"/>
    <cellStyle name="40% - Accent2 8 4 2" xfId="20464" xr:uid="{00000000-0005-0000-0000-00009C2F0000}"/>
    <cellStyle name="40% - Accent2 8 5" xfId="7182" xr:uid="{00000000-0005-0000-0000-00009D2F0000}"/>
    <cellStyle name="40% - Accent2 8 5 2" xfId="18470" xr:uid="{00000000-0005-0000-0000-00009E2F0000}"/>
    <cellStyle name="40% - Accent2 8 6" xfId="5188" xr:uid="{00000000-0005-0000-0000-00009F2F0000}"/>
    <cellStyle name="40% - Accent2 8 6 2" xfId="16476" xr:uid="{00000000-0005-0000-0000-0000A02F0000}"/>
    <cellStyle name="40% - Accent2 8 7" xfId="14482" xr:uid="{00000000-0005-0000-0000-0000A12F0000}"/>
    <cellStyle name="40% - Accent2 8 8" xfId="13168" xr:uid="{00000000-0005-0000-0000-0000A22F0000}"/>
    <cellStyle name="40% - Accent2 9" xfId="1233" xr:uid="{00000000-0005-0000-0000-0000A32F0000}"/>
    <cellStyle name="40% - Accent2 9 2" xfId="4189" xr:uid="{00000000-0005-0000-0000-0000A42F0000}"/>
    <cellStyle name="40% - Accent2 9 2 2" xfId="12168" xr:uid="{00000000-0005-0000-0000-0000A52F0000}"/>
    <cellStyle name="40% - Accent2 9 2 2 2" xfId="23456" xr:uid="{00000000-0005-0000-0000-0000A62F0000}"/>
    <cellStyle name="40% - Accent2 9 2 3" xfId="10174" xr:uid="{00000000-0005-0000-0000-0000A72F0000}"/>
    <cellStyle name="40% - Accent2 9 2 3 2" xfId="21462" xr:uid="{00000000-0005-0000-0000-0000A82F0000}"/>
    <cellStyle name="40% - Accent2 9 2 4" xfId="8180" xr:uid="{00000000-0005-0000-0000-0000A92F0000}"/>
    <cellStyle name="40% - Accent2 9 2 4 2" xfId="19468" xr:uid="{00000000-0005-0000-0000-0000AA2F0000}"/>
    <cellStyle name="40% - Accent2 9 2 5" xfId="6186" xr:uid="{00000000-0005-0000-0000-0000AB2F0000}"/>
    <cellStyle name="40% - Accent2 9 2 5 2" xfId="17474" xr:uid="{00000000-0005-0000-0000-0000AC2F0000}"/>
    <cellStyle name="40% - Accent2 9 2 6" xfId="15480" xr:uid="{00000000-0005-0000-0000-0000AD2F0000}"/>
    <cellStyle name="40% - Accent2 9 3" xfId="11171" xr:uid="{00000000-0005-0000-0000-0000AE2F0000}"/>
    <cellStyle name="40% - Accent2 9 3 2" xfId="22459" xr:uid="{00000000-0005-0000-0000-0000AF2F0000}"/>
    <cellStyle name="40% - Accent2 9 4" xfId="9177" xr:uid="{00000000-0005-0000-0000-0000B02F0000}"/>
    <cellStyle name="40% - Accent2 9 4 2" xfId="20465" xr:uid="{00000000-0005-0000-0000-0000B12F0000}"/>
    <cellStyle name="40% - Accent2 9 5" xfId="7183" xr:uid="{00000000-0005-0000-0000-0000B22F0000}"/>
    <cellStyle name="40% - Accent2 9 5 2" xfId="18471" xr:uid="{00000000-0005-0000-0000-0000B32F0000}"/>
    <cellStyle name="40% - Accent2 9 6" xfId="5189" xr:uid="{00000000-0005-0000-0000-0000B42F0000}"/>
    <cellStyle name="40% - Accent2 9 6 2" xfId="16477" xr:uid="{00000000-0005-0000-0000-0000B52F0000}"/>
    <cellStyle name="40% - Accent2 9 7" xfId="14483" xr:uid="{00000000-0005-0000-0000-0000B62F0000}"/>
    <cellStyle name="40% - Accent2 9 8" xfId="13169" xr:uid="{00000000-0005-0000-0000-0000B72F0000}"/>
    <cellStyle name="40% - Accent3 10" xfId="1234" xr:uid="{00000000-0005-0000-0000-0000B82F0000}"/>
    <cellStyle name="40% - Accent3 10 2" xfId="4190" xr:uid="{00000000-0005-0000-0000-0000B92F0000}"/>
    <cellStyle name="40% - Accent3 10 2 2" xfId="12169" xr:uid="{00000000-0005-0000-0000-0000BA2F0000}"/>
    <cellStyle name="40% - Accent3 10 2 2 2" xfId="23457" xr:uid="{00000000-0005-0000-0000-0000BB2F0000}"/>
    <cellStyle name="40% - Accent3 10 2 3" xfId="10175" xr:uid="{00000000-0005-0000-0000-0000BC2F0000}"/>
    <cellStyle name="40% - Accent3 10 2 3 2" xfId="21463" xr:uid="{00000000-0005-0000-0000-0000BD2F0000}"/>
    <cellStyle name="40% - Accent3 10 2 4" xfId="8181" xr:uid="{00000000-0005-0000-0000-0000BE2F0000}"/>
    <cellStyle name="40% - Accent3 10 2 4 2" xfId="19469" xr:uid="{00000000-0005-0000-0000-0000BF2F0000}"/>
    <cellStyle name="40% - Accent3 10 2 5" xfId="6187" xr:uid="{00000000-0005-0000-0000-0000C02F0000}"/>
    <cellStyle name="40% - Accent3 10 2 5 2" xfId="17475" xr:uid="{00000000-0005-0000-0000-0000C12F0000}"/>
    <cellStyle name="40% - Accent3 10 2 6" xfId="15481" xr:uid="{00000000-0005-0000-0000-0000C22F0000}"/>
    <cellStyle name="40% - Accent3 10 3" xfId="11172" xr:uid="{00000000-0005-0000-0000-0000C32F0000}"/>
    <cellStyle name="40% - Accent3 10 3 2" xfId="22460" xr:uid="{00000000-0005-0000-0000-0000C42F0000}"/>
    <cellStyle name="40% - Accent3 10 4" xfId="9178" xr:uid="{00000000-0005-0000-0000-0000C52F0000}"/>
    <cellStyle name="40% - Accent3 10 4 2" xfId="20466" xr:uid="{00000000-0005-0000-0000-0000C62F0000}"/>
    <cellStyle name="40% - Accent3 10 5" xfId="7184" xr:uid="{00000000-0005-0000-0000-0000C72F0000}"/>
    <cellStyle name="40% - Accent3 10 5 2" xfId="18472" xr:uid="{00000000-0005-0000-0000-0000C82F0000}"/>
    <cellStyle name="40% - Accent3 10 6" xfId="5190" xr:uid="{00000000-0005-0000-0000-0000C92F0000}"/>
    <cellStyle name="40% - Accent3 10 6 2" xfId="16478" xr:uid="{00000000-0005-0000-0000-0000CA2F0000}"/>
    <cellStyle name="40% - Accent3 10 7" xfId="14484" xr:uid="{00000000-0005-0000-0000-0000CB2F0000}"/>
    <cellStyle name="40% - Accent3 10 8" xfId="13170" xr:uid="{00000000-0005-0000-0000-0000CC2F0000}"/>
    <cellStyle name="40% - Accent3 11" xfId="1235" xr:uid="{00000000-0005-0000-0000-0000CD2F0000}"/>
    <cellStyle name="40% - Accent3 11 2" xfId="4191" xr:uid="{00000000-0005-0000-0000-0000CE2F0000}"/>
    <cellStyle name="40% - Accent3 11 2 2" xfId="12170" xr:uid="{00000000-0005-0000-0000-0000CF2F0000}"/>
    <cellStyle name="40% - Accent3 11 2 2 2" xfId="23458" xr:uid="{00000000-0005-0000-0000-0000D02F0000}"/>
    <cellStyle name="40% - Accent3 11 2 3" xfId="10176" xr:uid="{00000000-0005-0000-0000-0000D12F0000}"/>
    <cellStyle name="40% - Accent3 11 2 3 2" xfId="21464" xr:uid="{00000000-0005-0000-0000-0000D22F0000}"/>
    <cellStyle name="40% - Accent3 11 2 4" xfId="8182" xr:uid="{00000000-0005-0000-0000-0000D32F0000}"/>
    <cellStyle name="40% - Accent3 11 2 4 2" xfId="19470" xr:uid="{00000000-0005-0000-0000-0000D42F0000}"/>
    <cellStyle name="40% - Accent3 11 2 5" xfId="6188" xr:uid="{00000000-0005-0000-0000-0000D52F0000}"/>
    <cellStyle name="40% - Accent3 11 2 5 2" xfId="17476" xr:uid="{00000000-0005-0000-0000-0000D62F0000}"/>
    <cellStyle name="40% - Accent3 11 2 6" xfId="15482" xr:uid="{00000000-0005-0000-0000-0000D72F0000}"/>
    <cellStyle name="40% - Accent3 11 3" xfId="11173" xr:uid="{00000000-0005-0000-0000-0000D82F0000}"/>
    <cellStyle name="40% - Accent3 11 3 2" xfId="22461" xr:uid="{00000000-0005-0000-0000-0000D92F0000}"/>
    <cellStyle name="40% - Accent3 11 4" xfId="9179" xr:uid="{00000000-0005-0000-0000-0000DA2F0000}"/>
    <cellStyle name="40% - Accent3 11 4 2" xfId="20467" xr:uid="{00000000-0005-0000-0000-0000DB2F0000}"/>
    <cellStyle name="40% - Accent3 11 5" xfId="7185" xr:uid="{00000000-0005-0000-0000-0000DC2F0000}"/>
    <cellStyle name="40% - Accent3 11 5 2" xfId="18473" xr:uid="{00000000-0005-0000-0000-0000DD2F0000}"/>
    <cellStyle name="40% - Accent3 11 6" xfId="5191" xr:uid="{00000000-0005-0000-0000-0000DE2F0000}"/>
    <cellStyle name="40% - Accent3 11 6 2" xfId="16479" xr:uid="{00000000-0005-0000-0000-0000DF2F0000}"/>
    <cellStyle name="40% - Accent3 11 7" xfId="14485" xr:uid="{00000000-0005-0000-0000-0000E02F0000}"/>
    <cellStyle name="40% - Accent3 11 8" xfId="13171" xr:uid="{00000000-0005-0000-0000-0000E12F0000}"/>
    <cellStyle name="40% - Accent3 12" xfId="1236" xr:uid="{00000000-0005-0000-0000-0000E22F0000}"/>
    <cellStyle name="40% - Accent3 12 2" xfId="4192" xr:uid="{00000000-0005-0000-0000-0000E32F0000}"/>
    <cellStyle name="40% - Accent3 12 2 2" xfId="12171" xr:uid="{00000000-0005-0000-0000-0000E42F0000}"/>
    <cellStyle name="40% - Accent3 12 2 2 2" xfId="23459" xr:uid="{00000000-0005-0000-0000-0000E52F0000}"/>
    <cellStyle name="40% - Accent3 12 2 3" xfId="10177" xr:uid="{00000000-0005-0000-0000-0000E62F0000}"/>
    <cellStyle name="40% - Accent3 12 2 3 2" xfId="21465" xr:uid="{00000000-0005-0000-0000-0000E72F0000}"/>
    <cellStyle name="40% - Accent3 12 2 4" xfId="8183" xr:uid="{00000000-0005-0000-0000-0000E82F0000}"/>
    <cellStyle name="40% - Accent3 12 2 4 2" xfId="19471" xr:uid="{00000000-0005-0000-0000-0000E92F0000}"/>
    <cellStyle name="40% - Accent3 12 2 5" xfId="6189" xr:uid="{00000000-0005-0000-0000-0000EA2F0000}"/>
    <cellStyle name="40% - Accent3 12 2 5 2" xfId="17477" xr:uid="{00000000-0005-0000-0000-0000EB2F0000}"/>
    <cellStyle name="40% - Accent3 12 2 6" xfId="15483" xr:uid="{00000000-0005-0000-0000-0000EC2F0000}"/>
    <cellStyle name="40% - Accent3 12 3" xfId="11174" xr:uid="{00000000-0005-0000-0000-0000ED2F0000}"/>
    <cellStyle name="40% - Accent3 12 3 2" xfId="22462" xr:uid="{00000000-0005-0000-0000-0000EE2F0000}"/>
    <cellStyle name="40% - Accent3 12 4" xfId="9180" xr:uid="{00000000-0005-0000-0000-0000EF2F0000}"/>
    <cellStyle name="40% - Accent3 12 4 2" xfId="20468" xr:uid="{00000000-0005-0000-0000-0000F02F0000}"/>
    <cellStyle name="40% - Accent3 12 5" xfId="7186" xr:uid="{00000000-0005-0000-0000-0000F12F0000}"/>
    <cellStyle name="40% - Accent3 12 5 2" xfId="18474" xr:uid="{00000000-0005-0000-0000-0000F22F0000}"/>
    <cellStyle name="40% - Accent3 12 6" xfId="5192" xr:uid="{00000000-0005-0000-0000-0000F32F0000}"/>
    <cellStyle name="40% - Accent3 12 6 2" xfId="16480" xr:uid="{00000000-0005-0000-0000-0000F42F0000}"/>
    <cellStyle name="40% - Accent3 12 7" xfId="14486" xr:uid="{00000000-0005-0000-0000-0000F52F0000}"/>
    <cellStyle name="40% - Accent3 12 8" xfId="13172" xr:uid="{00000000-0005-0000-0000-0000F62F0000}"/>
    <cellStyle name="40% - Accent3 13" xfId="1237" xr:uid="{00000000-0005-0000-0000-0000F72F0000}"/>
    <cellStyle name="40% - Accent3 13 2" xfId="4193" xr:uid="{00000000-0005-0000-0000-0000F82F0000}"/>
    <cellStyle name="40% - Accent3 13 2 2" xfId="12172" xr:uid="{00000000-0005-0000-0000-0000F92F0000}"/>
    <cellStyle name="40% - Accent3 13 2 2 2" xfId="23460" xr:uid="{00000000-0005-0000-0000-0000FA2F0000}"/>
    <cellStyle name="40% - Accent3 13 2 3" xfId="10178" xr:uid="{00000000-0005-0000-0000-0000FB2F0000}"/>
    <cellStyle name="40% - Accent3 13 2 3 2" xfId="21466" xr:uid="{00000000-0005-0000-0000-0000FC2F0000}"/>
    <cellStyle name="40% - Accent3 13 2 4" xfId="8184" xr:uid="{00000000-0005-0000-0000-0000FD2F0000}"/>
    <cellStyle name="40% - Accent3 13 2 4 2" xfId="19472" xr:uid="{00000000-0005-0000-0000-0000FE2F0000}"/>
    <cellStyle name="40% - Accent3 13 2 5" xfId="6190" xr:uid="{00000000-0005-0000-0000-0000FF2F0000}"/>
    <cellStyle name="40% - Accent3 13 2 5 2" xfId="17478" xr:uid="{00000000-0005-0000-0000-000000300000}"/>
    <cellStyle name="40% - Accent3 13 2 6" xfId="15484" xr:uid="{00000000-0005-0000-0000-000001300000}"/>
    <cellStyle name="40% - Accent3 13 3" xfId="11175" xr:uid="{00000000-0005-0000-0000-000002300000}"/>
    <cellStyle name="40% - Accent3 13 3 2" xfId="22463" xr:uid="{00000000-0005-0000-0000-000003300000}"/>
    <cellStyle name="40% - Accent3 13 4" xfId="9181" xr:uid="{00000000-0005-0000-0000-000004300000}"/>
    <cellStyle name="40% - Accent3 13 4 2" xfId="20469" xr:uid="{00000000-0005-0000-0000-000005300000}"/>
    <cellStyle name="40% - Accent3 13 5" xfId="7187" xr:uid="{00000000-0005-0000-0000-000006300000}"/>
    <cellStyle name="40% - Accent3 13 5 2" xfId="18475" xr:uid="{00000000-0005-0000-0000-000007300000}"/>
    <cellStyle name="40% - Accent3 13 6" xfId="5193" xr:uid="{00000000-0005-0000-0000-000008300000}"/>
    <cellStyle name="40% - Accent3 13 6 2" xfId="16481" xr:uid="{00000000-0005-0000-0000-000009300000}"/>
    <cellStyle name="40% - Accent3 13 7" xfId="14487" xr:uid="{00000000-0005-0000-0000-00000A300000}"/>
    <cellStyle name="40% - Accent3 13 8" xfId="13173" xr:uid="{00000000-0005-0000-0000-00000B300000}"/>
    <cellStyle name="40% - Accent3 14" xfId="1238" xr:uid="{00000000-0005-0000-0000-00000C300000}"/>
    <cellStyle name="40% - Accent3 14 2" xfId="4194" xr:uid="{00000000-0005-0000-0000-00000D300000}"/>
    <cellStyle name="40% - Accent3 14 2 2" xfId="12173" xr:uid="{00000000-0005-0000-0000-00000E300000}"/>
    <cellStyle name="40% - Accent3 14 2 2 2" xfId="23461" xr:uid="{00000000-0005-0000-0000-00000F300000}"/>
    <cellStyle name="40% - Accent3 14 2 3" xfId="10179" xr:uid="{00000000-0005-0000-0000-000010300000}"/>
    <cellStyle name="40% - Accent3 14 2 3 2" xfId="21467" xr:uid="{00000000-0005-0000-0000-000011300000}"/>
    <cellStyle name="40% - Accent3 14 2 4" xfId="8185" xr:uid="{00000000-0005-0000-0000-000012300000}"/>
    <cellStyle name="40% - Accent3 14 2 4 2" xfId="19473" xr:uid="{00000000-0005-0000-0000-000013300000}"/>
    <cellStyle name="40% - Accent3 14 2 5" xfId="6191" xr:uid="{00000000-0005-0000-0000-000014300000}"/>
    <cellStyle name="40% - Accent3 14 2 5 2" xfId="17479" xr:uid="{00000000-0005-0000-0000-000015300000}"/>
    <cellStyle name="40% - Accent3 14 2 6" xfId="15485" xr:uid="{00000000-0005-0000-0000-000016300000}"/>
    <cellStyle name="40% - Accent3 14 3" xfId="11176" xr:uid="{00000000-0005-0000-0000-000017300000}"/>
    <cellStyle name="40% - Accent3 14 3 2" xfId="22464" xr:uid="{00000000-0005-0000-0000-000018300000}"/>
    <cellStyle name="40% - Accent3 14 4" xfId="9182" xr:uid="{00000000-0005-0000-0000-000019300000}"/>
    <cellStyle name="40% - Accent3 14 4 2" xfId="20470" xr:uid="{00000000-0005-0000-0000-00001A300000}"/>
    <cellStyle name="40% - Accent3 14 5" xfId="7188" xr:uid="{00000000-0005-0000-0000-00001B300000}"/>
    <cellStyle name="40% - Accent3 14 5 2" xfId="18476" xr:uid="{00000000-0005-0000-0000-00001C300000}"/>
    <cellStyle name="40% - Accent3 14 6" xfId="5194" xr:uid="{00000000-0005-0000-0000-00001D300000}"/>
    <cellStyle name="40% - Accent3 14 6 2" xfId="16482" xr:uid="{00000000-0005-0000-0000-00001E300000}"/>
    <cellStyle name="40% - Accent3 14 7" xfId="14488" xr:uid="{00000000-0005-0000-0000-00001F300000}"/>
    <cellStyle name="40% - Accent3 14 8" xfId="13174" xr:uid="{00000000-0005-0000-0000-000020300000}"/>
    <cellStyle name="40% - Accent3 15" xfId="1239" xr:uid="{00000000-0005-0000-0000-000021300000}"/>
    <cellStyle name="40% - Accent3 15 2" xfId="4195" xr:uid="{00000000-0005-0000-0000-000022300000}"/>
    <cellStyle name="40% - Accent3 15 2 2" xfId="12174" xr:uid="{00000000-0005-0000-0000-000023300000}"/>
    <cellStyle name="40% - Accent3 15 2 2 2" xfId="23462" xr:uid="{00000000-0005-0000-0000-000024300000}"/>
    <cellStyle name="40% - Accent3 15 2 3" xfId="10180" xr:uid="{00000000-0005-0000-0000-000025300000}"/>
    <cellStyle name="40% - Accent3 15 2 3 2" xfId="21468" xr:uid="{00000000-0005-0000-0000-000026300000}"/>
    <cellStyle name="40% - Accent3 15 2 4" xfId="8186" xr:uid="{00000000-0005-0000-0000-000027300000}"/>
    <cellStyle name="40% - Accent3 15 2 4 2" xfId="19474" xr:uid="{00000000-0005-0000-0000-000028300000}"/>
    <cellStyle name="40% - Accent3 15 2 5" xfId="6192" xr:uid="{00000000-0005-0000-0000-000029300000}"/>
    <cellStyle name="40% - Accent3 15 2 5 2" xfId="17480" xr:uid="{00000000-0005-0000-0000-00002A300000}"/>
    <cellStyle name="40% - Accent3 15 2 6" xfId="15486" xr:uid="{00000000-0005-0000-0000-00002B300000}"/>
    <cellStyle name="40% - Accent3 15 3" xfId="11177" xr:uid="{00000000-0005-0000-0000-00002C300000}"/>
    <cellStyle name="40% - Accent3 15 3 2" xfId="22465" xr:uid="{00000000-0005-0000-0000-00002D300000}"/>
    <cellStyle name="40% - Accent3 15 4" xfId="9183" xr:uid="{00000000-0005-0000-0000-00002E300000}"/>
    <cellStyle name="40% - Accent3 15 4 2" xfId="20471" xr:uid="{00000000-0005-0000-0000-00002F300000}"/>
    <cellStyle name="40% - Accent3 15 5" xfId="7189" xr:uid="{00000000-0005-0000-0000-000030300000}"/>
    <cellStyle name="40% - Accent3 15 5 2" xfId="18477" xr:uid="{00000000-0005-0000-0000-000031300000}"/>
    <cellStyle name="40% - Accent3 15 6" xfId="5195" xr:uid="{00000000-0005-0000-0000-000032300000}"/>
    <cellStyle name="40% - Accent3 15 6 2" xfId="16483" xr:uid="{00000000-0005-0000-0000-000033300000}"/>
    <cellStyle name="40% - Accent3 15 7" xfId="14489" xr:uid="{00000000-0005-0000-0000-000034300000}"/>
    <cellStyle name="40% - Accent3 15 8" xfId="13175" xr:uid="{00000000-0005-0000-0000-000035300000}"/>
    <cellStyle name="40% - Accent3 16" xfId="1240" xr:uid="{00000000-0005-0000-0000-000036300000}"/>
    <cellStyle name="40% - Accent3 16 2" xfId="4196" xr:uid="{00000000-0005-0000-0000-000037300000}"/>
    <cellStyle name="40% - Accent3 16 2 2" xfId="12175" xr:uid="{00000000-0005-0000-0000-000038300000}"/>
    <cellStyle name="40% - Accent3 16 2 2 2" xfId="23463" xr:uid="{00000000-0005-0000-0000-000039300000}"/>
    <cellStyle name="40% - Accent3 16 2 3" xfId="10181" xr:uid="{00000000-0005-0000-0000-00003A300000}"/>
    <cellStyle name="40% - Accent3 16 2 3 2" xfId="21469" xr:uid="{00000000-0005-0000-0000-00003B300000}"/>
    <cellStyle name="40% - Accent3 16 2 4" xfId="8187" xr:uid="{00000000-0005-0000-0000-00003C300000}"/>
    <cellStyle name="40% - Accent3 16 2 4 2" xfId="19475" xr:uid="{00000000-0005-0000-0000-00003D300000}"/>
    <cellStyle name="40% - Accent3 16 2 5" xfId="6193" xr:uid="{00000000-0005-0000-0000-00003E300000}"/>
    <cellStyle name="40% - Accent3 16 2 5 2" xfId="17481" xr:uid="{00000000-0005-0000-0000-00003F300000}"/>
    <cellStyle name="40% - Accent3 16 2 6" xfId="15487" xr:uid="{00000000-0005-0000-0000-000040300000}"/>
    <cellStyle name="40% - Accent3 16 3" xfId="11178" xr:uid="{00000000-0005-0000-0000-000041300000}"/>
    <cellStyle name="40% - Accent3 16 3 2" xfId="22466" xr:uid="{00000000-0005-0000-0000-000042300000}"/>
    <cellStyle name="40% - Accent3 16 4" xfId="9184" xr:uid="{00000000-0005-0000-0000-000043300000}"/>
    <cellStyle name="40% - Accent3 16 4 2" xfId="20472" xr:uid="{00000000-0005-0000-0000-000044300000}"/>
    <cellStyle name="40% - Accent3 16 5" xfId="7190" xr:uid="{00000000-0005-0000-0000-000045300000}"/>
    <cellStyle name="40% - Accent3 16 5 2" xfId="18478" xr:uid="{00000000-0005-0000-0000-000046300000}"/>
    <cellStyle name="40% - Accent3 16 6" xfId="5196" xr:uid="{00000000-0005-0000-0000-000047300000}"/>
    <cellStyle name="40% - Accent3 16 6 2" xfId="16484" xr:uid="{00000000-0005-0000-0000-000048300000}"/>
    <cellStyle name="40% - Accent3 16 7" xfId="14490" xr:uid="{00000000-0005-0000-0000-000049300000}"/>
    <cellStyle name="40% - Accent3 16 8" xfId="13176" xr:uid="{00000000-0005-0000-0000-00004A300000}"/>
    <cellStyle name="40% - Accent3 17" xfId="1241" xr:uid="{00000000-0005-0000-0000-00004B300000}"/>
    <cellStyle name="40% - Accent3 17 2" xfId="4197" xr:uid="{00000000-0005-0000-0000-00004C300000}"/>
    <cellStyle name="40% - Accent3 17 2 2" xfId="12176" xr:uid="{00000000-0005-0000-0000-00004D300000}"/>
    <cellStyle name="40% - Accent3 17 2 2 2" xfId="23464" xr:uid="{00000000-0005-0000-0000-00004E300000}"/>
    <cellStyle name="40% - Accent3 17 2 3" xfId="10182" xr:uid="{00000000-0005-0000-0000-00004F300000}"/>
    <cellStyle name="40% - Accent3 17 2 3 2" xfId="21470" xr:uid="{00000000-0005-0000-0000-000050300000}"/>
    <cellStyle name="40% - Accent3 17 2 4" xfId="8188" xr:uid="{00000000-0005-0000-0000-000051300000}"/>
    <cellStyle name="40% - Accent3 17 2 4 2" xfId="19476" xr:uid="{00000000-0005-0000-0000-000052300000}"/>
    <cellStyle name="40% - Accent3 17 2 5" xfId="6194" xr:uid="{00000000-0005-0000-0000-000053300000}"/>
    <cellStyle name="40% - Accent3 17 2 5 2" xfId="17482" xr:uid="{00000000-0005-0000-0000-000054300000}"/>
    <cellStyle name="40% - Accent3 17 2 6" xfId="15488" xr:uid="{00000000-0005-0000-0000-000055300000}"/>
    <cellStyle name="40% - Accent3 17 3" xfId="11179" xr:uid="{00000000-0005-0000-0000-000056300000}"/>
    <cellStyle name="40% - Accent3 17 3 2" xfId="22467" xr:uid="{00000000-0005-0000-0000-000057300000}"/>
    <cellStyle name="40% - Accent3 17 4" xfId="9185" xr:uid="{00000000-0005-0000-0000-000058300000}"/>
    <cellStyle name="40% - Accent3 17 4 2" xfId="20473" xr:uid="{00000000-0005-0000-0000-000059300000}"/>
    <cellStyle name="40% - Accent3 17 5" xfId="7191" xr:uid="{00000000-0005-0000-0000-00005A300000}"/>
    <cellStyle name="40% - Accent3 17 5 2" xfId="18479" xr:uid="{00000000-0005-0000-0000-00005B300000}"/>
    <cellStyle name="40% - Accent3 17 6" xfId="5197" xr:uid="{00000000-0005-0000-0000-00005C300000}"/>
    <cellStyle name="40% - Accent3 17 6 2" xfId="16485" xr:uid="{00000000-0005-0000-0000-00005D300000}"/>
    <cellStyle name="40% - Accent3 17 7" xfId="14491" xr:uid="{00000000-0005-0000-0000-00005E300000}"/>
    <cellStyle name="40% - Accent3 17 8" xfId="13177" xr:uid="{00000000-0005-0000-0000-00005F300000}"/>
    <cellStyle name="40% - Accent3 18" xfId="1242" xr:uid="{00000000-0005-0000-0000-000060300000}"/>
    <cellStyle name="40% - Accent3 18 2" xfId="4198" xr:uid="{00000000-0005-0000-0000-000061300000}"/>
    <cellStyle name="40% - Accent3 18 2 2" xfId="12177" xr:uid="{00000000-0005-0000-0000-000062300000}"/>
    <cellStyle name="40% - Accent3 18 2 2 2" xfId="23465" xr:uid="{00000000-0005-0000-0000-000063300000}"/>
    <cellStyle name="40% - Accent3 18 2 3" xfId="10183" xr:uid="{00000000-0005-0000-0000-000064300000}"/>
    <cellStyle name="40% - Accent3 18 2 3 2" xfId="21471" xr:uid="{00000000-0005-0000-0000-000065300000}"/>
    <cellStyle name="40% - Accent3 18 2 4" xfId="8189" xr:uid="{00000000-0005-0000-0000-000066300000}"/>
    <cellStyle name="40% - Accent3 18 2 4 2" xfId="19477" xr:uid="{00000000-0005-0000-0000-000067300000}"/>
    <cellStyle name="40% - Accent3 18 2 5" xfId="6195" xr:uid="{00000000-0005-0000-0000-000068300000}"/>
    <cellStyle name="40% - Accent3 18 2 5 2" xfId="17483" xr:uid="{00000000-0005-0000-0000-000069300000}"/>
    <cellStyle name="40% - Accent3 18 2 6" xfId="15489" xr:uid="{00000000-0005-0000-0000-00006A300000}"/>
    <cellStyle name="40% - Accent3 18 3" xfId="11180" xr:uid="{00000000-0005-0000-0000-00006B300000}"/>
    <cellStyle name="40% - Accent3 18 3 2" xfId="22468" xr:uid="{00000000-0005-0000-0000-00006C300000}"/>
    <cellStyle name="40% - Accent3 18 4" xfId="9186" xr:uid="{00000000-0005-0000-0000-00006D300000}"/>
    <cellStyle name="40% - Accent3 18 4 2" xfId="20474" xr:uid="{00000000-0005-0000-0000-00006E300000}"/>
    <cellStyle name="40% - Accent3 18 5" xfId="7192" xr:uid="{00000000-0005-0000-0000-00006F300000}"/>
    <cellStyle name="40% - Accent3 18 5 2" xfId="18480" xr:uid="{00000000-0005-0000-0000-000070300000}"/>
    <cellStyle name="40% - Accent3 18 6" xfId="5198" xr:uid="{00000000-0005-0000-0000-000071300000}"/>
    <cellStyle name="40% - Accent3 18 6 2" xfId="16486" xr:uid="{00000000-0005-0000-0000-000072300000}"/>
    <cellStyle name="40% - Accent3 18 7" xfId="14492" xr:uid="{00000000-0005-0000-0000-000073300000}"/>
    <cellStyle name="40% - Accent3 18 8" xfId="13178" xr:uid="{00000000-0005-0000-0000-000074300000}"/>
    <cellStyle name="40% - Accent3 19" xfId="1243" xr:uid="{00000000-0005-0000-0000-000075300000}"/>
    <cellStyle name="40% - Accent3 19 2" xfId="4199" xr:uid="{00000000-0005-0000-0000-000076300000}"/>
    <cellStyle name="40% - Accent3 19 2 2" xfId="12178" xr:uid="{00000000-0005-0000-0000-000077300000}"/>
    <cellStyle name="40% - Accent3 19 2 2 2" xfId="23466" xr:uid="{00000000-0005-0000-0000-000078300000}"/>
    <cellStyle name="40% - Accent3 19 2 3" xfId="10184" xr:uid="{00000000-0005-0000-0000-000079300000}"/>
    <cellStyle name="40% - Accent3 19 2 3 2" xfId="21472" xr:uid="{00000000-0005-0000-0000-00007A300000}"/>
    <cellStyle name="40% - Accent3 19 2 4" xfId="8190" xr:uid="{00000000-0005-0000-0000-00007B300000}"/>
    <cellStyle name="40% - Accent3 19 2 4 2" xfId="19478" xr:uid="{00000000-0005-0000-0000-00007C300000}"/>
    <cellStyle name="40% - Accent3 19 2 5" xfId="6196" xr:uid="{00000000-0005-0000-0000-00007D300000}"/>
    <cellStyle name="40% - Accent3 19 2 5 2" xfId="17484" xr:uid="{00000000-0005-0000-0000-00007E300000}"/>
    <cellStyle name="40% - Accent3 19 2 6" xfId="15490" xr:uid="{00000000-0005-0000-0000-00007F300000}"/>
    <cellStyle name="40% - Accent3 19 3" xfId="11181" xr:uid="{00000000-0005-0000-0000-000080300000}"/>
    <cellStyle name="40% - Accent3 19 3 2" xfId="22469" xr:uid="{00000000-0005-0000-0000-000081300000}"/>
    <cellStyle name="40% - Accent3 19 4" xfId="9187" xr:uid="{00000000-0005-0000-0000-000082300000}"/>
    <cellStyle name="40% - Accent3 19 4 2" xfId="20475" xr:uid="{00000000-0005-0000-0000-000083300000}"/>
    <cellStyle name="40% - Accent3 19 5" xfId="7193" xr:uid="{00000000-0005-0000-0000-000084300000}"/>
    <cellStyle name="40% - Accent3 19 5 2" xfId="18481" xr:uid="{00000000-0005-0000-0000-000085300000}"/>
    <cellStyle name="40% - Accent3 19 6" xfId="5199" xr:uid="{00000000-0005-0000-0000-000086300000}"/>
    <cellStyle name="40% - Accent3 19 6 2" xfId="16487" xr:uid="{00000000-0005-0000-0000-000087300000}"/>
    <cellStyle name="40% - Accent3 19 7" xfId="14493" xr:uid="{00000000-0005-0000-0000-000088300000}"/>
    <cellStyle name="40% - Accent3 19 8" xfId="13179" xr:uid="{00000000-0005-0000-0000-000089300000}"/>
    <cellStyle name="40% - Accent3 2" xfId="1244" xr:uid="{00000000-0005-0000-0000-00008A300000}"/>
    <cellStyle name="40% - Accent3 2 10" xfId="24607" xr:uid="{00000000-0005-0000-0000-00008B300000}"/>
    <cellStyle name="40% - Accent3 2 11" xfId="24997" xr:uid="{00000000-0005-0000-0000-00008C300000}"/>
    <cellStyle name="40% - Accent3 2 2" xfId="4200" xr:uid="{00000000-0005-0000-0000-00008D300000}"/>
    <cellStyle name="40% - Accent3 2 2 2" xfId="12179" xr:uid="{00000000-0005-0000-0000-00008E300000}"/>
    <cellStyle name="40% - Accent3 2 2 2 2" xfId="23467" xr:uid="{00000000-0005-0000-0000-00008F300000}"/>
    <cellStyle name="40% - Accent3 2 2 3" xfId="10185" xr:uid="{00000000-0005-0000-0000-000090300000}"/>
    <cellStyle name="40% - Accent3 2 2 3 2" xfId="21473" xr:uid="{00000000-0005-0000-0000-000091300000}"/>
    <cellStyle name="40% - Accent3 2 2 4" xfId="8191" xr:uid="{00000000-0005-0000-0000-000092300000}"/>
    <cellStyle name="40% - Accent3 2 2 4 2" xfId="19479" xr:uid="{00000000-0005-0000-0000-000093300000}"/>
    <cellStyle name="40% - Accent3 2 2 5" xfId="6197" xr:uid="{00000000-0005-0000-0000-000094300000}"/>
    <cellStyle name="40% - Accent3 2 2 5 2" xfId="17485" xr:uid="{00000000-0005-0000-0000-000095300000}"/>
    <cellStyle name="40% - Accent3 2 2 6" xfId="15491" xr:uid="{00000000-0005-0000-0000-000096300000}"/>
    <cellStyle name="40% - Accent3 2 2 7" xfId="24368" xr:uid="{00000000-0005-0000-0000-000097300000}"/>
    <cellStyle name="40% - Accent3 2 2 8" xfId="24832" xr:uid="{00000000-0005-0000-0000-000098300000}"/>
    <cellStyle name="40% - Accent3 2 2 9" xfId="25199" xr:uid="{00000000-0005-0000-0000-000099300000}"/>
    <cellStyle name="40% - Accent3 2 3" xfId="11182" xr:uid="{00000000-0005-0000-0000-00009A300000}"/>
    <cellStyle name="40% - Accent3 2 3 2" xfId="22470" xr:uid="{00000000-0005-0000-0000-00009B300000}"/>
    <cellStyle name="40% - Accent3 2 4" xfId="9188" xr:uid="{00000000-0005-0000-0000-00009C300000}"/>
    <cellStyle name="40% - Accent3 2 4 2" xfId="20476" xr:uid="{00000000-0005-0000-0000-00009D300000}"/>
    <cellStyle name="40% - Accent3 2 5" xfId="7194" xr:uid="{00000000-0005-0000-0000-00009E300000}"/>
    <cellStyle name="40% - Accent3 2 5 2" xfId="18482" xr:uid="{00000000-0005-0000-0000-00009F300000}"/>
    <cellStyle name="40% - Accent3 2 6" xfId="5200" xr:uid="{00000000-0005-0000-0000-0000A0300000}"/>
    <cellStyle name="40% - Accent3 2 6 2" xfId="16488" xr:uid="{00000000-0005-0000-0000-0000A1300000}"/>
    <cellStyle name="40% - Accent3 2 7" xfId="14494" xr:uid="{00000000-0005-0000-0000-0000A2300000}"/>
    <cellStyle name="40% - Accent3 2 8" xfId="13180" xr:uid="{00000000-0005-0000-0000-0000A3300000}"/>
    <cellStyle name="40% - Accent3 2 9" xfId="23980" xr:uid="{00000000-0005-0000-0000-0000A4300000}"/>
    <cellStyle name="40% - Accent3 20" xfId="1245" xr:uid="{00000000-0005-0000-0000-0000A5300000}"/>
    <cellStyle name="40% - Accent3 20 2" xfId="4201" xr:uid="{00000000-0005-0000-0000-0000A6300000}"/>
    <cellStyle name="40% - Accent3 20 2 2" xfId="12180" xr:uid="{00000000-0005-0000-0000-0000A7300000}"/>
    <cellStyle name="40% - Accent3 20 2 2 2" xfId="23468" xr:uid="{00000000-0005-0000-0000-0000A8300000}"/>
    <cellStyle name="40% - Accent3 20 2 3" xfId="10186" xr:uid="{00000000-0005-0000-0000-0000A9300000}"/>
    <cellStyle name="40% - Accent3 20 2 3 2" xfId="21474" xr:uid="{00000000-0005-0000-0000-0000AA300000}"/>
    <cellStyle name="40% - Accent3 20 2 4" xfId="8192" xr:uid="{00000000-0005-0000-0000-0000AB300000}"/>
    <cellStyle name="40% - Accent3 20 2 4 2" xfId="19480" xr:uid="{00000000-0005-0000-0000-0000AC300000}"/>
    <cellStyle name="40% - Accent3 20 2 5" xfId="6198" xr:uid="{00000000-0005-0000-0000-0000AD300000}"/>
    <cellStyle name="40% - Accent3 20 2 5 2" xfId="17486" xr:uid="{00000000-0005-0000-0000-0000AE300000}"/>
    <cellStyle name="40% - Accent3 20 2 6" xfId="15492" xr:uid="{00000000-0005-0000-0000-0000AF300000}"/>
    <cellStyle name="40% - Accent3 20 3" xfId="11183" xr:uid="{00000000-0005-0000-0000-0000B0300000}"/>
    <cellStyle name="40% - Accent3 20 3 2" xfId="22471" xr:uid="{00000000-0005-0000-0000-0000B1300000}"/>
    <cellStyle name="40% - Accent3 20 4" xfId="9189" xr:uid="{00000000-0005-0000-0000-0000B2300000}"/>
    <cellStyle name="40% - Accent3 20 4 2" xfId="20477" xr:uid="{00000000-0005-0000-0000-0000B3300000}"/>
    <cellStyle name="40% - Accent3 20 5" xfId="7195" xr:uid="{00000000-0005-0000-0000-0000B4300000}"/>
    <cellStyle name="40% - Accent3 20 5 2" xfId="18483" xr:uid="{00000000-0005-0000-0000-0000B5300000}"/>
    <cellStyle name="40% - Accent3 20 6" xfId="5201" xr:uid="{00000000-0005-0000-0000-0000B6300000}"/>
    <cellStyle name="40% - Accent3 20 6 2" xfId="16489" xr:uid="{00000000-0005-0000-0000-0000B7300000}"/>
    <cellStyle name="40% - Accent3 20 7" xfId="14495" xr:uid="{00000000-0005-0000-0000-0000B8300000}"/>
    <cellStyle name="40% - Accent3 20 8" xfId="13181" xr:uid="{00000000-0005-0000-0000-0000B9300000}"/>
    <cellStyle name="40% - Accent3 21" xfId="1246" xr:uid="{00000000-0005-0000-0000-0000BA300000}"/>
    <cellStyle name="40% - Accent3 21 2" xfId="4202" xr:uid="{00000000-0005-0000-0000-0000BB300000}"/>
    <cellStyle name="40% - Accent3 21 2 2" xfId="12181" xr:uid="{00000000-0005-0000-0000-0000BC300000}"/>
    <cellStyle name="40% - Accent3 21 2 2 2" xfId="23469" xr:uid="{00000000-0005-0000-0000-0000BD300000}"/>
    <cellStyle name="40% - Accent3 21 2 3" xfId="10187" xr:uid="{00000000-0005-0000-0000-0000BE300000}"/>
    <cellStyle name="40% - Accent3 21 2 3 2" xfId="21475" xr:uid="{00000000-0005-0000-0000-0000BF300000}"/>
    <cellStyle name="40% - Accent3 21 2 4" xfId="8193" xr:uid="{00000000-0005-0000-0000-0000C0300000}"/>
    <cellStyle name="40% - Accent3 21 2 4 2" xfId="19481" xr:uid="{00000000-0005-0000-0000-0000C1300000}"/>
    <cellStyle name="40% - Accent3 21 2 5" xfId="6199" xr:uid="{00000000-0005-0000-0000-0000C2300000}"/>
    <cellStyle name="40% - Accent3 21 2 5 2" xfId="17487" xr:uid="{00000000-0005-0000-0000-0000C3300000}"/>
    <cellStyle name="40% - Accent3 21 2 6" xfId="15493" xr:uid="{00000000-0005-0000-0000-0000C4300000}"/>
    <cellStyle name="40% - Accent3 21 3" xfId="11184" xr:uid="{00000000-0005-0000-0000-0000C5300000}"/>
    <cellStyle name="40% - Accent3 21 3 2" xfId="22472" xr:uid="{00000000-0005-0000-0000-0000C6300000}"/>
    <cellStyle name="40% - Accent3 21 4" xfId="9190" xr:uid="{00000000-0005-0000-0000-0000C7300000}"/>
    <cellStyle name="40% - Accent3 21 4 2" xfId="20478" xr:uid="{00000000-0005-0000-0000-0000C8300000}"/>
    <cellStyle name="40% - Accent3 21 5" xfId="7196" xr:uid="{00000000-0005-0000-0000-0000C9300000}"/>
    <cellStyle name="40% - Accent3 21 5 2" xfId="18484" xr:uid="{00000000-0005-0000-0000-0000CA300000}"/>
    <cellStyle name="40% - Accent3 21 6" xfId="5202" xr:uid="{00000000-0005-0000-0000-0000CB300000}"/>
    <cellStyle name="40% - Accent3 21 6 2" xfId="16490" xr:uid="{00000000-0005-0000-0000-0000CC300000}"/>
    <cellStyle name="40% - Accent3 21 7" xfId="14496" xr:uid="{00000000-0005-0000-0000-0000CD300000}"/>
    <cellStyle name="40% - Accent3 21 8" xfId="13182" xr:uid="{00000000-0005-0000-0000-0000CE300000}"/>
    <cellStyle name="40% - Accent3 22" xfId="1247" xr:uid="{00000000-0005-0000-0000-0000CF300000}"/>
    <cellStyle name="40% - Accent3 22 2" xfId="4203" xr:uid="{00000000-0005-0000-0000-0000D0300000}"/>
    <cellStyle name="40% - Accent3 22 2 2" xfId="12182" xr:uid="{00000000-0005-0000-0000-0000D1300000}"/>
    <cellStyle name="40% - Accent3 22 2 2 2" xfId="23470" xr:uid="{00000000-0005-0000-0000-0000D2300000}"/>
    <cellStyle name="40% - Accent3 22 2 3" xfId="10188" xr:uid="{00000000-0005-0000-0000-0000D3300000}"/>
    <cellStyle name="40% - Accent3 22 2 3 2" xfId="21476" xr:uid="{00000000-0005-0000-0000-0000D4300000}"/>
    <cellStyle name="40% - Accent3 22 2 4" xfId="8194" xr:uid="{00000000-0005-0000-0000-0000D5300000}"/>
    <cellStyle name="40% - Accent3 22 2 4 2" xfId="19482" xr:uid="{00000000-0005-0000-0000-0000D6300000}"/>
    <cellStyle name="40% - Accent3 22 2 5" xfId="6200" xr:uid="{00000000-0005-0000-0000-0000D7300000}"/>
    <cellStyle name="40% - Accent3 22 2 5 2" xfId="17488" xr:uid="{00000000-0005-0000-0000-0000D8300000}"/>
    <cellStyle name="40% - Accent3 22 2 6" xfId="15494" xr:uid="{00000000-0005-0000-0000-0000D9300000}"/>
    <cellStyle name="40% - Accent3 22 3" xfId="11185" xr:uid="{00000000-0005-0000-0000-0000DA300000}"/>
    <cellStyle name="40% - Accent3 22 3 2" xfId="22473" xr:uid="{00000000-0005-0000-0000-0000DB300000}"/>
    <cellStyle name="40% - Accent3 22 4" xfId="9191" xr:uid="{00000000-0005-0000-0000-0000DC300000}"/>
    <cellStyle name="40% - Accent3 22 4 2" xfId="20479" xr:uid="{00000000-0005-0000-0000-0000DD300000}"/>
    <cellStyle name="40% - Accent3 22 5" xfId="7197" xr:uid="{00000000-0005-0000-0000-0000DE300000}"/>
    <cellStyle name="40% - Accent3 22 5 2" xfId="18485" xr:uid="{00000000-0005-0000-0000-0000DF300000}"/>
    <cellStyle name="40% - Accent3 22 6" xfId="5203" xr:uid="{00000000-0005-0000-0000-0000E0300000}"/>
    <cellStyle name="40% - Accent3 22 6 2" xfId="16491" xr:uid="{00000000-0005-0000-0000-0000E1300000}"/>
    <cellStyle name="40% - Accent3 22 7" xfId="14497" xr:uid="{00000000-0005-0000-0000-0000E2300000}"/>
    <cellStyle name="40% - Accent3 22 8" xfId="13183" xr:uid="{00000000-0005-0000-0000-0000E3300000}"/>
    <cellStyle name="40% - Accent3 23" xfId="1248" xr:uid="{00000000-0005-0000-0000-0000E4300000}"/>
    <cellStyle name="40% - Accent3 23 2" xfId="4204" xr:uid="{00000000-0005-0000-0000-0000E5300000}"/>
    <cellStyle name="40% - Accent3 23 2 2" xfId="12183" xr:uid="{00000000-0005-0000-0000-0000E6300000}"/>
    <cellStyle name="40% - Accent3 23 2 2 2" xfId="23471" xr:uid="{00000000-0005-0000-0000-0000E7300000}"/>
    <cellStyle name="40% - Accent3 23 2 3" xfId="10189" xr:uid="{00000000-0005-0000-0000-0000E8300000}"/>
    <cellStyle name="40% - Accent3 23 2 3 2" xfId="21477" xr:uid="{00000000-0005-0000-0000-0000E9300000}"/>
    <cellStyle name="40% - Accent3 23 2 4" xfId="8195" xr:uid="{00000000-0005-0000-0000-0000EA300000}"/>
    <cellStyle name="40% - Accent3 23 2 4 2" xfId="19483" xr:uid="{00000000-0005-0000-0000-0000EB300000}"/>
    <cellStyle name="40% - Accent3 23 2 5" xfId="6201" xr:uid="{00000000-0005-0000-0000-0000EC300000}"/>
    <cellStyle name="40% - Accent3 23 2 5 2" xfId="17489" xr:uid="{00000000-0005-0000-0000-0000ED300000}"/>
    <cellStyle name="40% - Accent3 23 2 6" xfId="15495" xr:uid="{00000000-0005-0000-0000-0000EE300000}"/>
    <cellStyle name="40% - Accent3 23 3" xfId="11186" xr:uid="{00000000-0005-0000-0000-0000EF300000}"/>
    <cellStyle name="40% - Accent3 23 3 2" xfId="22474" xr:uid="{00000000-0005-0000-0000-0000F0300000}"/>
    <cellStyle name="40% - Accent3 23 4" xfId="9192" xr:uid="{00000000-0005-0000-0000-0000F1300000}"/>
    <cellStyle name="40% - Accent3 23 4 2" xfId="20480" xr:uid="{00000000-0005-0000-0000-0000F2300000}"/>
    <cellStyle name="40% - Accent3 23 5" xfId="7198" xr:uid="{00000000-0005-0000-0000-0000F3300000}"/>
    <cellStyle name="40% - Accent3 23 5 2" xfId="18486" xr:uid="{00000000-0005-0000-0000-0000F4300000}"/>
    <cellStyle name="40% - Accent3 23 6" xfId="5204" xr:uid="{00000000-0005-0000-0000-0000F5300000}"/>
    <cellStyle name="40% - Accent3 23 6 2" xfId="16492" xr:uid="{00000000-0005-0000-0000-0000F6300000}"/>
    <cellStyle name="40% - Accent3 23 7" xfId="14498" xr:uid="{00000000-0005-0000-0000-0000F7300000}"/>
    <cellStyle name="40% - Accent3 23 8" xfId="13184" xr:uid="{00000000-0005-0000-0000-0000F8300000}"/>
    <cellStyle name="40% - Accent3 24" xfId="1249" xr:uid="{00000000-0005-0000-0000-0000F9300000}"/>
    <cellStyle name="40% - Accent3 24 2" xfId="4205" xr:uid="{00000000-0005-0000-0000-0000FA300000}"/>
    <cellStyle name="40% - Accent3 24 2 2" xfId="12184" xr:uid="{00000000-0005-0000-0000-0000FB300000}"/>
    <cellStyle name="40% - Accent3 24 2 2 2" xfId="23472" xr:uid="{00000000-0005-0000-0000-0000FC300000}"/>
    <cellStyle name="40% - Accent3 24 2 3" xfId="10190" xr:uid="{00000000-0005-0000-0000-0000FD300000}"/>
    <cellStyle name="40% - Accent3 24 2 3 2" xfId="21478" xr:uid="{00000000-0005-0000-0000-0000FE300000}"/>
    <cellStyle name="40% - Accent3 24 2 4" xfId="8196" xr:uid="{00000000-0005-0000-0000-0000FF300000}"/>
    <cellStyle name="40% - Accent3 24 2 4 2" xfId="19484" xr:uid="{00000000-0005-0000-0000-000000310000}"/>
    <cellStyle name="40% - Accent3 24 2 5" xfId="6202" xr:uid="{00000000-0005-0000-0000-000001310000}"/>
    <cellStyle name="40% - Accent3 24 2 5 2" xfId="17490" xr:uid="{00000000-0005-0000-0000-000002310000}"/>
    <cellStyle name="40% - Accent3 24 2 6" xfId="15496" xr:uid="{00000000-0005-0000-0000-000003310000}"/>
    <cellStyle name="40% - Accent3 24 3" xfId="11187" xr:uid="{00000000-0005-0000-0000-000004310000}"/>
    <cellStyle name="40% - Accent3 24 3 2" xfId="22475" xr:uid="{00000000-0005-0000-0000-000005310000}"/>
    <cellStyle name="40% - Accent3 24 4" xfId="9193" xr:uid="{00000000-0005-0000-0000-000006310000}"/>
    <cellStyle name="40% - Accent3 24 4 2" xfId="20481" xr:uid="{00000000-0005-0000-0000-000007310000}"/>
    <cellStyle name="40% - Accent3 24 5" xfId="7199" xr:uid="{00000000-0005-0000-0000-000008310000}"/>
    <cellStyle name="40% - Accent3 24 5 2" xfId="18487" xr:uid="{00000000-0005-0000-0000-000009310000}"/>
    <cellStyle name="40% - Accent3 24 6" xfId="5205" xr:uid="{00000000-0005-0000-0000-00000A310000}"/>
    <cellStyle name="40% - Accent3 24 6 2" xfId="16493" xr:uid="{00000000-0005-0000-0000-00000B310000}"/>
    <cellStyle name="40% - Accent3 24 7" xfId="14499" xr:uid="{00000000-0005-0000-0000-00000C310000}"/>
    <cellStyle name="40% - Accent3 24 8" xfId="13185" xr:uid="{00000000-0005-0000-0000-00000D310000}"/>
    <cellStyle name="40% - Accent3 25" xfId="1250" xr:uid="{00000000-0005-0000-0000-00000E310000}"/>
    <cellStyle name="40% - Accent3 25 2" xfId="4206" xr:uid="{00000000-0005-0000-0000-00000F310000}"/>
    <cellStyle name="40% - Accent3 25 2 2" xfId="12185" xr:uid="{00000000-0005-0000-0000-000010310000}"/>
    <cellStyle name="40% - Accent3 25 2 2 2" xfId="23473" xr:uid="{00000000-0005-0000-0000-000011310000}"/>
    <cellStyle name="40% - Accent3 25 2 3" xfId="10191" xr:uid="{00000000-0005-0000-0000-000012310000}"/>
    <cellStyle name="40% - Accent3 25 2 3 2" xfId="21479" xr:uid="{00000000-0005-0000-0000-000013310000}"/>
    <cellStyle name="40% - Accent3 25 2 4" xfId="8197" xr:uid="{00000000-0005-0000-0000-000014310000}"/>
    <cellStyle name="40% - Accent3 25 2 4 2" xfId="19485" xr:uid="{00000000-0005-0000-0000-000015310000}"/>
    <cellStyle name="40% - Accent3 25 2 5" xfId="6203" xr:uid="{00000000-0005-0000-0000-000016310000}"/>
    <cellStyle name="40% - Accent3 25 2 5 2" xfId="17491" xr:uid="{00000000-0005-0000-0000-000017310000}"/>
    <cellStyle name="40% - Accent3 25 2 6" xfId="15497" xr:uid="{00000000-0005-0000-0000-000018310000}"/>
    <cellStyle name="40% - Accent3 25 3" xfId="11188" xr:uid="{00000000-0005-0000-0000-000019310000}"/>
    <cellStyle name="40% - Accent3 25 3 2" xfId="22476" xr:uid="{00000000-0005-0000-0000-00001A310000}"/>
    <cellStyle name="40% - Accent3 25 4" xfId="9194" xr:uid="{00000000-0005-0000-0000-00001B310000}"/>
    <cellStyle name="40% - Accent3 25 4 2" xfId="20482" xr:uid="{00000000-0005-0000-0000-00001C310000}"/>
    <cellStyle name="40% - Accent3 25 5" xfId="7200" xr:uid="{00000000-0005-0000-0000-00001D310000}"/>
    <cellStyle name="40% - Accent3 25 5 2" xfId="18488" xr:uid="{00000000-0005-0000-0000-00001E310000}"/>
    <cellStyle name="40% - Accent3 25 6" xfId="5206" xr:uid="{00000000-0005-0000-0000-00001F310000}"/>
    <cellStyle name="40% - Accent3 25 6 2" xfId="16494" xr:uid="{00000000-0005-0000-0000-000020310000}"/>
    <cellStyle name="40% - Accent3 25 7" xfId="14500" xr:uid="{00000000-0005-0000-0000-000021310000}"/>
    <cellStyle name="40% - Accent3 25 8" xfId="13186" xr:uid="{00000000-0005-0000-0000-000022310000}"/>
    <cellStyle name="40% - Accent3 26" xfId="1251" xr:uid="{00000000-0005-0000-0000-000023310000}"/>
    <cellStyle name="40% - Accent3 26 2" xfId="4207" xr:uid="{00000000-0005-0000-0000-000024310000}"/>
    <cellStyle name="40% - Accent3 26 2 2" xfId="12186" xr:uid="{00000000-0005-0000-0000-000025310000}"/>
    <cellStyle name="40% - Accent3 26 2 2 2" xfId="23474" xr:uid="{00000000-0005-0000-0000-000026310000}"/>
    <cellStyle name="40% - Accent3 26 2 3" xfId="10192" xr:uid="{00000000-0005-0000-0000-000027310000}"/>
    <cellStyle name="40% - Accent3 26 2 3 2" xfId="21480" xr:uid="{00000000-0005-0000-0000-000028310000}"/>
    <cellStyle name="40% - Accent3 26 2 4" xfId="8198" xr:uid="{00000000-0005-0000-0000-000029310000}"/>
    <cellStyle name="40% - Accent3 26 2 4 2" xfId="19486" xr:uid="{00000000-0005-0000-0000-00002A310000}"/>
    <cellStyle name="40% - Accent3 26 2 5" xfId="6204" xr:uid="{00000000-0005-0000-0000-00002B310000}"/>
    <cellStyle name="40% - Accent3 26 2 5 2" xfId="17492" xr:uid="{00000000-0005-0000-0000-00002C310000}"/>
    <cellStyle name="40% - Accent3 26 2 6" xfId="15498" xr:uid="{00000000-0005-0000-0000-00002D310000}"/>
    <cellStyle name="40% - Accent3 26 3" xfId="11189" xr:uid="{00000000-0005-0000-0000-00002E310000}"/>
    <cellStyle name="40% - Accent3 26 3 2" xfId="22477" xr:uid="{00000000-0005-0000-0000-00002F310000}"/>
    <cellStyle name="40% - Accent3 26 4" xfId="9195" xr:uid="{00000000-0005-0000-0000-000030310000}"/>
    <cellStyle name="40% - Accent3 26 4 2" xfId="20483" xr:uid="{00000000-0005-0000-0000-000031310000}"/>
    <cellStyle name="40% - Accent3 26 5" xfId="7201" xr:uid="{00000000-0005-0000-0000-000032310000}"/>
    <cellStyle name="40% - Accent3 26 5 2" xfId="18489" xr:uid="{00000000-0005-0000-0000-000033310000}"/>
    <cellStyle name="40% - Accent3 26 6" xfId="5207" xr:uid="{00000000-0005-0000-0000-000034310000}"/>
    <cellStyle name="40% - Accent3 26 6 2" xfId="16495" xr:uid="{00000000-0005-0000-0000-000035310000}"/>
    <cellStyle name="40% - Accent3 26 7" xfId="14501" xr:uid="{00000000-0005-0000-0000-000036310000}"/>
    <cellStyle name="40% - Accent3 26 8" xfId="13187" xr:uid="{00000000-0005-0000-0000-000037310000}"/>
    <cellStyle name="40% - Accent3 27" xfId="1252" xr:uid="{00000000-0005-0000-0000-000038310000}"/>
    <cellStyle name="40% - Accent3 27 2" xfId="4208" xr:uid="{00000000-0005-0000-0000-000039310000}"/>
    <cellStyle name="40% - Accent3 27 2 2" xfId="12187" xr:uid="{00000000-0005-0000-0000-00003A310000}"/>
    <cellStyle name="40% - Accent3 27 2 2 2" xfId="23475" xr:uid="{00000000-0005-0000-0000-00003B310000}"/>
    <cellStyle name="40% - Accent3 27 2 3" xfId="10193" xr:uid="{00000000-0005-0000-0000-00003C310000}"/>
    <cellStyle name="40% - Accent3 27 2 3 2" xfId="21481" xr:uid="{00000000-0005-0000-0000-00003D310000}"/>
    <cellStyle name="40% - Accent3 27 2 4" xfId="8199" xr:uid="{00000000-0005-0000-0000-00003E310000}"/>
    <cellStyle name="40% - Accent3 27 2 4 2" xfId="19487" xr:uid="{00000000-0005-0000-0000-00003F310000}"/>
    <cellStyle name="40% - Accent3 27 2 5" xfId="6205" xr:uid="{00000000-0005-0000-0000-000040310000}"/>
    <cellStyle name="40% - Accent3 27 2 5 2" xfId="17493" xr:uid="{00000000-0005-0000-0000-000041310000}"/>
    <cellStyle name="40% - Accent3 27 2 6" xfId="15499" xr:uid="{00000000-0005-0000-0000-000042310000}"/>
    <cellStyle name="40% - Accent3 27 3" xfId="11190" xr:uid="{00000000-0005-0000-0000-000043310000}"/>
    <cellStyle name="40% - Accent3 27 3 2" xfId="22478" xr:uid="{00000000-0005-0000-0000-000044310000}"/>
    <cellStyle name="40% - Accent3 27 4" xfId="9196" xr:uid="{00000000-0005-0000-0000-000045310000}"/>
    <cellStyle name="40% - Accent3 27 4 2" xfId="20484" xr:uid="{00000000-0005-0000-0000-000046310000}"/>
    <cellStyle name="40% - Accent3 27 5" xfId="7202" xr:uid="{00000000-0005-0000-0000-000047310000}"/>
    <cellStyle name="40% - Accent3 27 5 2" xfId="18490" xr:uid="{00000000-0005-0000-0000-000048310000}"/>
    <cellStyle name="40% - Accent3 27 6" xfId="5208" xr:uid="{00000000-0005-0000-0000-000049310000}"/>
    <cellStyle name="40% - Accent3 27 6 2" xfId="16496" xr:uid="{00000000-0005-0000-0000-00004A310000}"/>
    <cellStyle name="40% - Accent3 27 7" xfId="14502" xr:uid="{00000000-0005-0000-0000-00004B310000}"/>
    <cellStyle name="40% - Accent3 27 8" xfId="13188" xr:uid="{00000000-0005-0000-0000-00004C310000}"/>
    <cellStyle name="40% - Accent3 28" xfId="1253" xr:uid="{00000000-0005-0000-0000-00004D310000}"/>
    <cellStyle name="40% - Accent3 28 2" xfId="4209" xr:uid="{00000000-0005-0000-0000-00004E310000}"/>
    <cellStyle name="40% - Accent3 28 2 2" xfId="12188" xr:uid="{00000000-0005-0000-0000-00004F310000}"/>
    <cellStyle name="40% - Accent3 28 2 2 2" xfId="23476" xr:uid="{00000000-0005-0000-0000-000050310000}"/>
    <cellStyle name="40% - Accent3 28 2 3" xfId="10194" xr:uid="{00000000-0005-0000-0000-000051310000}"/>
    <cellStyle name="40% - Accent3 28 2 3 2" xfId="21482" xr:uid="{00000000-0005-0000-0000-000052310000}"/>
    <cellStyle name="40% - Accent3 28 2 4" xfId="8200" xr:uid="{00000000-0005-0000-0000-000053310000}"/>
    <cellStyle name="40% - Accent3 28 2 4 2" xfId="19488" xr:uid="{00000000-0005-0000-0000-000054310000}"/>
    <cellStyle name="40% - Accent3 28 2 5" xfId="6206" xr:uid="{00000000-0005-0000-0000-000055310000}"/>
    <cellStyle name="40% - Accent3 28 2 5 2" xfId="17494" xr:uid="{00000000-0005-0000-0000-000056310000}"/>
    <cellStyle name="40% - Accent3 28 2 6" xfId="15500" xr:uid="{00000000-0005-0000-0000-000057310000}"/>
    <cellStyle name="40% - Accent3 28 3" xfId="11191" xr:uid="{00000000-0005-0000-0000-000058310000}"/>
    <cellStyle name="40% - Accent3 28 3 2" xfId="22479" xr:uid="{00000000-0005-0000-0000-000059310000}"/>
    <cellStyle name="40% - Accent3 28 4" xfId="9197" xr:uid="{00000000-0005-0000-0000-00005A310000}"/>
    <cellStyle name="40% - Accent3 28 4 2" xfId="20485" xr:uid="{00000000-0005-0000-0000-00005B310000}"/>
    <cellStyle name="40% - Accent3 28 5" xfId="7203" xr:uid="{00000000-0005-0000-0000-00005C310000}"/>
    <cellStyle name="40% - Accent3 28 5 2" xfId="18491" xr:uid="{00000000-0005-0000-0000-00005D310000}"/>
    <cellStyle name="40% - Accent3 28 6" xfId="5209" xr:uid="{00000000-0005-0000-0000-00005E310000}"/>
    <cellStyle name="40% - Accent3 28 6 2" xfId="16497" xr:uid="{00000000-0005-0000-0000-00005F310000}"/>
    <cellStyle name="40% - Accent3 28 7" xfId="14503" xr:uid="{00000000-0005-0000-0000-000060310000}"/>
    <cellStyle name="40% - Accent3 28 8" xfId="13189" xr:uid="{00000000-0005-0000-0000-000061310000}"/>
    <cellStyle name="40% - Accent3 29" xfId="1254" xr:uid="{00000000-0005-0000-0000-000062310000}"/>
    <cellStyle name="40% - Accent3 29 2" xfId="4210" xr:uid="{00000000-0005-0000-0000-000063310000}"/>
    <cellStyle name="40% - Accent3 29 2 2" xfId="12189" xr:uid="{00000000-0005-0000-0000-000064310000}"/>
    <cellStyle name="40% - Accent3 29 2 2 2" xfId="23477" xr:uid="{00000000-0005-0000-0000-000065310000}"/>
    <cellStyle name="40% - Accent3 29 2 3" xfId="10195" xr:uid="{00000000-0005-0000-0000-000066310000}"/>
    <cellStyle name="40% - Accent3 29 2 3 2" xfId="21483" xr:uid="{00000000-0005-0000-0000-000067310000}"/>
    <cellStyle name="40% - Accent3 29 2 4" xfId="8201" xr:uid="{00000000-0005-0000-0000-000068310000}"/>
    <cellStyle name="40% - Accent3 29 2 4 2" xfId="19489" xr:uid="{00000000-0005-0000-0000-000069310000}"/>
    <cellStyle name="40% - Accent3 29 2 5" xfId="6207" xr:uid="{00000000-0005-0000-0000-00006A310000}"/>
    <cellStyle name="40% - Accent3 29 2 5 2" xfId="17495" xr:uid="{00000000-0005-0000-0000-00006B310000}"/>
    <cellStyle name="40% - Accent3 29 2 6" xfId="15501" xr:uid="{00000000-0005-0000-0000-00006C310000}"/>
    <cellStyle name="40% - Accent3 29 3" xfId="11192" xr:uid="{00000000-0005-0000-0000-00006D310000}"/>
    <cellStyle name="40% - Accent3 29 3 2" xfId="22480" xr:uid="{00000000-0005-0000-0000-00006E310000}"/>
    <cellStyle name="40% - Accent3 29 4" xfId="9198" xr:uid="{00000000-0005-0000-0000-00006F310000}"/>
    <cellStyle name="40% - Accent3 29 4 2" xfId="20486" xr:uid="{00000000-0005-0000-0000-000070310000}"/>
    <cellStyle name="40% - Accent3 29 5" xfId="7204" xr:uid="{00000000-0005-0000-0000-000071310000}"/>
    <cellStyle name="40% - Accent3 29 5 2" xfId="18492" xr:uid="{00000000-0005-0000-0000-000072310000}"/>
    <cellStyle name="40% - Accent3 29 6" xfId="5210" xr:uid="{00000000-0005-0000-0000-000073310000}"/>
    <cellStyle name="40% - Accent3 29 6 2" xfId="16498" xr:uid="{00000000-0005-0000-0000-000074310000}"/>
    <cellStyle name="40% - Accent3 29 7" xfId="14504" xr:uid="{00000000-0005-0000-0000-000075310000}"/>
    <cellStyle name="40% - Accent3 29 8" xfId="13190" xr:uid="{00000000-0005-0000-0000-000076310000}"/>
    <cellStyle name="40% - Accent3 3" xfId="1255" xr:uid="{00000000-0005-0000-0000-000077310000}"/>
    <cellStyle name="40% - Accent3 3 10" xfId="24608" xr:uid="{00000000-0005-0000-0000-000078310000}"/>
    <cellStyle name="40% - Accent3 3 11" xfId="24998" xr:uid="{00000000-0005-0000-0000-000079310000}"/>
    <cellStyle name="40% - Accent3 3 2" xfId="4211" xr:uid="{00000000-0005-0000-0000-00007A310000}"/>
    <cellStyle name="40% - Accent3 3 2 2" xfId="12190" xr:uid="{00000000-0005-0000-0000-00007B310000}"/>
    <cellStyle name="40% - Accent3 3 2 2 2" xfId="23478" xr:uid="{00000000-0005-0000-0000-00007C310000}"/>
    <cellStyle name="40% - Accent3 3 2 3" xfId="10196" xr:uid="{00000000-0005-0000-0000-00007D310000}"/>
    <cellStyle name="40% - Accent3 3 2 3 2" xfId="21484" xr:uid="{00000000-0005-0000-0000-00007E310000}"/>
    <cellStyle name="40% - Accent3 3 2 4" xfId="8202" xr:uid="{00000000-0005-0000-0000-00007F310000}"/>
    <cellStyle name="40% - Accent3 3 2 4 2" xfId="19490" xr:uid="{00000000-0005-0000-0000-000080310000}"/>
    <cellStyle name="40% - Accent3 3 2 5" xfId="6208" xr:uid="{00000000-0005-0000-0000-000081310000}"/>
    <cellStyle name="40% - Accent3 3 2 5 2" xfId="17496" xr:uid="{00000000-0005-0000-0000-000082310000}"/>
    <cellStyle name="40% - Accent3 3 2 6" xfId="15502" xr:uid="{00000000-0005-0000-0000-000083310000}"/>
    <cellStyle name="40% - Accent3 3 2 7" xfId="24369" xr:uid="{00000000-0005-0000-0000-000084310000}"/>
    <cellStyle name="40% - Accent3 3 2 8" xfId="24833" xr:uid="{00000000-0005-0000-0000-000085310000}"/>
    <cellStyle name="40% - Accent3 3 2 9" xfId="25200" xr:uid="{00000000-0005-0000-0000-000086310000}"/>
    <cellStyle name="40% - Accent3 3 3" xfId="11193" xr:uid="{00000000-0005-0000-0000-000087310000}"/>
    <cellStyle name="40% - Accent3 3 3 2" xfId="22481" xr:uid="{00000000-0005-0000-0000-000088310000}"/>
    <cellStyle name="40% - Accent3 3 4" xfId="9199" xr:uid="{00000000-0005-0000-0000-000089310000}"/>
    <cellStyle name="40% - Accent3 3 4 2" xfId="20487" xr:uid="{00000000-0005-0000-0000-00008A310000}"/>
    <cellStyle name="40% - Accent3 3 5" xfId="7205" xr:uid="{00000000-0005-0000-0000-00008B310000}"/>
    <cellStyle name="40% - Accent3 3 5 2" xfId="18493" xr:uid="{00000000-0005-0000-0000-00008C310000}"/>
    <cellStyle name="40% - Accent3 3 6" xfId="5211" xr:uid="{00000000-0005-0000-0000-00008D310000}"/>
    <cellStyle name="40% - Accent3 3 6 2" xfId="16499" xr:uid="{00000000-0005-0000-0000-00008E310000}"/>
    <cellStyle name="40% - Accent3 3 7" xfId="14505" xr:uid="{00000000-0005-0000-0000-00008F310000}"/>
    <cellStyle name="40% - Accent3 3 8" xfId="13191" xr:uid="{00000000-0005-0000-0000-000090310000}"/>
    <cellStyle name="40% - Accent3 3 9" xfId="23981" xr:uid="{00000000-0005-0000-0000-000091310000}"/>
    <cellStyle name="40% - Accent3 30" xfId="1256" xr:uid="{00000000-0005-0000-0000-000092310000}"/>
    <cellStyle name="40% - Accent3 30 2" xfId="4212" xr:uid="{00000000-0005-0000-0000-000093310000}"/>
    <cellStyle name="40% - Accent3 30 2 2" xfId="12191" xr:uid="{00000000-0005-0000-0000-000094310000}"/>
    <cellStyle name="40% - Accent3 30 2 2 2" xfId="23479" xr:uid="{00000000-0005-0000-0000-000095310000}"/>
    <cellStyle name="40% - Accent3 30 2 3" xfId="10197" xr:uid="{00000000-0005-0000-0000-000096310000}"/>
    <cellStyle name="40% - Accent3 30 2 3 2" xfId="21485" xr:uid="{00000000-0005-0000-0000-000097310000}"/>
    <cellStyle name="40% - Accent3 30 2 4" xfId="8203" xr:uid="{00000000-0005-0000-0000-000098310000}"/>
    <cellStyle name="40% - Accent3 30 2 4 2" xfId="19491" xr:uid="{00000000-0005-0000-0000-000099310000}"/>
    <cellStyle name="40% - Accent3 30 2 5" xfId="6209" xr:uid="{00000000-0005-0000-0000-00009A310000}"/>
    <cellStyle name="40% - Accent3 30 2 5 2" xfId="17497" xr:uid="{00000000-0005-0000-0000-00009B310000}"/>
    <cellStyle name="40% - Accent3 30 2 6" xfId="15503" xr:uid="{00000000-0005-0000-0000-00009C310000}"/>
    <cellStyle name="40% - Accent3 30 3" xfId="11194" xr:uid="{00000000-0005-0000-0000-00009D310000}"/>
    <cellStyle name="40% - Accent3 30 3 2" xfId="22482" xr:uid="{00000000-0005-0000-0000-00009E310000}"/>
    <cellStyle name="40% - Accent3 30 4" xfId="9200" xr:uid="{00000000-0005-0000-0000-00009F310000}"/>
    <cellStyle name="40% - Accent3 30 4 2" xfId="20488" xr:uid="{00000000-0005-0000-0000-0000A0310000}"/>
    <cellStyle name="40% - Accent3 30 5" xfId="7206" xr:uid="{00000000-0005-0000-0000-0000A1310000}"/>
    <cellStyle name="40% - Accent3 30 5 2" xfId="18494" xr:uid="{00000000-0005-0000-0000-0000A2310000}"/>
    <cellStyle name="40% - Accent3 30 6" xfId="5212" xr:uid="{00000000-0005-0000-0000-0000A3310000}"/>
    <cellStyle name="40% - Accent3 30 6 2" xfId="16500" xr:uid="{00000000-0005-0000-0000-0000A4310000}"/>
    <cellStyle name="40% - Accent3 30 7" xfId="14506" xr:uid="{00000000-0005-0000-0000-0000A5310000}"/>
    <cellStyle name="40% - Accent3 30 8" xfId="13192" xr:uid="{00000000-0005-0000-0000-0000A6310000}"/>
    <cellStyle name="40% - Accent3 31" xfId="1257" xr:uid="{00000000-0005-0000-0000-0000A7310000}"/>
    <cellStyle name="40% - Accent3 31 2" xfId="4213" xr:uid="{00000000-0005-0000-0000-0000A8310000}"/>
    <cellStyle name="40% - Accent3 31 2 2" xfId="12192" xr:uid="{00000000-0005-0000-0000-0000A9310000}"/>
    <cellStyle name="40% - Accent3 31 2 2 2" xfId="23480" xr:uid="{00000000-0005-0000-0000-0000AA310000}"/>
    <cellStyle name="40% - Accent3 31 2 3" xfId="10198" xr:uid="{00000000-0005-0000-0000-0000AB310000}"/>
    <cellStyle name="40% - Accent3 31 2 3 2" xfId="21486" xr:uid="{00000000-0005-0000-0000-0000AC310000}"/>
    <cellStyle name="40% - Accent3 31 2 4" xfId="8204" xr:uid="{00000000-0005-0000-0000-0000AD310000}"/>
    <cellStyle name="40% - Accent3 31 2 4 2" xfId="19492" xr:uid="{00000000-0005-0000-0000-0000AE310000}"/>
    <cellStyle name="40% - Accent3 31 2 5" xfId="6210" xr:uid="{00000000-0005-0000-0000-0000AF310000}"/>
    <cellStyle name="40% - Accent3 31 2 5 2" xfId="17498" xr:uid="{00000000-0005-0000-0000-0000B0310000}"/>
    <cellStyle name="40% - Accent3 31 2 6" xfId="15504" xr:uid="{00000000-0005-0000-0000-0000B1310000}"/>
    <cellStyle name="40% - Accent3 31 3" xfId="11195" xr:uid="{00000000-0005-0000-0000-0000B2310000}"/>
    <cellStyle name="40% - Accent3 31 3 2" xfId="22483" xr:uid="{00000000-0005-0000-0000-0000B3310000}"/>
    <cellStyle name="40% - Accent3 31 4" xfId="9201" xr:uid="{00000000-0005-0000-0000-0000B4310000}"/>
    <cellStyle name="40% - Accent3 31 4 2" xfId="20489" xr:uid="{00000000-0005-0000-0000-0000B5310000}"/>
    <cellStyle name="40% - Accent3 31 5" xfId="7207" xr:uid="{00000000-0005-0000-0000-0000B6310000}"/>
    <cellStyle name="40% - Accent3 31 5 2" xfId="18495" xr:uid="{00000000-0005-0000-0000-0000B7310000}"/>
    <cellStyle name="40% - Accent3 31 6" xfId="5213" xr:uid="{00000000-0005-0000-0000-0000B8310000}"/>
    <cellStyle name="40% - Accent3 31 6 2" xfId="16501" xr:uid="{00000000-0005-0000-0000-0000B9310000}"/>
    <cellStyle name="40% - Accent3 31 7" xfId="14507" xr:uid="{00000000-0005-0000-0000-0000BA310000}"/>
    <cellStyle name="40% - Accent3 31 8" xfId="13193" xr:uid="{00000000-0005-0000-0000-0000BB310000}"/>
    <cellStyle name="40% - Accent3 32" xfId="1258" xr:uid="{00000000-0005-0000-0000-0000BC310000}"/>
    <cellStyle name="40% - Accent3 32 2" xfId="4214" xr:uid="{00000000-0005-0000-0000-0000BD310000}"/>
    <cellStyle name="40% - Accent3 32 2 2" xfId="12193" xr:uid="{00000000-0005-0000-0000-0000BE310000}"/>
    <cellStyle name="40% - Accent3 32 2 2 2" xfId="23481" xr:uid="{00000000-0005-0000-0000-0000BF310000}"/>
    <cellStyle name="40% - Accent3 32 2 3" xfId="10199" xr:uid="{00000000-0005-0000-0000-0000C0310000}"/>
    <cellStyle name="40% - Accent3 32 2 3 2" xfId="21487" xr:uid="{00000000-0005-0000-0000-0000C1310000}"/>
    <cellStyle name="40% - Accent3 32 2 4" xfId="8205" xr:uid="{00000000-0005-0000-0000-0000C2310000}"/>
    <cellStyle name="40% - Accent3 32 2 4 2" xfId="19493" xr:uid="{00000000-0005-0000-0000-0000C3310000}"/>
    <cellStyle name="40% - Accent3 32 2 5" xfId="6211" xr:uid="{00000000-0005-0000-0000-0000C4310000}"/>
    <cellStyle name="40% - Accent3 32 2 5 2" xfId="17499" xr:uid="{00000000-0005-0000-0000-0000C5310000}"/>
    <cellStyle name="40% - Accent3 32 2 6" xfId="15505" xr:uid="{00000000-0005-0000-0000-0000C6310000}"/>
    <cellStyle name="40% - Accent3 32 3" xfId="11196" xr:uid="{00000000-0005-0000-0000-0000C7310000}"/>
    <cellStyle name="40% - Accent3 32 3 2" xfId="22484" xr:uid="{00000000-0005-0000-0000-0000C8310000}"/>
    <cellStyle name="40% - Accent3 32 4" xfId="9202" xr:uid="{00000000-0005-0000-0000-0000C9310000}"/>
    <cellStyle name="40% - Accent3 32 4 2" xfId="20490" xr:uid="{00000000-0005-0000-0000-0000CA310000}"/>
    <cellStyle name="40% - Accent3 32 5" xfId="7208" xr:uid="{00000000-0005-0000-0000-0000CB310000}"/>
    <cellStyle name="40% - Accent3 32 5 2" xfId="18496" xr:uid="{00000000-0005-0000-0000-0000CC310000}"/>
    <cellStyle name="40% - Accent3 32 6" xfId="5214" xr:uid="{00000000-0005-0000-0000-0000CD310000}"/>
    <cellStyle name="40% - Accent3 32 6 2" xfId="16502" xr:uid="{00000000-0005-0000-0000-0000CE310000}"/>
    <cellStyle name="40% - Accent3 32 7" xfId="14508" xr:uid="{00000000-0005-0000-0000-0000CF310000}"/>
    <cellStyle name="40% - Accent3 32 8" xfId="13194" xr:uid="{00000000-0005-0000-0000-0000D0310000}"/>
    <cellStyle name="40% - Accent3 33" xfId="1259" xr:uid="{00000000-0005-0000-0000-0000D1310000}"/>
    <cellStyle name="40% - Accent3 33 2" xfId="4215" xr:uid="{00000000-0005-0000-0000-0000D2310000}"/>
    <cellStyle name="40% - Accent3 33 2 2" xfId="12194" xr:uid="{00000000-0005-0000-0000-0000D3310000}"/>
    <cellStyle name="40% - Accent3 33 2 2 2" xfId="23482" xr:uid="{00000000-0005-0000-0000-0000D4310000}"/>
    <cellStyle name="40% - Accent3 33 2 3" xfId="10200" xr:uid="{00000000-0005-0000-0000-0000D5310000}"/>
    <cellStyle name="40% - Accent3 33 2 3 2" xfId="21488" xr:uid="{00000000-0005-0000-0000-0000D6310000}"/>
    <cellStyle name="40% - Accent3 33 2 4" xfId="8206" xr:uid="{00000000-0005-0000-0000-0000D7310000}"/>
    <cellStyle name="40% - Accent3 33 2 4 2" xfId="19494" xr:uid="{00000000-0005-0000-0000-0000D8310000}"/>
    <cellStyle name="40% - Accent3 33 2 5" xfId="6212" xr:uid="{00000000-0005-0000-0000-0000D9310000}"/>
    <cellStyle name="40% - Accent3 33 2 5 2" xfId="17500" xr:uid="{00000000-0005-0000-0000-0000DA310000}"/>
    <cellStyle name="40% - Accent3 33 2 6" xfId="15506" xr:uid="{00000000-0005-0000-0000-0000DB310000}"/>
    <cellStyle name="40% - Accent3 33 3" xfId="11197" xr:uid="{00000000-0005-0000-0000-0000DC310000}"/>
    <cellStyle name="40% - Accent3 33 3 2" xfId="22485" xr:uid="{00000000-0005-0000-0000-0000DD310000}"/>
    <cellStyle name="40% - Accent3 33 4" xfId="9203" xr:uid="{00000000-0005-0000-0000-0000DE310000}"/>
    <cellStyle name="40% - Accent3 33 4 2" xfId="20491" xr:uid="{00000000-0005-0000-0000-0000DF310000}"/>
    <cellStyle name="40% - Accent3 33 5" xfId="7209" xr:uid="{00000000-0005-0000-0000-0000E0310000}"/>
    <cellStyle name="40% - Accent3 33 5 2" xfId="18497" xr:uid="{00000000-0005-0000-0000-0000E1310000}"/>
    <cellStyle name="40% - Accent3 33 6" xfId="5215" xr:uid="{00000000-0005-0000-0000-0000E2310000}"/>
    <cellStyle name="40% - Accent3 33 6 2" xfId="16503" xr:uid="{00000000-0005-0000-0000-0000E3310000}"/>
    <cellStyle name="40% - Accent3 33 7" xfId="14509" xr:uid="{00000000-0005-0000-0000-0000E4310000}"/>
    <cellStyle name="40% - Accent3 33 8" xfId="13195" xr:uid="{00000000-0005-0000-0000-0000E5310000}"/>
    <cellStyle name="40% - Accent3 34" xfId="1260" xr:uid="{00000000-0005-0000-0000-0000E6310000}"/>
    <cellStyle name="40% - Accent3 34 2" xfId="4216" xr:uid="{00000000-0005-0000-0000-0000E7310000}"/>
    <cellStyle name="40% - Accent3 34 2 2" xfId="12195" xr:uid="{00000000-0005-0000-0000-0000E8310000}"/>
    <cellStyle name="40% - Accent3 34 2 2 2" xfId="23483" xr:uid="{00000000-0005-0000-0000-0000E9310000}"/>
    <cellStyle name="40% - Accent3 34 2 3" xfId="10201" xr:uid="{00000000-0005-0000-0000-0000EA310000}"/>
    <cellStyle name="40% - Accent3 34 2 3 2" xfId="21489" xr:uid="{00000000-0005-0000-0000-0000EB310000}"/>
    <cellStyle name="40% - Accent3 34 2 4" xfId="8207" xr:uid="{00000000-0005-0000-0000-0000EC310000}"/>
    <cellStyle name="40% - Accent3 34 2 4 2" xfId="19495" xr:uid="{00000000-0005-0000-0000-0000ED310000}"/>
    <cellStyle name="40% - Accent3 34 2 5" xfId="6213" xr:uid="{00000000-0005-0000-0000-0000EE310000}"/>
    <cellStyle name="40% - Accent3 34 2 5 2" xfId="17501" xr:uid="{00000000-0005-0000-0000-0000EF310000}"/>
    <cellStyle name="40% - Accent3 34 2 6" xfId="15507" xr:uid="{00000000-0005-0000-0000-0000F0310000}"/>
    <cellStyle name="40% - Accent3 34 3" xfId="11198" xr:uid="{00000000-0005-0000-0000-0000F1310000}"/>
    <cellStyle name="40% - Accent3 34 3 2" xfId="22486" xr:uid="{00000000-0005-0000-0000-0000F2310000}"/>
    <cellStyle name="40% - Accent3 34 4" xfId="9204" xr:uid="{00000000-0005-0000-0000-0000F3310000}"/>
    <cellStyle name="40% - Accent3 34 4 2" xfId="20492" xr:uid="{00000000-0005-0000-0000-0000F4310000}"/>
    <cellStyle name="40% - Accent3 34 5" xfId="7210" xr:uid="{00000000-0005-0000-0000-0000F5310000}"/>
    <cellStyle name="40% - Accent3 34 5 2" xfId="18498" xr:uid="{00000000-0005-0000-0000-0000F6310000}"/>
    <cellStyle name="40% - Accent3 34 6" xfId="5216" xr:uid="{00000000-0005-0000-0000-0000F7310000}"/>
    <cellStyle name="40% - Accent3 34 6 2" xfId="16504" xr:uid="{00000000-0005-0000-0000-0000F8310000}"/>
    <cellStyle name="40% - Accent3 34 7" xfId="14510" xr:uid="{00000000-0005-0000-0000-0000F9310000}"/>
    <cellStyle name="40% - Accent3 34 8" xfId="13196" xr:uid="{00000000-0005-0000-0000-0000FA310000}"/>
    <cellStyle name="40% - Accent3 35" xfId="1261" xr:uid="{00000000-0005-0000-0000-0000FB310000}"/>
    <cellStyle name="40% - Accent3 35 2" xfId="4217" xr:uid="{00000000-0005-0000-0000-0000FC310000}"/>
    <cellStyle name="40% - Accent3 35 2 2" xfId="12196" xr:uid="{00000000-0005-0000-0000-0000FD310000}"/>
    <cellStyle name="40% - Accent3 35 2 2 2" xfId="23484" xr:uid="{00000000-0005-0000-0000-0000FE310000}"/>
    <cellStyle name="40% - Accent3 35 2 3" xfId="10202" xr:uid="{00000000-0005-0000-0000-0000FF310000}"/>
    <cellStyle name="40% - Accent3 35 2 3 2" xfId="21490" xr:uid="{00000000-0005-0000-0000-000000320000}"/>
    <cellStyle name="40% - Accent3 35 2 4" xfId="8208" xr:uid="{00000000-0005-0000-0000-000001320000}"/>
    <cellStyle name="40% - Accent3 35 2 4 2" xfId="19496" xr:uid="{00000000-0005-0000-0000-000002320000}"/>
    <cellStyle name="40% - Accent3 35 2 5" xfId="6214" xr:uid="{00000000-0005-0000-0000-000003320000}"/>
    <cellStyle name="40% - Accent3 35 2 5 2" xfId="17502" xr:uid="{00000000-0005-0000-0000-000004320000}"/>
    <cellStyle name="40% - Accent3 35 2 6" xfId="15508" xr:uid="{00000000-0005-0000-0000-000005320000}"/>
    <cellStyle name="40% - Accent3 35 3" xfId="11199" xr:uid="{00000000-0005-0000-0000-000006320000}"/>
    <cellStyle name="40% - Accent3 35 3 2" xfId="22487" xr:uid="{00000000-0005-0000-0000-000007320000}"/>
    <cellStyle name="40% - Accent3 35 4" xfId="9205" xr:uid="{00000000-0005-0000-0000-000008320000}"/>
    <cellStyle name="40% - Accent3 35 4 2" xfId="20493" xr:uid="{00000000-0005-0000-0000-000009320000}"/>
    <cellStyle name="40% - Accent3 35 5" xfId="7211" xr:uid="{00000000-0005-0000-0000-00000A320000}"/>
    <cellStyle name="40% - Accent3 35 5 2" xfId="18499" xr:uid="{00000000-0005-0000-0000-00000B320000}"/>
    <cellStyle name="40% - Accent3 35 6" xfId="5217" xr:uid="{00000000-0005-0000-0000-00000C320000}"/>
    <cellStyle name="40% - Accent3 35 6 2" xfId="16505" xr:uid="{00000000-0005-0000-0000-00000D320000}"/>
    <cellStyle name="40% - Accent3 35 7" xfId="14511" xr:uid="{00000000-0005-0000-0000-00000E320000}"/>
    <cellStyle name="40% - Accent3 35 8" xfId="13197" xr:uid="{00000000-0005-0000-0000-00000F320000}"/>
    <cellStyle name="40% - Accent3 36" xfId="1262" xr:uid="{00000000-0005-0000-0000-000010320000}"/>
    <cellStyle name="40% - Accent3 36 2" xfId="4218" xr:uid="{00000000-0005-0000-0000-000011320000}"/>
    <cellStyle name="40% - Accent3 36 2 2" xfId="12197" xr:uid="{00000000-0005-0000-0000-000012320000}"/>
    <cellStyle name="40% - Accent3 36 2 2 2" xfId="23485" xr:uid="{00000000-0005-0000-0000-000013320000}"/>
    <cellStyle name="40% - Accent3 36 2 3" xfId="10203" xr:uid="{00000000-0005-0000-0000-000014320000}"/>
    <cellStyle name="40% - Accent3 36 2 3 2" xfId="21491" xr:uid="{00000000-0005-0000-0000-000015320000}"/>
    <cellStyle name="40% - Accent3 36 2 4" xfId="8209" xr:uid="{00000000-0005-0000-0000-000016320000}"/>
    <cellStyle name="40% - Accent3 36 2 4 2" xfId="19497" xr:uid="{00000000-0005-0000-0000-000017320000}"/>
    <cellStyle name="40% - Accent3 36 2 5" xfId="6215" xr:uid="{00000000-0005-0000-0000-000018320000}"/>
    <cellStyle name="40% - Accent3 36 2 5 2" xfId="17503" xr:uid="{00000000-0005-0000-0000-000019320000}"/>
    <cellStyle name="40% - Accent3 36 2 6" xfId="15509" xr:uid="{00000000-0005-0000-0000-00001A320000}"/>
    <cellStyle name="40% - Accent3 36 3" xfId="11200" xr:uid="{00000000-0005-0000-0000-00001B320000}"/>
    <cellStyle name="40% - Accent3 36 3 2" xfId="22488" xr:uid="{00000000-0005-0000-0000-00001C320000}"/>
    <cellStyle name="40% - Accent3 36 4" xfId="9206" xr:uid="{00000000-0005-0000-0000-00001D320000}"/>
    <cellStyle name="40% - Accent3 36 4 2" xfId="20494" xr:uid="{00000000-0005-0000-0000-00001E320000}"/>
    <cellStyle name="40% - Accent3 36 5" xfId="7212" xr:uid="{00000000-0005-0000-0000-00001F320000}"/>
    <cellStyle name="40% - Accent3 36 5 2" xfId="18500" xr:uid="{00000000-0005-0000-0000-000020320000}"/>
    <cellStyle name="40% - Accent3 36 6" xfId="5218" xr:uid="{00000000-0005-0000-0000-000021320000}"/>
    <cellStyle name="40% - Accent3 36 6 2" xfId="16506" xr:uid="{00000000-0005-0000-0000-000022320000}"/>
    <cellStyle name="40% - Accent3 36 7" xfId="14512" xr:uid="{00000000-0005-0000-0000-000023320000}"/>
    <cellStyle name="40% - Accent3 36 8" xfId="13198" xr:uid="{00000000-0005-0000-0000-000024320000}"/>
    <cellStyle name="40% - Accent3 37" xfId="1263" xr:uid="{00000000-0005-0000-0000-000025320000}"/>
    <cellStyle name="40% - Accent3 37 2" xfId="4219" xr:uid="{00000000-0005-0000-0000-000026320000}"/>
    <cellStyle name="40% - Accent3 37 2 2" xfId="12198" xr:uid="{00000000-0005-0000-0000-000027320000}"/>
    <cellStyle name="40% - Accent3 37 2 2 2" xfId="23486" xr:uid="{00000000-0005-0000-0000-000028320000}"/>
    <cellStyle name="40% - Accent3 37 2 3" xfId="10204" xr:uid="{00000000-0005-0000-0000-000029320000}"/>
    <cellStyle name="40% - Accent3 37 2 3 2" xfId="21492" xr:uid="{00000000-0005-0000-0000-00002A320000}"/>
    <cellStyle name="40% - Accent3 37 2 4" xfId="8210" xr:uid="{00000000-0005-0000-0000-00002B320000}"/>
    <cellStyle name="40% - Accent3 37 2 4 2" xfId="19498" xr:uid="{00000000-0005-0000-0000-00002C320000}"/>
    <cellStyle name="40% - Accent3 37 2 5" xfId="6216" xr:uid="{00000000-0005-0000-0000-00002D320000}"/>
    <cellStyle name="40% - Accent3 37 2 5 2" xfId="17504" xr:uid="{00000000-0005-0000-0000-00002E320000}"/>
    <cellStyle name="40% - Accent3 37 2 6" xfId="15510" xr:uid="{00000000-0005-0000-0000-00002F320000}"/>
    <cellStyle name="40% - Accent3 37 3" xfId="11201" xr:uid="{00000000-0005-0000-0000-000030320000}"/>
    <cellStyle name="40% - Accent3 37 3 2" xfId="22489" xr:uid="{00000000-0005-0000-0000-000031320000}"/>
    <cellStyle name="40% - Accent3 37 4" xfId="9207" xr:uid="{00000000-0005-0000-0000-000032320000}"/>
    <cellStyle name="40% - Accent3 37 4 2" xfId="20495" xr:uid="{00000000-0005-0000-0000-000033320000}"/>
    <cellStyle name="40% - Accent3 37 5" xfId="7213" xr:uid="{00000000-0005-0000-0000-000034320000}"/>
    <cellStyle name="40% - Accent3 37 5 2" xfId="18501" xr:uid="{00000000-0005-0000-0000-000035320000}"/>
    <cellStyle name="40% - Accent3 37 6" xfId="5219" xr:uid="{00000000-0005-0000-0000-000036320000}"/>
    <cellStyle name="40% - Accent3 37 6 2" xfId="16507" xr:uid="{00000000-0005-0000-0000-000037320000}"/>
    <cellStyle name="40% - Accent3 37 7" xfId="14513" xr:uid="{00000000-0005-0000-0000-000038320000}"/>
    <cellStyle name="40% - Accent3 37 8" xfId="13199" xr:uid="{00000000-0005-0000-0000-000039320000}"/>
    <cellStyle name="40% - Accent3 38" xfId="1264" xr:uid="{00000000-0005-0000-0000-00003A320000}"/>
    <cellStyle name="40% - Accent3 38 2" xfId="4220" xr:uid="{00000000-0005-0000-0000-00003B320000}"/>
    <cellStyle name="40% - Accent3 38 2 2" xfId="12199" xr:uid="{00000000-0005-0000-0000-00003C320000}"/>
    <cellStyle name="40% - Accent3 38 2 2 2" xfId="23487" xr:uid="{00000000-0005-0000-0000-00003D320000}"/>
    <cellStyle name="40% - Accent3 38 2 3" xfId="10205" xr:uid="{00000000-0005-0000-0000-00003E320000}"/>
    <cellStyle name="40% - Accent3 38 2 3 2" xfId="21493" xr:uid="{00000000-0005-0000-0000-00003F320000}"/>
    <cellStyle name="40% - Accent3 38 2 4" xfId="8211" xr:uid="{00000000-0005-0000-0000-000040320000}"/>
    <cellStyle name="40% - Accent3 38 2 4 2" xfId="19499" xr:uid="{00000000-0005-0000-0000-000041320000}"/>
    <cellStyle name="40% - Accent3 38 2 5" xfId="6217" xr:uid="{00000000-0005-0000-0000-000042320000}"/>
    <cellStyle name="40% - Accent3 38 2 5 2" xfId="17505" xr:uid="{00000000-0005-0000-0000-000043320000}"/>
    <cellStyle name="40% - Accent3 38 2 6" xfId="15511" xr:uid="{00000000-0005-0000-0000-000044320000}"/>
    <cellStyle name="40% - Accent3 38 3" xfId="11202" xr:uid="{00000000-0005-0000-0000-000045320000}"/>
    <cellStyle name="40% - Accent3 38 3 2" xfId="22490" xr:uid="{00000000-0005-0000-0000-000046320000}"/>
    <cellStyle name="40% - Accent3 38 4" xfId="9208" xr:uid="{00000000-0005-0000-0000-000047320000}"/>
    <cellStyle name="40% - Accent3 38 4 2" xfId="20496" xr:uid="{00000000-0005-0000-0000-000048320000}"/>
    <cellStyle name="40% - Accent3 38 5" xfId="7214" xr:uid="{00000000-0005-0000-0000-000049320000}"/>
    <cellStyle name="40% - Accent3 38 5 2" xfId="18502" xr:uid="{00000000-0005-0000-0000-00004A320000}"/>
    <cellStyle name="40% - Accent3 38 6" xfId="5220" xr:uid="{00000000-0005-0000-0000-00004B320000}"/>
    <cellStyle name="40% - Accent3 38 6 2" xfId="16508" xr:uid="{00000000-0005-0000-0000-00004C320000}"/>
    <cellStyle name="40% - Accent3 38 7" xfId="14514" xr:uid="{00000000-0005-0000-0000-00004D320000}"/>
    <cellStyle name="40% - Accent3 38 8" xfId="13200" xr:uid="{00000000-0005-0000-0000-00004E320000}"/>
    <cellStyle name="40% - Accent3 39" xfId="1265" xr:uid="{00000000-0005-0000-0000-00004F320000}"/>
    <cellStyle name="40% - Accent3 39 2" xfId="4221" xr:uid="{00000000-0005-0000-0000-000050320000}"/>
    <cellStyle name="40% - Accent3 39 2 2" xfId="12200" xr:uid="{00000000-0005-0000-0000-000051320000}"/>
    <cellStyle name="40% - Accent3 39 2 2 2" xfId="23488" xr:uid="{00000000-0005-0000-0000-000052320000}"/>
    <cellStyle name="40% - Accent3 39 2 3" xfId="10206" xr:uid="{00000000-0005-0000-0000-000053320000}"/>
    <cellStyle name="40% - Accent3 39 2 3 2" xfId="21494" xr:uid="{00000000-0005-0000-0000-000054320000}"/>
    <cellStyle name="40% - Accent3 39 2 4" xfId="8212" xr:uid="{00000000-0005-0000-0000-000055320000}"/>
    <cellStyle name="40% - Accent3 39 2 4 2" xfId="19500" xr:uid="{00000000-0005-0000-0000-000056320000}"/>
    <cellStyle name="40% - Accent3 39 2 5" xfId="6218" xr:uid="{00000000-0005-0000-0000-000057320000}"/>
    <cellStyle name="40% - Accent3 39 2 5 2" xfId="17506" xr:uid="{00000000-0005-0000-0000-000058320000}"/>
    <cellStyle name="40% - Accent3 39 2 6" xfId="15512" xr:uid="{00000000-0005-0000-0000-000059320000}"/>
    <cellStyle name="40% - Accent3 39 3" xfId="11203" xr:uid="{00000000-0005-0000-0000-00005A320000}"/>
    <cellStyle name="40% - Accent3 39 3 2" xfId="22491" xr:uid="{00000000-0005-0000-0000-00005B320000}"/>
    <cellStyle name="40% - Accent3 39 4" xfId="9209" xr:uid="{00000000-0005-0000-0000-00005C320000}"/>
    <cellStyle name="40% - Accent3 39 4 2" xfId="20497" xr:uid="{00000000-0005-0000-0000-00005D320000}"/>
    <cellStyle name="40% - Accent3 39 5" xfId="7215" xr:uid="{00000000-0005-0000-0000-00005E320000}"/>
    <cellStyle name="40% - Accent3 39 5 2" xfId="18503" xr:uid="{00000000-0005-0000-0000-00005F320000}"/>
    <cellStyle name="40% - Accent3 39 6" xfId="5221" xr:uid="{00000000-0005-0000-0000-000060320000}"/>
    <cellStyle name="40% - Accent3 39 6 2" xfId="16509" xr:uid="{00000000-0005-0000-0000-000061320000}"/>
    <cellStyle name="40% - Accent3 39 7" xfId="14515" xr:uid="{00000000-0005-0000-0000-000062320000}"/>
    <cellStyle name="40% - Accent3 39 8" xfId="13201" xr:uid="{00000000-0005-0000-0000-000063320000}"/>
    <cellStyle name="40% - Accent3 4" xfId="1266" xr:uid="{00000000-0005-0000-0000-000064320000}"/>
    <cellStyle name="40% - Accent3 4 10" xfId="24609" xr:uid="{00000000-0005-0000-0000-000065320000}"/>
    <cellStyle name="40% - Accent3 4 11" xfId="24999" xr:uid="{00000000-0005-0000-0000-000066320000}"/>
    <cellStyle name="40% - Accent3 4 2" xfId="4222" xr:uid="{00000000-0005-0000-0000-000067320000}"/>
    <cellStyle name="40% - Accent3 4 2 2" xfId="12201" xr:uid="{00000000-0005-0000-0000-000068320000}"/>
    <cellStyle name="40% - Accent3 4 2 2 2" xfId="23489" xr:uid="{00000000-0005-0000-0000-000069320000}"/>
    <cellStyle name="40% - Accent3 4 2 3" xfId="10207" xr:uid="{00000000-0005-0000-0000-00006A320000}"/>
    <cellStyle name="40% - Accent3 4 2 3 2" xfId="21495" xr:uid="{00000000-0005-0000-0000-00006B320000}"/>
    <cellStyle name="40% - Accent3 4 2 4" xfId="8213" xr:uid="{00000000-0005-0000-0000-00006C320000}"/>
    <cellStyle name="40% - Accent3 4 2 4 2" xfId="19501" xr:uid="{00000000-0005-0000-0000-00006D320000}"/>
    <cellStyle name="40% - Accent3 4 2 5" xfId="6219" xr:uid="{00000000-0005-0000-0000-00006E320000}"/>
    <cellStyle name="40% - Accent3 4 2 5 2" xfId="17507" xr:uid="{00000000-0005-0000-0000-00006F320000}"/>
    <cellStyle name="40% - Accent3 4 2 6" xfId="15513" xr:uid="{00000000-0005-0000-0000-000070320000}"/>
    <cellStyle name="40% - Accent3 4 2 7" xfId="24370" xr:uid="{00000000-0005-0000-0000-000071320000}"/>
    <cellStyle name="40% - Accent3 4 2 8" xfId="24834" xr:uid="{00000000-0005-0000-0000-000072320000}"/>
    <cellStyle name="40% - Accent3 4 2 9" xfId="25201" xr:uid="{00000000-0005-0000-0000-000073320000}"/>
    <cellStyle name="40% - Accent3 4 3" xfId="11204" xr:uid="{00000000-0005-0000-0000-000074320000}"/>
    <cellStyle name="40% - Accent3 4 3 2" xfId="22492" xr:uid="{00000000-0005-0000-0000-000075320000}"/>
    <cellStyle name="40% - Accent3 4 4" xfId="9210" xr:uid="{00000000-0005-0000-0000-000076320000}"/>
    <cellStyle name="40% - Accent3 4 4 2" xfId="20498" xr:uid="{00000000-0005-0000-0000-000077320000}"/>
    <cellStyle name="40% - Accent3 4 5" xfId="7216" xr:uid="{00000000-0005-0000-0000-000078320000}"/>
    <cellStyle name="40% - Accent3 4 5 2" xfId="18504" xr:uid="{00000000-0005-0000-0000-000079320000}"/>
    <cellStyle name="40% - Accent3 4 6" xfId="5222" xr:uid="{00000000-0005-0000-0000-00007A320000}"/>
    <cellStyle name="40% - Accent3 4 6 2" xfId="16510" xr:uid="{00000000-0005-0000-0000-00007B320000}"/>
    <cellStyle name="40% - Accent3 4 7" xfId="14516" xr:uid="{00000000-0005-0000-0000-00007C320000}"/>
    <cellStyle name="40% - Accent3 4 8" xfId="13202" xr:uid="{00000000-0005-0000-0000-00007D320000}"/>
    <cellStyle name="40% - Accent3 4 9" xfId="23982" xr:uid="{00000000-0005-0000-0000-00007E320000}"/>
    <cellStyle name="40% - Accent3 40" xfId="1267" xr:uid="{00000000-0005-0000-0000-00007F320000}"/>
    <cellStyle name="40% - Accent3 40 2" xfId="4223" xr:uid="{00000000-0005-0000-0000-000080320000}"/>
    <cellStyle name="40% - Accent3 40 2 2" xfId="12202" xr:uid="{00000000-0005-0000-0000-000081320000}"/>
    <cellStyle name="40% - Accent3 40 2 2 2" xfId="23490" xr:uid="{00000000-0005-0000-0000-000082320000}"/>
    <cellStyle name="40% - Accent3 40 2 3" xfId="10208" xr:uid="{00000000-0005-0000-0000-000083320000}"/>
    <cellStyle name="40% - Accent3 40 2 3 2" xfId="21496" xr:uid="{00000000-0005-0000-0000-000084320000}"/>
    <cellStyle name="40% - Accent3 40 2 4" xfId="8214" xr:uid="{00000000-0005-0000-0000-000085320000}"/>
    <cellStyle name="40% - Accent3 40 2 4 2" xfId="19502" xr:uid="{00000000-0005-0000-0000-000086320000}"/>
    <cellStyle name="40% - Accent3 40 2 5" xfId="6220" xr:uid="{00000000-0005-0000-0000-000087320000}"/>
    <cellStyle name="40% - Accent3 40 2 5 2" xfId="17508" xr:uid="{00000000-0005-0000-0000-000088320000}"/>
    <cellStyle name="40% - Accent3 40 2 6" xfId="15514" xr:uid="{00000000-0005-0000-0000-000089320000}"/>
    <cellStyle name="40% - Accent3 40 3" xfId="11205" xr:uid="{00000000-0005-0000-0000-00008A320000}"/>
    <cellStyle name="40% - Accent3 40 3 2" xfId="22493" xr:uid="{00000000-0005-0000-0000-00008B320000}"/>
    <cellStyle name="40% - Accent3 40 4" xfId="9211" xr:uid="{00000000-0005-0000-0000-00008C320000}"/>
    <cellStyle name="40% - Accent3 40 4 2" xfId="20499" xr:uid="{00000000-0005-0000-0000-00008D320000}"/>
    <cellStyle name="40% - Accent3 40 5" xfId="7217" xr:uid="{00000000-0005-0000-0000-00008E320000}"/>
    <cellStyle name="40% - Accent3 40 5 2" xfId="18505" xr:uid="{00000000-0005-0000-0000-00008F320000}"/>
    <cellStyle name="40% - Accent3 40 6" xfId="5223" xr:uid="{00000000-0005-0000-0000-000090320000}"/>
    <cellStyle name="40% - Accent3 40 6 2" xfId="16511" xr:uid="{00000000-0005-0000-0000-000091320000}"/>
    <cellStyle name="40% - Accent3 40 7" xfId="14517" xr:uid="{00000000-0005-0000-0000-000092320000}"/>
    <cellStyle name="40% - Accent3 40 8" xfId="13203" xr:uid="{00000000-0005-0000-0000-000093320000}"/>
    <cellStyle name="40% - Accent3 41" xfId="1268" xr:uid="{00000000-0005-0000-0000-000094320000}"/>
    <cellStyle name="40% - Accent3 41 2" xfId="4224" xr:uid="{00000000-0005-0000-0000-000095320000}"/>
    <cellStyle name="40% - Accent3 41 2 2" xfId="12203" xr:uid="{00000000-0005-0000-0000-000096320000}"/>
    <cellStyle name="40% - Accent3 41 2 2 2" xfId="23491" xr:uid="{00000000-0005-0000-0000-000097320000}"/>
    <cellStyle name="40% - Accent3 41 2 3" xfId="10209" xr:uid="{00000000-0005-0000-0000-000098320000}"/>
    <cellStyle name="40% - Accent3 41 2 3 2" xfId="21497" xr:uid="{00000000-0005-0000-0000-000099320000}"/>
    <cellStyle name="40% - Accent3 41 2 4" xfId="8215" xr:uid="{00000000-0005-0000-0000-00009A320000}"/>
    <cellStyle name="40% - Accent3 41 2 4 2" xfId="19503" xr:uid="{00000000-0005-0000-0000-00009B320000}"/>
    <cellStyle name="40% - Accent3 41 2 5" xfId="6221" xr:uid="{00000000-0005-0000-0000-00009C320000}"/>
    <cellStyle name="40% - Accent3 41 2 5 2" xfId="17509" xr:uid="{00000000-0005-0000-0000-00009D320000}"/>
    <cellStyle name="40% - Accent3 41 2 6" xfId="15515" xr:uid="{00000000-0005-0000-0000-00009E320000}"/>
    <cellStyle name="40% - Accent3 41 3" xfId="11206" xr:uid="{00000000-0005-0000-0000-00009F320000}"/>
    <cellStyle name="40% - Accent3 41 3 2" xfId="22494" xr:uid="{00000000-0005-0000-0000-0000A0320000}"/>
    <cellStyle name="40% - Accent3 41 4" xfId="9212" xr:uid="{00000000-0005-0000-0000-0000A1320000}"/>
    <cellStyle name="40% - Accent3 41 4 2" xfId="20500" xr:uid="{00000000-0005-0000-0000-0000A2320000}"/>
    <cellStyle name="40% - Accent3 41 5" xfId="7218" xr:uid="{00000000-0005-0000-0000-0000A3320000}"/>
    <cellStyle name="40% - Accent3 41 5 2" xfId="18506" xr:uid="{00000000-0005-0000-0000-0000A4320000}"/>
    <cellStyle name="40% - Accent3 41 6" xfId="5224" xr:uid="{00000000-0005-0000-0000-0000A5320000}"/>
    <cellStyle name="40% - Accent3 41 6 2" xfId="16512" xr:uid="{00000000-0005-0000-0000-0000A6320000}"/>
    <cellStyle name="40% - Accent3 41 7" xfId="14518" xr:uid="{00000000-0005-0000-0000-0000A7320000}"/>
    <cellStyle name="40% - Accent3 41 8" xfId="13204" xr:uid="{00000000-0005-0000-0000-0000A8320000}"/>
    <cellStyle name="40% - Accent3 42" xfId="1269" xr:uid="{00000000-0005-0000-0000-0000A9320000}"/>
    <cellStyle name="40% - Accent3 42 2" xfId="4225" xr:uid="{00000000-0005-0000-0000-0000AA320000}"/>
    <cellStyle name="40% - Accent3 42 2 2" xfId="12204" xr:uid="{00000000-0005-0000-0000-0000AB320000}"/>
    <cellStyle name="40% - Accent3 42 2 2 2" xfId="23492" xr:uid="{00000000-0005-0000-0000-0000AC320000}"/>
    <cellStyle name="40% - Accent3 42 2 3" xfId="10210" xr:uid="{00000000-0005-0000-0000-0000AD320000}"/>
    <cellStyle name="40% - Accent3 42 2 3 2" xfId="21498" xr:uid="{00000000-0005-0000-0000-0000AE320000}"/>
    <cellStyle name="40% - Accent3 42 2 4" xfId="8216" xr:uid="{00000000-0005-0000-0000-0000AF320000}"/>
    <cellStyle name="40% - Accent3 42 2 4 2" xfId="19504" xr:uid="{00000000-0005-0000-0000-0000B0320000}"/>
    <cellStyle name="40% - Accent3 42 2 5" xfId="6222" xr:uid="{00000000-0005-0000-0000-0000B1320000}"/>
    <cellStyle name="40% - Accent3 42 2 5 2" xfId="17510" xr:uid="{00000000-0005-0000-0000-0000B2320000}"/>
    <cellStyle name="40% - Accent3 42 2 6" xfId="15516" xr:uid="{00000000-0005-0000-0000-0000B3320000}"/>
    <cellStyle name="40% - Accent3 42 3" xfId="11207" xr:uid="{00000000-0005-0000-0000-0000B4320000}"/>
    <cellStyle name="40% - Accent3 42 3 2" xfId="22495" xr:uid="{00000000-0005-0000-0000-0000B5320000}"/>
    <cellStyle name="40% - Accent3 42 4" xfId="9213" xr:uid="{00000000-0005-0000-0000-0000B6320000}"/>
    <cellStyle name="40% - Accent3 42 4 2" xfId="20501" xr:uid="{00000000-0005-0000-0000-0000B7320000}"/>
    <cellStyle name="40% - Accent3 42 5" xfId="7219" xr:uid="{00000000-0005-0000-0000-0000B8320000}"/>
    <cellStyle name="40% - Accent3 42 5 2" xfId="18507" xr:uid="{00000000-0005-0000-0000-0000B9320000}"/>
    <cellStyle name="40% - Accent3 42 6" xfId="5225" xr:uid="{00000000-0005-0000-0000-0000BA320000}"/>
    <cellStyle name="40% - Accent3 42 6 2" xfId="16513" xr:uid="{00000000-0005-0000-0000-0000BB320000}"/>
    <cellStyle name="40% - Accent3 42 7" xfId="14519" xr:uid="{00000000-0005-0000-0000-0000BC320000}"/>
    <cellStyle name="40% - Accent3 42 8" xfId="13205" xr:uid="{00000000-0005-0000-0000-0000BD320000}"/>
    <cellStyle name="40% - Accent3 43" xfId="1270" xr:uid="{00000000-0005-0000-0000-0000BE320000}"/>
    <cellStyle name="40% - Accent3 43 2" xfId="4226" xr:uid="{00000000-0005-0000-0000-0000BF320000}"/>
    <cellStyle name="40% - Accent3 43 2 2" xfId="12205" xr:uid="{00000000-0005-0000-0000-0000C0320000}"/>
    <cellStyle name="40% - Accent3 43 2 2 2" xfId="23493" xr:uid="{00000000-0005-0000-0000-0000C1320000}"/>
    <cellStyle name="40% - Accent3 43 2 3" xfId="10211" xr:uid="{00000000-0005-0000-0000-0000C2320000}"/>
    <cellStyle name="40% - Accent3 43 2 3 2" xfId="21499" xr:uid="{00000000-0005-0000-0000-0000C3320000}"/>
    <cellStyle name="40% - Accent3 43 2 4" xfId="8217" xr:uid="{00000000-0005-0000-0000-0000C4320000}"/>
    <cellStyle name="40% - Accent3 43 2 4 2" xfId="19505" xr:uid="{00000000-0005-0000-0000-0000C5320000}"/>
    <cellStyle name="40% - Accent3 43 2 5" xfId="6223" xr:uid="{00000000-0005-0000-0000-0000C6320000}"/>
    <cellStyle name="40% - Accent3 43 2 5 2" xfId="17511" xr:uid="{00000000-0005-0000-0000-0000C7320000}"/>
    <cellStyle name="40% - Accent3 43 2 6" xfId="15517" xr:uid="{00000000-0005-0000-0000-0000C8320000}"/>
    <cellStyle name="40% - Accent3 43 3" xfId="11208" xr:uid="{00000000-0005-0000-0000-0000C9320000}"/>
    <cellStyle name="40% - Accent3 43 3 2" xfId="22496" xr:uid="{00000000-0005-0000-0000-0000CA320000}"/>
    <cellStyle name="40% - Accent3 43 4" xfId="9214" xr:uid="{00000000-0005-0000-0000-0000CB320000}"/>
    <cellStyle name="40% - Accent3 43 4 2" xfId="20502" xr:uid="{00000000-0005-0000-0000-0000CC320000}"/>
    <cellStyle name="40% - Accent3 43 5" xfId="7220" xr:uid="{00000000-0005-0000-0000-0000CD320000}"/>
    <cellStyle name="40% - Accent3 43 5 2" xfId="18508" xr:uid="{00000000-0005-0000-0000-0000CE320000}"/>
    <cellStyle name="40% - Accent3 43 6" xfId="5226" xr:uid="{00000000-0005-0000-0000-0000CF320000}"/>
    <cellStyle name="40% - Accent3 43 6 2" xfId="16514" xr:uid="{00000000-0005-0000-0000-0000D0320000}"/>
    <cellStyle name="40% - Accent3 43 7" xfId="14520" xr:uid="{00000000-0005-0000-0000-0000D1320000}"/>
    <cellStyle name="40% - Accent3 43 8" xfId="13206" xr:uid="{00000000-0005-0000-0000-0000D2320000}"/>
    <cellStyle name="40% - Accent3 44" xfId="1271" xr:uid="{00000000-0005-0000-0000-0000D3320000}"/>
    <cellStyle name="40% - Accent3 44 2" xfId="4227" xr:uid="{00000000-0005-0000-0000-0000D4320000}"/>
    <cellStyle name="40% - Accent3 44 2 2" xfId="12206" xr:uid="{00000000-0005-0000-0000-0000D5320000}"/>
    <cellStyle name="40% - Accent3 44 2 2 2" xfId="23494" xr:uid="{00000000-0005-0000-0000-0000D6320000}"/>
    <cellStyle name="40% - Accent3 44 2 3" xfId="10212" xr:uid="{00000000-0005-0000-0000-0000D7320000}"/>
    <cellStyle name="40% - Accent3 44 2 3 2" xfId="21500" xr:uid="{00000000-0005-0000-0000-0000D8320000}"/>
    <cellStyle name="40% - Accent3 44 2 4" xfId="8218" xr:uid="{00000000-0005-0000-0000-0000D9320000}"/>
    <cellStyle name="40% - Accent3 44 2 4 2" xfId="19506" xr:uid="{00000000-0005-0000-0000-0000DA320000}"/>
    <cellStyle name="40% - Accent3 44 2 5" xfId="6224" xr:uid="{00000000-0005-0000-0000-0000DB320000}"/>
    <cellStyle name="40% - Accent3 44 2 5 2" xfId="17512" xr:uid="{00000000-0005-0000-0000-0000DC320000}"/>
    <cellStyle name="40% - Accent3 44 2 6" xfId="15518" xr:uid="{00000000-0005-0000-0000-0000DD320000}"/>
    <cellStyle name="40% - Accent3 44 3" xfId="11209" xr:uid="{00000000-0005-0000-0000-0000DE320000}"/>
    <cellStyle name="40% - Accent3 44 3 2" xfId="22497" xr:uid="{00000000-0005-0000-0000-0000DF320000}"/>
    <cellStyle name="40% - Accent3 44 4" xfId="9215" xr:uid="{00000000-0005-0000-0000-0000E0320000}"/>
    <cellStyle name="40% - Accent3 44 4 2" xfId="20503" xr:uid="{00000000-0005-0000-0000-0000E1320000}"/>
    <cellStyle name="40% - Accent3 44 5" xfId="7221" xr:uid="{00000000-0005-0000-0000-0000E2320000}"/>
    <cellStyle name="40% - Accent3 44 5 2" xfId="18509" xr:uid="{00000000-0005-0000-0000-0000E3320000}"/>
    <cellStyle name="40% - Accent3 44 6" xfId="5227" xr:uid="{00000000-0005-0000-0000-0000E4320000}"/>
    <cellStyle name="40% - Accent3 44 6 2" xfId="16515" xr:uid="{00000000-0005-0000-0000-0000E5320000}"/>
    <cellStyle name="40% - Accent3 44 7" xfId="14521" xr:uid="{00000000-0005-0000-0000-0000E6320000}"/>
    <cellStyle name="40% - Accent3 44 8" xfId="13207" xr:uid="{00000000-0005-0000-0000-0000E7320000}"/>
    <cellStyle name="40% - Accent3 45" xfId="1272" xr:uid="{00000000-0005-0000-0000-0000E8320000}"/>
    <cellStyle name="40% - Accent3 45 2" xfId="4228" xr:uid="{00000000-0005-0000-0000-0000E9320000}"/>
    <cellStyle name="40% - Accent3 45 2 2" xfId="12207" xr:uid="{00000000-0005-0000-0000-0000EA320000}"/>
    <cellStyle name="40% - Accent3 45 2 2 2" xfId="23495" xr:uid="{00000000-0005-0000-0000-0000EB320000}"/>
    <cellStyle name="40% - Accent3 45 2 3" xfId="10213" xr:uid="{00000000-0005-0000-0000-0000EC320000}"/>
    <cellStyle name="40% - Accent3 45 2 3 2" xfId="21501" xr:uid="{00000000-0005-0000-0000-0000ED320000}"/>
    <cellStyle name="40% - Accent3 45 2 4" xfId="8219" xr:uid="{00000000-0005-0000-0000-0000EE320000}"/>
    <cellStyle name="40% - Accent3 45 2 4 2" xfId="19507" xr:uid="{00000000-0005-0000-0000-0000EF320000}"/>
    <cellStyle name="40% - Accent3 45 2 5" xfId="6225" xr:uid="{00000000-0005-0000-0000-0000F0320000}"/>
    <cellStyle name="40% - Accent3 45 2 5 2" xfId="17513" xr:uid="{00000000-0005-0000-0000-0000F1320000}"/>
    <cellStyle name="40% - Accent3 45 2 6" xfId="15519" xr:uid="{00000000-0005-0000-0000-0000F2320000}"/>
    <cellStyle name="40% - Accent3 45 3" xfId="11210" xr:uid="{00000000-0005-0000-0000-0000F3320000}"/>
    <cellStyle name="40% - Accent3 45 3 2" xfId="22498" xr:uid="{00000000-0005-0000-0000-0000F4320000}"/>
    <cellStyle name="40% - Accent3 45 4" xfId="9216" xr:uid="{00000000-0005-0000-0000-0000F5320000}"/>
    <cellStyle name="40% - Accent3 45 4 2" xfId="20504" xr:uid="{00000000-0005-0000-0000-0000F6320000}"/>
    <cellStyle name="40% - Accent3 45 5" xfId="7222" xr:uid="{00000000-0005-0000-0000-0000F7320000}"/>
    <cellStyle name="40% - Accent3 45 5 2" xfId="18510" xr:uid="{00000000-0005-0000-0000-0000F8320000}"/>
    <cellStyle name="40% - Accent3 45 6" xfId="5228" xr:uid="{00000000-0005-0000-0000-0000F9320000}"/>
    <cellStyle name="40% - Accent3 45 6 2" xfId="16516" xr:uid="{00000000-0005-0000-0000-0000FA320000}"/>
    <cellStyle name="40% - Accent3 45 7" xfId="14522" xr:uid="{00000000-0005-0000-0000-0000FB320000}"/>
    <cellStyle name="40% - Accent3 45 8" xfId="13208" xr:uid="{00000000-0005-0000-0000-0000FC320000}"/>
    <cellStyle name="40% - Accent3 46" xfId="1273" xr:uid="{00000000-0005-0000-0000-0000FD320000}"/>
    <cellStyle name="40% - Accent3 46 2" xfId="4229" xr:uid="{00000000-0005-0000-0000-0000FE320000}"/>
    <cellStyle name="40% - Accent3 46 2 2" xfId="12208" xr:uid="{00000000-0005-0000-0000-0000FF320000}"/>
    <cellStyle name="40% - Accent3 46 2 2 2" xfId="23496" xr:uid="{00000000-0005-0000-0000-000000330000}"/>
    <cellStyle name="40% - Accent3 46 2 3" xfId="10214" xr:uid="{00000000-0005-0000-0000-000001330000}"/>
    <cellStyle name="40% - Accent3 46 2 3 2" xfId="21502" xr:uid="{00000000-0005-0000-0000-000002330000}"/>
    <cellStyle name="40% - Accent3 46 2 4" xfId="8220" xr:uid="{00000000-0005-0000-0000-000003330000}"/>
    <cellStyle name="40% - Accent3 46 2 4 2" xfId="19508" xr:uid="{00000000-0005-0000-0000-000004330000}"/>
    <cellStyle name="40% - Accent3 46 2 5" xfId="6226" xr:uid="{00000000-0005-0000-0000-000005330000}"/>
    <cellStyle name="40% - Accent3 46 2 5 2" xfId="17514" xr:uid="{00000000-0005-0000-0000-000006330000}"/>
    <cellStyle name="40% - Accent3 46 2 6" xfId="15520" xr:uid="{00000000-0005-0000-0000-000007330000}"/>
    <cellStyle name="40% - Accent3 46 3" xfId="11211" xr:uid="{00000000-0005-0000-0000-000008330000}"/>
    <cellStyle name="40% - Accent3 46 3 2" xfId="22499" xr:uid="{00000000-0005-0000-0000-000009330000}"/>
    <cellStyle name="40% - Accent3 46 4" xfId="9217" xr:uid="{00000000-0005-0000-0000-00000A330000}"/>
    <cellStyle name="40% - Accent3 46 4 2" xfId="20505" xr:uid="{00000000-0005-0000-0000-00000B330000}"/>
    <cellStyle name="40% - Accent3 46 5" xfId="7223" xr:uid="{00000000-0005-0000-0000-00000C330000}"/>
    <cellStyle name="40% - Accent3 46 5 2" xfId="18511" xr:uid="{00000000-0005-0000-0000-00000D330000}"/>
    <cellStyle name="40% - Accent3 46 6" xfId="5229" xr:uid="{00000000-0005-0000-0000-00000E330000}"/>
    <cellStyle name="40% - Accent3 46 6 2" xfId="16517" xr:uid="{00000000-0005-0000-0000-00000F330000}"/>
    <cellStyle name="40% - Accent3 46 7" xfId="14523" xr:uid="{00000000-0005-0000-0000-000010330000}"/>
    <cellStyle name="40% - Accent3 46 8" xfId="13209" xr:uid="{00000000-0005-0000-0000-000011330000}"/>
    <cellStyle name="40% - Accent3 47" xfId="1274" xr:uid="{00000000-0005-0000-0000-000012330000}"/>
    <cellStyle name="40% - Accent3 47 2" xfId="4230" xr:uid="{00000000-0005-0000-0000-000013330000}"/>
    <cellStyle name="40% - Accent3 47 2 2" xfId="12209" xr:uid="{00000000-0005-0000-0000-000014330000}"/>
    <cellStyle name="40% - Accent3 47 2 2 2" xfId="23497" xr:uid="{00000000-0005-0000-0000-000015330000}"/>
    <cellStyle name="40% - Accent3 47 2 3" xfId="10215" xr:uid="{00000000-0005-0000-0000-000016330000}"/>
    <cellStyle name="40% - Accent3 47 2 3 2" xfId="21503" xr:uid="{00000000-0005-0000-0000-000017330000}"/>
    <cellStyle name="40% - Accent3 47 2 4" xfId="8221" xr:uid="{00000000-0005-0000-0000-000018330000}"/>
    <cellStyle name="40% - Accent3 47 2 4 2" xfId="19509" xr:uid="{00000000-0005-0000-0000-000019330000}"/>
    <cellStyle name="40% - Accent3 47 2 5" xfId="6227" xr:uid="{00000000-0005-0000-0000-00001A330000}"/>
    <cellStyle name="40% - Accent3 47 2 5 2" xfId="17515" xr:uid="{00000000-0005-0000-0000-00001B330000}"/>
    <cellStyle name="40% - Accent3 47 2 6" xfId="15521" xr:uid="{00000000-0005-0000-0000-00001C330000}"/>
    <cellStyle name="40% - Accent3 47 3" xfId="11212" xr:uid="{00000000-0005-0000-0000-00001D330000}"/>
    <cellStyle name="40% - Accent3 47 3 2" xfId="22500" xr:uid="{00000000-0005-0000-0000-00001E330000}"/>
    <cellStyle name="40% - Accent3 47 4" xfId="9218" xr:uid="{00000000-0005-0000-0000-00001F330000}"/>
    <cellStyle name="40% - Accent3 47 4 2" xfId="20506" xr:uid="{00000000-0005-0000-0000-000020330000}"/>
    <cellStyle name="40% - Accent3 47 5" xfId="7224" xr:uid="{00000000-0005-0000-0000-000021330000}"/>
    <cellStyle name="40% - Accent3 47 5 2" xfId="18512" xr:uid="{00000000-0005-0000-0000-000022330000}"/>
    <cellStyle name="40% - Accent3 47 6" xfId="5230" xr:uid="{00000000-0005-0000-0000-000023330000}"/>
    <cellStyle name="40% - Accent3 47 6 2" xfId="16518" xr:uid="{00000000-0005-0000-0000-000024330000}"/>
    <cellStyle name="40% - Accent3 47 7" xfId="14524" xr:uid="{00000000-0005-0000-0000-000025330000}"/>
    <cellStyle name="40% - Accent3 47 8" xfId="13210" xr:uid="{00000000-0005-0000-0000-000026330000}"/>
    <cellStyle name="40% - Accent3 48" xfId="1275" xr:uid="{00000000-0005-0000-0000-000027330000}"/>
    <cellStyle name="40% - Accent3 48 2" xfId="4231" xr:uid="{00000000-0005-0000-0000-000028330000}"/>
    <cellStyle name="40% - Accent3 48 2 2" xfId="12210" xr:uid="{00000000-0005-0000-0000-000029330000}"/>
    <cellStyle name="40% - Accent3 48 2 2 2" xfId="23498" xr:uid="{00000000-0005-0000-0000-00002A330000}"/>
    <cellStyle name="40% - Accent3 48 2 3" xfId="10216" xr:uid="{00000000-0005-0000-0000-00002B330000}"/>
    <cellStyle name="40% - Accent3 48 2 3 2" xfId="21504" xr:uid="{00000000-0005-0000-0000-00002C330000}"/>
    <cellStyle name="40% - Accent3 48 2 4" xfId="8222" xr:uid="{00000000-0005-0000-0000-00002D330000}"/>
    <cellStyle name="40% - Accent3 48 2 4 2" xfId="19510" xr:uid="{00000000-0005-0000-0000-00002E330000}"/>
    <cellStyle name="40% - Accent3 48 2 5" xfId="6228" xr:uid="{00000000-0005-0000-0000-00002F330000}"/>
    <cellStyle name="40% - Accent3 48 2 5 2" xfId="17516" xr:uid="{00000000-0005-0000-0000-000030330000}"/>
    <cellStyle name="40% - Accent3 48 2 6" xfId="15522" xr:uid="{00000000-0005-0000-0000-000031330000}"/>
    <cellStyle name="40% - Accent3 48 3" xfId="11213" xr:uid="{00000000-0005-0000-0000-000032330000}"/>
    <cellStyle name="40% - Accent3 48 3 2" xfId="22501" xr:uid="{00000000-0005-0000-0000-000033330000}"/>
    <cellStyle name="40% - Accent3 48 4" xfId="9219" xr:uid="{00000000-0005-0000-0000-000034330000}"/>
    <cellStyle name="40% - Accent3 48 4 2" xfId="20507" xr:uid="{00000000-0005-0000-0000-000035330000}"/>
    <cellStyle name="40% - Accent3 48 5" xfId="7225" xr:uid="{00000000-0005-0000-0000-000036330000}"/>
    <cellStyle name="40% - Accent3 48 5 2" xfId="18513" xr:uid="{00000000-0005-0000-0000-000037330000}"/>
    <cellStyle name="40% - Accent3 48 6" xfId="5231" xr:uid="{00000000-0005-0000-0000-000038330000}"/>
    <cellStyle name="40% - Accent3 48 6 2" xfId="16519" xr:uid="{00000000-0005-0000-0000-000039330000}"/>
    <cellStyle name="40% - Accent3 48 7" xfId="14525" xr:uid="{00000000-0005-0000-0000-00003A330000}"/>
    <cellStyle name="40% - Accent3 48 8" xfId="13211" xr:uid="{00000000-0005-0000-0000-00003B330000}"/>
    <cellStyle name="40% - Accent3 49" xfId="1276" xr:uid="{00000000-0005-0000-0000-00003C330000}"/>
    <cellStyle name="40% - Accent3 49 2" xfId="4232" xr:uid="{00000000-0005-0000-0000-00003D330000}"/>
    <cellStyle name="40% - Accent3 49 2 2" xfId="12211" xr:uid="{00000000-0005-0000-0000-00003E330000}"/>
    <cellStyle name="40% - Accent3 49 2 2 2" xfId="23499" xr:uid="{00000000-0005-0000-0000-00003F330000}"/>
    <cellStyle name="40% - Accent3 49 2 3" xfId="10217" xr:uid="{00000000-0005-0000-0000-000040330000}"/>
    <cellStyle name="40% - Accent3 49 2 3 2" xfId="21505" xr:uid="{00000000-0005-0000-0000-000041330000}"/>
    <cellStyle name="40% - Accent3 49 2 4" xfId="8223" xr:uid="{00000000-0005-0000-0000-000042330000}"/>
    <cellStyle name="40% - Accent3 49 2 4 2" xfId="19511" xr:uid="{00000000-0005-0000-0000-000043330000}"/>
    <cellStyle name="40% - Accent3 49 2 5" xfId="6229" xr:uid="{00000000-0005-0000-0000-000044330000}"/>
    <cellStyle name="40% - Accent3 49 2 5 2" xfId="17517" xr:uid="{00000000-0005-0000-0000-000045330000}"/>
    <cellStyle name="40% - Accent3 49 2 6" xfId="15523" xr:uid="{00000000-0005-0000-0000-000046330000}"/>
    <cellStyle name="40% - Accent3 49 3" xfId="11214" xr:uid="{00000000-0005-0000-0000-000047330000}"/>
    <cellStyle name="40% - Accent3 49 3 2" xfId="22502" xr:uid="{00000000-0005-0000-0000-000048330000}"/>
    <cellStyle name="40% - Accent3 49 4" xfId="9220" xr:uid="{00000000-0005-0000-0000-000049330000}"/>
    <cellStyle name="40% - Accent3 49 4 2" xfId="20508" xr:uid="{00000000-0005-0000-0000-00004A330000}"/>
    <cellStyle name="40% - Accent3 49 5" xfId="7226" xr:uid="{00000000-0005-0000-0000-00004B330000}"/>
    <cellStyle name="40% - Accent3 49 5 2" xfId="18514" xr:uid="{00000000-0005-0000-0000-00004C330000}"/>
    <cellStyle name="40% - Accent3 49 6" xfId="5232" xr:uid="{00000000-0005-0000-0000-00004D330000}"/>
    <cellStyle name="40% - Accent3 49 6 2" xfId="16520" xr:uid="{00000000-0005-0000-0000-00004E330000}"/>
    <cellStyle name="40% - Accent3 49 7" xfId="14526" xr:uid="{00000000-0005-0000-0000-00004F330000}"/>
    <cellStyle name="40% - Accent3 49 8" xfId="13212" xr:uid="{00000000-0005-0000-0000-000050330000}"/>
    <cellStyle name="40% - Accent3 5" xfId="1277" xr:uid="{00000000-0005-0000-0000-000051330000}"/>
    <cellStyle name="40% - Accent3 5 10" xfId="24610" xr:uid="{00000000-0005-0000-0000-000052330000}"/>
    <cellStyle name="40% - Accent3 5 11" xfId="25000" xr:uid="{00000000-0005-0000-0000-000053330000}"/>
    <cellStyle name="40% - Accent3 5 2" xfId="4233" xr:uid="{00000000-0005-0000-0000-000054330000}"/>
    <cellStyle name="40% - Accent3 5 2 2" xfId="12212" xr:uid="{00000000-0005-0000-0000-000055330000}"/>
    <cellStyle name="40% - Accent3 5 2 2 2" xfId="23500" xr:uid="{00000000-0005-0000-0000-000056330000}"/>
    <cellStyle name="40% - Accent3 5 2 3" xfId="10218" xr:uid="{00000000-0005-0000-0000-000057330000}"/>
    <cellStyle name="40% - Accent3 5 2 3 2" xfId="21506" xr:uid="{00000000-0005-0000-0000-000058330000}"/>
    <cellStyle name="40% - Accent3 5 2 4" xfId="8224" xr:uid="{00000000-0005-0000-0000-000059330000}"/>
    <cellStyle name="40% - Accent3 5 2 4 2" xfId="19512" xr:uid="{00000000-0005-0000-0000-00005A330000}"/>
    <cellStyle name="40% - Accent3 5 2 5" xfId="6230" xr:uid="{00000000-0005-0000-0000-00005B330000}"/>
    <cellStyle name="40% - Accent3 5 2 5 2" xfId="17518" xr:uid="{00000000-0005-0000-0000-00005C330000}"/>
    <cellStyle name="40% - Accent3 5 2 6" xfId="15524" xr:uid="{00000000-0005-0000-0000-00005D330000}"/>
    <cellStyle name="40% - Accent3 5 2 7" xfId="24371" xr:uid="{00000000-0005-0000-0000-00005E330000}"/>
    <cellStyle name="40% - Accent3 5 2 8" xfId="24835" xr:uid="{00000000-0005-0000-0000-00005F330000}"/>
    <cellStyle name="40% - Accent3 5 2 9" xfId="25202" xr:uid="{00000000-0005-0000-0000-000060330000}"/>
    <cellStyle name="40% - Accent3 5 3" xfId="11215" xr:uid="{00000000-0005-0000-0000-000061330000}"/>
    <cellStyle name="40% - Accent3 5 3 2" xfId="22503" xr:uid="{00000000-0005-0000-0000-000062330000}"/>
    <cellStyle name="40% - Accent3 5 4" xfId="9221" xr:uid="{00000000-0005-0000-0000-000063330000}"/>
    <cellStyle name="40% - Accent3 5 4 2" xfId="20509" xr:uid="{00000000-0005-0000-0000-000064330000}"/>
    <cellStyle name="40% - Accent3 5 5" xfId="7227" xr:uid="{00000000-0005-0000-0000-000065330000}"/>
    <cellStyle name="40% - Accent3 5 5 2" xfId="18515" xr:uid="{00000000-0005-0000-0000-000066330000}"/>
    <cellStyle name="40% - Accent3 5 6" xfId="5233" xr:uid="{00000000-0005-0000-0000-000067330000}"/>
    <cellStyle name="40% - Accent3 5 6 2" xfId="16521" xr:uid="{00000000-0005-0000-0000-000068330000}"/>
    <cellStyle name="40% - Accent3 5 7" xfId="14527" xr:uid="{00000000-0005-0000-0000-000069330000}"/>
    <cellStyle name="40% - Accent3 5 8" xfId="13213" xr:uid="{00000000-0005-0000-0000-00006A330000}"/>
    <cellStyle name="40% - Accent3 5 9" xfId="23983" xr:uid="{00000000-0005-0000-0000-00006B330000}"/>
    <cellStyle name="40% - Accent3 50" xfId="1278" xr:uid="{00000000-0005-0000-0000-00006C330000}"/>
    <cellStyle name="40% - Accent3 50 2" xfId="4234" xr:uid="{00000000-0005-0000-0000-00006D330000}"/>
    <cellStyle name="40% - Accent3 50 2 2" xfId="12213" xr:uid="{00000000-0005-0000-0000-00006E330000}"/>
    <cellStyle name="40% - Accent3 50 2 2 2" xfId="23501" xr:uid="{00000000-0005-0000-0000-00006F330000}"/>
    <cellStyle name="40% - Accent3 50 2 3" xfId="10219" xr:uid="{00000000-0005-0000-0000-000070330000}"/>
    <cellStyle name="40% - Accent3 50 2 3 2" xfId="21507" xr:uid="{00000000-0005-0000-0000-000071330000}"/>
    <cellStyle name="40% - Accent3 50 2 4" xfId="8225" xr:uid="{00000000-0005-0000-0000-000072330000}"/>
    <cellStyle name="40% - Accent3 50 2 4 2" xfId="19513" xr:uid="{00000000-0005-0000-0000-000073330000}"/>
    <cellStyle name="40% - Accent3 50 2 5" xfId="6231" xr:uid="{00000000-0005-0000-0000-000074330000}"/>
    <cellStyle name="40% - Accent3 50 2 5 2" xfId="17519" xr:uid="{00000000-0005-0000-0000-000075330000}"/>
    <cellStyle name="40% - Accent3 50 2 6" xfId="15525" xr:uid="{00000000-0005-0000-0000-000076330000}"/>
    <cellStyle name="40% - Accent3 50 3" xfId="11216" xr:uid="{00000000-0005-0000-0000-000077330000}"/>
    <cellStyle name="40% - Accent3 50 3 2" xfId="22504" xr:uid="{00000000-0005-0000-0000-000078330000}"/>
    <cellStyle name="40% - Accent3 50 4" xfId="9222" xr:uid="{00000000-0005-0000-0000-000079330000}"/>
    <cellStyle name="40% - Accent3 50 4 2" xfId="20510" xr:uid="{00000000-0005-0000-0000-00007A330000}"/>
    <cellStyle name="40% - Accent3 50 5" xfId="7228" xr:uid="{00000000-0005-0000-0000-00007B330000}"/>
    <cellStyle name="40% - Accent3 50 5 2" xfId="18516" xr:uid="{00000000-0005-0000-0000-00007C330000}"/>
    <cellStyle name="40% - Accent3 50 6" xfId="5234" xr:uid="{00000000-0005-0000-0000-00007D330000}"/>
    <cellStyle name="40% - Accent3 50 6 2" xfId="16522" xr:uid="{00000000-0005-0000-0000-00007E330000}"/>
    <cellStyle name="40% - Accent3 50 7" xfId="14528" xr:uid="{00000000-0005-0000-0000-00007F330000}"/>
    <cellStyle name="40% - Accent3 50 8" xfId="13214" xr:uid="{00000000-0005-0000-0000-000080330000}"/>
    <cellStyle name="40% - Accent3 51" xfId="1279" xr:uid="{00000000-0005-0000-0000-000081330000}"/>
    <cellStyle name="40% - Accent3 51 2" xfId="4235" xr:uid="{00000000-0005-0000-0000-000082330000}"/>
    <cellStyle name="40% - Accent3 51 2 2" xfId="12214" xr:uid="{00000000-0005-0000-0000-000083330000}"/>
    <cellStyle name="40% - Accent3 51 2 2 2" xfId="23502" xr:uid="{00000000-0005-0000-0000-000084330000}"/>
    <cellStyle name="40% - Accent3 51 2 3" xfId="10220" xr:uid="{00000000-0005-0000-0000-000085330000}"/>
    <cellStyle name="40% - Accent3 51 2 3 2" xfId="21508" xr:uid="{00000000-0005-0000-0000-000086330000}"/>
    <cellStyle name="40% - Accent3 51 2 4" xfId="8226" xr:uid="{00000000-0005-0000-0000-000087330000}"/>
    <cellStyle name="40% - Accent3 51 2 4 2" xfId="19514" xr:uid="{00000000-0005-0000-0000-000088330000}"/>
    <cellStyle name="40% - Accent3 51 2 5" xfId="6232" xr:uid="{00000000-0005-0000-0000-000089330000}"/>
    <cellStyle name="40% - Accent3 51 2 5 2" xfId="17520" xr:uid="{00000000-0005-0000-0000-00008A330000}"/>
    <cellStyle name="40% - Accent3 51 2 6" xfId="15526" xr:uid="{00000000-0005-0000-0000-00008B330000}"/>
    <cellStyle name="40% - Accent3 51 3" xfId="11217" xr:uid="{00000000-0005-0000-0000-00008C330000}"/>
    <cellStyle name="40% - Accent3 51 3 2" xfId="22505" xr:uid="{00000000-0005-0000-0000-00008D330000}"/>
    <cellStyle name="40% - Accent3 51 4" xfId="9223" xr:uid="{00000000-0005-0000-0000-00008E330000}"/>
    <cellStyle name="40% - Accent3 51 4 2" xfId="20511" xr:uid="{00000000-0005-0000-0000-00008F330000}"/>
    <cellStyle name="40% - Accent3 51 5" xfId="7229" xr:uid="{00000000-0005-0000-0000-000090330000}"/>
    <cellStyle name="40% - Accent3 51 5 2" xfId="18517" xr:uid="{00000000-0005-0000-0000-000091330000}"/>
    <cellStyle name="40% - Accent3 51 6" xfId="5235" xr:uid="{00000000-0005-0000-0000-000092330000}"/>
    <cellStyle name="40% - Accent3 51 6 2" xfId="16523" xr:uid="{00000000-0005-0000-0000-000093330000}"/>
    <cellStyle name="40% - Accent3 51 7" xfId="14529" xr:uid="{00000000-0005-0000-0000-000094330000}"/>
    <cellStyle name="40% - Accent3 51 8" xfId="13215" xr:uid="{00000000-0005-0000-0000-000095330000}"/>
    <cellStyle name="40% - Accent3 52" xfId="1280" xr:uid="{00000000-0005-0000-0000-000096330000}"/>
    <cellStyle name="40% - Accent3 52 2" xfId="4236" xr:uid="{00000000-0005-0000-0000-000097330000}"/>
    <cellStyle name="40% - Accent3 52 2 2" xfId="12215" xr:uid="{00000000-0005-0000-0000-000098330000}"/>
    <cellStyle name="40% - Accent3 52 2 2 2" xfId="23503" xr:uid="{00000000-0005-0000-0000-000099330000}"/>
    <cellStyle name="40% - Accent3 52 2 3" xfId="10221" xr:uid="{00000000-0005-0000-0000-00009A330000}"/>
    <cellStyle name="40% - Accent3 52 2 3 2" xfId="21509" xr:uid="{00000000-0005-0000-0000-00009B330000}"/>
    <cellStyle name="40% - Accent3 52 2 4" xfId="8227" xr:uid="{00000000-0005-0000-0000-00009C330000}"/>
    <cellStyle name="40% - Accent3 52 2 4 2" xfId="19515" xr:uid="{00000000-0005-0000-0000-00009D330000}"/>
    <cellStyle name="40% - Accent3 52 2 5" xfId="6233" xr:uid="{00000000-0005-0000-0000-00009E330000}"/>
    <cellStyle name="40% - Accent3 52 2 5 2" xfId="17521" xr:uid="{00000000-0005-0000-0000-00009F330000}"/>
    <cellStyle name="40% - Accent3 52 2 6" xfId="15527" xr:uid="{00000000-0005-0000-0000-0000A0330000}"/>
    <cellStyle name="40% - Accent3 52 3" xfId="11218" xr:uid="{00000000-0005-0000-0000-0000A1330000}"/>
    <cellStyle name="40% - Accent3 52 3 2" xfId="22506" xr:uid="{00000000-0005-0000-0000-0000A2330000}"/>
    <cellStyle name="40% - Accent3 52 4" xfId="9224" xr:uid="{00000000-0005-0000-0000-0000A3330000}"/>
    <cellStyle name="40% - Accent3 52 4 2" xfId="20512" xr:uid="{00000000-0005-0000-0000-0000A4330000}"/>
    <cellStyle name="40% - Accent3 52 5" xfId="7230" xr:uid="{00000000-0005-0000-0000-0000A5330000}"/>
    <cellStyle name="40% - Accent3 52 5 2" xfId="18518" xr:uid="{00000000-0005-0000-0000-0000A6330000}"/>
    <cellStyle name="40% - Accent3 52 6" xfId="5236" xr:uid="{00000000-0005-0000-0000-0000A7330000}"/>
    <cellStyle name="40% - Accent3 52 6 2" xfId="16524" xr:uid="{00000000-0005-0000-0000-0000A8330000}"/>
    <cellStyle name="40% - Accent3 52 7" xfId="14530" xr:uid="{00000000-0005-0000-0000-0000A9330000}"/>
    <cellStyle name="40% - Accent3 52 8" xfId="13216" xr:uid="{00000000-0005-0000-0000-0000AA330000}"/>
    <cellStyle name="40% - Accent3 53" xfId="1281" xr:uid="{00000000-0005-0000-0000-0000AB330000}"/>
    <cellStyle name="40% - Accent3 53 2" xfId="4237" xr:uid="{00000000-0005-0000-0000-0000AC330000}"/>
    <cellStyle name="40% - Accent3 53 2 2" xfId="12216" xr:uid="{00000000-0005-0000-0000-0000AD330000}"/>
    <cellStyle name="40% - Accent3 53 2 2 2" xfId="23504" xr:uid="{00000000-0005-0000-0000-0000AE330000}"/>
    <cellStyle name="40% - Accent3 53 2 3" xfId="10222" xr:uid="{00000000-0005-0000-0000-0000AF330000}"/>
    <cellStyle name="40% - Accent3 53 2 3 2" xfId="21510" xr:uid="{00000000-0005-0000-0000-0000B0330000}"/>
    <cellStyle name="40% - Accent3 53 2 4" xfId="8228" xr:uid="{00000000-0005-0000-0000-0000B1330000}"/>
    <cellStyle name="40% - Accent3 53 2 4 2" xfId="19516" xr:uid="{00000000-0005-0000-0000-0000B2330000}"/>
    <cellStyle name="40% - Accent3 53 2 5" xfId="6234" xr:uid="{00000000-0005-0000-0000-0000B3330000}"/>
    <cellStyle name="40% - Accent3 53 2 5 2" xfId="17522" xr:uid="{00000000-0005-0000-0000-0000B4330000}"/>
    <cellStyle name="40% - Accent3 53 2 6" xfId="15528" xr:uid="{00000000-0005-0000-0000-0000B5330000}"/>
    <cellStyle name="40% - Accent3 53 3" xfId="11219" xr:uid="{00000000-0005-0000-0000-0000B6330000}"/>
    <cellStyle name="40% - Accent3 53 3 2" xfId="22507" xr:uid="{00000000-0005-0000-0000-0000B7330000}"/>
    <cellStyle name="40% - Accent3 53 4" xfId="9225" xr:uid="{00000000-0005-0000-0000-0000B8330000}"/>
    <cellStyle name="40% - Accent3 53 4 2" xfId="20513" xr:uid="{00000000-0005-0000-0000-0000B9330000}"/>
    <cellStyle name="40% - Accent3 53 5" xfId="7231" xr:uid="{00000000-0005-0000-0000-0000BA330000}"/>
    <cellStyle name="40% - Accent3 53 5 2" xfId="18519" xr:uid="{00000000-0005-0000-0000-0000BB330000}"/>
    <cellStyle name="40% - Accent3 53 6" xfId="5237" xr:uid="{00000000-0005-0000-0000-0000BC330000}"/>
    <cellStyle name="40% - Accent3 53 6 2" xfId="16525" xr:uid="{00000000-0005-0000-0000-0000BD330000}"/>
    <cellStyle name="40% - Accent3 53 7" xfId="14531" xr:uid="{00000000-0005-0000-0000-0000BE330000}"/>
    <cellStyle name="40% - Accent3 53 8" xfId="13217" xr:uid="{00000000-0005-0000-0000-0000BF330000}"/>
    <cellStyle name="40% - Accent3 54" xfId="1282" xr:uid="{00000000-0005-0000-0000-0000C0330000}"/>
    <cellStyle name="40% - Accent3 54 2" xfId="4238" xr:uid="{00000000-0005-0000-0000-0000C1330000}"/>
    <cellStyle name="40% - Accent3 54 2 2" xfId="12217" xr:uid="{00000000-0005-0000-0000-0000C2330000}"/>
    <cellStyle name="40% - Accent3 54 2 2 2" xfId="23505" xr:uid="{00000000-0005-0000-0000-0000C3330000}"/>
    <cellStyle name="40% - Accent3 54 2 3" xfId="10223" xr:uid="{00000000-0005-0000-0000-0000C4330000}"/>
    <cellStyle name="40% - Accent3 54 2 3 2" xfId="21511" xr:uid="{00000000-0005-0000-0000-0000C5330000}"/>
    <cellStyle name="40% - Accent3 54 2 4" xfId="8229" xr:uid="{00000000-0005-0000-0000-0000C6330000}"/>
    <cellStyle name="40% - Accent3 54 2 4 2" xfId="19517" xr:uid="{00000000-0005-0000-0000-0000C7330000}"/>
    <cellStyle name="40% - Accent3 54 2 5" xfId="6235" xr:uid="{00000000-0005-0000-0000-0000C8330000}"/>
    <cellStyle name="40% - Accent3 54 2 5 2" xfId="17523" xr:uid="{00000000-0005-0000-0000-0000C9330000}"/>
    <cellStyle name="40% - Accent3 54 2 6" xfId="15529" xr:uid="{00000000-0005-0000-0000-0000CA330000}"/>
    <cellStyle name="40% - Accent3 54 3" xfId="11220" xr:uid="{00000000-0005-0000-0000-0000CB330000}"/>
    <cellStyle name="40% - Accent3 54 3 2" xfId="22508" xr:uid="{00000000-0005-0000-0000-0000CC330000}"/>
    <cellStyle name="40% - Accent3 54 4" xfId="9226" xr:uid="{00000000-0005-0000-0000-0000CD330000}"/>
    <cellStyle name="40% - Accent3 54 4 2" xfId="20514" xr:uid="{00000000-0005-0000-0000-0000CE330000}"/>
    <cellStyle name="40% - Accent3 54 5" xfId="7232" xr:uid="{00000000-0005-0000-0000-0000CF330000}"/>
    <cellStyle name="40% - Accent3 54 5 2" xfId="18520" xr:uid="{00000000-0005-0000-0000-0000D0330000}"/>
    <cellStyle name="40% - Accent3 54 6" xfId="5238" xr:uid="{00000000-0005-0000-0000-0000D1330000}"/>
    <cellStyle name="40% - Accent3 54 6 2" xfId="16526" xr:uid="{00000000-0005-0000-0000-0000D2330000}"/>
    <cellStyle name="40% - Accent3 54 7" xfId="14532" xr:uid="{00000000-0005-0000-0000-0000D3330000}"/>
    <cellStyle name="40% - Accent3 54 8" xfId="13218" xr:uid="{00000000-0005-0000-0000-0000D4330000}"/>
    <cellStyle name="40% - Accent3 55" xfId="1283" xr:uid="{00000000-0005-0000-0000-0000D5330000}"/>
    <cellStyle name="40% - Accent3 55 2" xfId="4239" xr:uid="{00000000-0005-0000-0000-0000D6330000}"/>
    <cellStyle name="40% - Accent3 55 2 2" xfId="12218" xr:uid="{00000000-0005-0000-0000-0000D7330000}"/>
    <cellStyle name="40% - Accent3 55 2 2 2" xfId="23506" xr:uid="{00000000-0005-0000-0000-0000D8330000}"/>
    <cellStyle name="40% - Accent3 55 2 3" xfId="10224" xr:uid="{00000000-0005-0000-0000-0000D9330000}"/>
    <cellStyle name="40% - Accent3 55 2 3 2" xfId="21512" xr:uid="{00000000-0005-0000-0000-0000DA330000}"/>
    <cellStyle name="40% - Accent3 55 2 4" xfId="8230" xr:uid="{00000000-0005-0000-0000-0000DB330000}"/>
    <cellStyle name="40% - Accent3 55 2 4 2" xfId="19518" xr:uid="{00000000-0005-0000-0000-0000DC330000}"/>
    <cellStyle name="40% - Accent3 55 2 5" xfId="6236" xr:uid="{00000000-0005-0000-0000-0000DD330000}"/>
    <cellStyle name="40% - Accent3 55 2 5 2" xfId="17524" xr:uid="{00000000-0005-0000-0000-0000DE330000}"/>
    <cellStyle name="40% - Accent3 55 2 6" xfId="15530" xr:uid="{00000000-0005-0000-0000-0000DF330000}"/>
    <cellStyle name="40% - Accent3 55 3" xfId="11221" xr:uid="{00000000-0005-0000-0000-0000E0330000}"/>
    <cellStyle name="40% - Accent3 55 3 2" xfId="22509" xr:uid="{00000000-0005-0000-0000-0000E1330000}"/>
    <cellStyle name="40% - Accent3 55 4" xfId="9227" xr:uid="{00000000-0005-0000-0000-0000E2330000}"/>
    <cellStyle name="40% - Accent3 55 4 2" xfId="20515" xr:uid="{00000000-0005-0000-0000-0000E3330000}"/>
    <cellStyle name="40% - Accent3 55 5" xfId="7233" xr:uid="{00000000-0005-0000-0000-0000E4330000}"/>
    <cellStyle name="40% - Accent3 55 5 2" xfId="18521" xr:uid="{00000000-0005-0000-0000-0000E5330000}"/>
    <cellStyle name="40% - Accent3 55 6" xfId="5239" xr:uid="{00000000-0005-0000-0000-0000E6330000}"/>
    <cellStyle name="40% - Accent3 55 6 2" xfId="16527" xr:uid="{00000000-0005-0000-0000-0000E7330000}"/>
    <cellStyle name="40% - Accent3 55 7" xfId="14533" xr:uid="{00000000-0005-0000-0000-0000E8330000}"/>
    <cellStyle name="40% - Accent3 55 8" xfId="13219" xr:uid="{00000000-0005-0000-0000-0000E9330000}"/>
    <cellStyle name="40% - Accent3 56" xfId="1284" xr:uid="{00000000-0005-0000-0000-0000EA330000}"/>
    <cellStyle name="40% - Accent3 56 2" xfId="4240" xr:uid="{00000000-0005-0000-0000-0000EB330000}"/>
    <cellStyle name="40% - Accent3 56 2 2" xfId="12219" xr:uid="{00000000-0005-0000-0000-0000EC330000}"/>
    <cellStyle name="40% - Accent3 56 2 2 2" xfId="23507" xr:uid="{00000000-0005-0000-0000-0000ED330000}"/>
    <cellStyle name="40% - Accent3 56 2 3" xfId="10225" xr:uid="{00000000-0005-0000-0000-0000EE330000}"/>
    <cellStyle name="40% - Accent3 56 2 3 2" xfId="21513" xr:uid="{00000000-0005-0000-0000-0000EF330000}"/>
    <cellStyle name="40% - Accent3 56 2 4" xfId="8231" xr:uid="{00000000-0005-0000-0000-0000F0330000}"/>
    <cellStyle name="40% - Accent3 56 2 4 2" xfId="19519" xr:uid="{00000000-0005-0000-0000-0000F1330000}"/>
    <cellStyle name="40% - Accent3 56 2 5" xfId="6237" xr:uid="{00000000-0005-0000-0000-0000F2330000}"/>
    <cellStyle name="40% - Accent3 56 2 5 2" xfId="17525" xr:uid="{00000000-0005-0000-0000-0000F3330000}"/>
    <cellStyle name="40% - Accent3 56 2 6" xfId="15531" xr:uid="{00000000-0005-0000-0000-0000F4330000}"/>
    <cellStyle name="40% - Accent3 56 3" xfId="11222" xr:uid="{00000000-0005-0000-0000-0000F5330000}"/>
    <cellStyle name="40% - Accent3 56 3 2" xfId="22510" xr:uid="{00000000-0005-0000-0000-0000F6330000}"/>
    <cellStyle name="40% - Accent3 56 4" xfId="9228" xr:uid="{00000000-0005-0000-0000-0000F7330000}"/>
    <cellStyle name="40% - Accent3 56 4 2" xfId="20516" xr:uid="{00000000-0005-0000-0000-0000F8330000}"/>
    <cellStyle name="40% - Accent3 56 5" xfId="7234" xr:uid="{00000000-0005-0000-0000-0000F9330000}"/>
    <cellStyle name="40% - Accent3 56 5 2" xfId="18522" xr:uid="{00000000-0005-0000-0000-0000FA330000}"/>
    <cellStyle name="40% - Accent3 56 6" xfId="5240" xr:uid="{00000000-0005-0000-0000-0000FB330000}"/>
    <cellStyle name="40% - Accent3 56 6 2" xfId="16528" xr:uid="{00000000-0005-0000-0000-0000FC330000}"/>
    <cellStyle name="40% - Accent3 56 7" xfId="14534" xr:uid="{00000000-0005-0000-0000-0000FD330000}"/>
    <cellStyle name="40% - Accent3 56 8" xfId="13220" xr:uid="{00000000-0005-0000-0000-0000FE330000}"/>
    <cellStyle name="40% - Accent3 57" xfId="1285" xr:uid="{00000000-0005-0000-0000-0000FF330000}"/>
    <cellStyle name="40% - Accent3 57 2" xfId="4241" xr:uid="{00000000-0005-0000-0000-000000340000}"/>
    <cellStyle name="40% - Accent3 57 2 2" xfId="12220" xr:uid="{00000000-0005-0000-0000-000001340000}"/>
    <cellStyle name="40% - Accent3 57 2 2 2" xfId="23508" xr:uid="{00000000-0005-0000-0000-000002340000}"/>
    <cellStyle name="40% - Accent3 57 2 3" xfId="10226" xr:uid="{00000000-0005-0000-0000-000003340000}"/>
    <cellStyle name="40% - Accent3 57 2 3 2" xfId="21514" xr:uid="{00000000-0005-0000-0000-000004340000}"/>
    <cellStyle name="40% - Accent3 57 2 4" xfId="8232" xr:uid="{00000000-0005-0000-0000-000005340000}"/>
    <cellStyle name="40% - Accent3 57 2 4 2" xfId="19520" xr:uid="{00000000-0005-0000-0000-000006340000}"/>
    <cellStyle name="40% - Accent3 57 2 5" xfId="6238" xr:uid="{00000000-0005-0000-0000-000007340000}"/>
    <cellStyle name="40% - Accent3 57 2 5 2" xfId="17526" xr:uid="{00000000-0005-0000-0000-000008340000}"/>
    <cellStyle name="40% - Accent3 57 2 6" xfId="15532" xr:uid="{00000000-0005-0000-0000-000009340000}"/>
    <cellStyle name="40% - Accent3 57 3" xfId="11223" xr:uid="{00000000-0005-0000-0000-00000A340000}"/>
    <cellStyle name="40% - Accent3 57 3 2" xfId="22511" xr:uid="{00000000-0005-0000-0000-00000B340000}"/>
    <cellStyle name="40% - Accent3 57 4" xfId="9229" xr:uid="{00000000-0005-0000-0000-00000C340000}"/>
    <cellStyle name="40% - Accent3 57 4 2" xfId="20517" xr:uid="{00000000-0005-0000-0000-00000D340000}"/>
    <cellStyle name="40% - Accent3 57 5" xfId="7235" xr:uid="{00000000-0005-0000-0000-00000E340000}"/>
    <cellStyle name="40% - Accent3 57 5 2" xfId="18523" xr:uid="{00000000-0005-0000-0000-00000F340000}"/>
    <cellStyle name="40% - Accent3 57 6" xfId="5241" xr:uid="{00000000-0005-0000-0000-000010340000}"/>
    <cellStyle name="40% - Accent3 57 6 2" xfId="16529" xr:uid="{00000000-0005-0000-0000-000011340000}"/>
    <cellStyle name="40% - Accent3 57 7" xfId="14535" xr:uid="{00000000-0005-0000-0000-000012340000}"/>
    <cellStyle name="40% - Accent3 57 8" xfId="13221" xr:uid="{00000000-0005-0000-0000-000013340000}"/>
    <cellStyle name="40% - Accent3 58" xfId="1286" xr:uid="{00000000-0005-0000-0000-000014340000}"/>
    <cellStyle name="40% - Accent3 58 2" xfId="4242" xr:uid="{00000000-0005-0000-0000-000015340000}"/>
    <cellStyle name="40% - Accent3 58 2 2" xfId="12221" xr:uid="{00000000-0005-0000-0000-000016340000}"/>
    <cellStyle name="40% - Accent3 58 2 2 2" xfId="23509" xr:uid="{00000000-0005-0000-0000-000017340000}"/>
    <cellStyle name="40% - Accent3 58 2 3" xfId="10227" xr:uid="{00000000-0005-0000-0000-000018340000}"/>
    <cellStyle name="40% - Accent3 58 2 3 2" xfId="21515" xr:uid="{00000000-0005-0000-0000-000019340000}"/>
    <cellStyle name="40% - Accent3 58 2 4" xfId="8233" xr:uid="{00000000-0005-0000-0000-00001A340000}"/>
    <cellStyle name="40% - Accent3 58 2 4 2" xfId="19521" xr:uid="{00000000-0005-0000-0000-00001B340000}"/>
    <cellStyle name="40% - Accent3 58 2 5" xfId="6239" xr:uid="{00000000-0005-0000-0000-00001C340000}"/>
    <cellStyle name="40% - Accent3 58 2 5 2" xfId="17527" xr:uid="{00000000-0005-0000-0000-00001D340000}"/>
    <cellStyle name="40% - Accent3 58 2 6" xfId="15533" xr:uid="{00000000-0005-0000-0000-00001E340000}"/>
    <cellStyle name="40% - Accent3 58 3" xfId="11224" xr:uid="{00000000-0005-0000-0000-00001F340000}"/>
    <cellStyle name="40% - Accent3 58 3 2" xfId="22512" xr:uid="{00000000-0005-0000-0000-000020340000}"/>
    <cellStyle name="40% - Accent3 58 4" xfId="9230" xr:uid="{00000000-0005-0000-0000-000021340000}"/>
    <cellStyle name="40% - Accent3 58 4 2" xfId="20518" xr:uid="{00000000-0005-0000-0000-000022340000}"/>
    <cellStyle name="40% - Accent3 58 5" xfId="7236" xr:uid="{00000000-0005-0000-0000-000023340000}"/>
    <cellStyle name="40% - Accent3 58 5 2" xfId="18524" xr:uid="{00000000-0005-0000-0000-000024340000}"/>
    <cellStyle name="40% - Accent3 58 6" xfId="5242" xr:uid="{00000000-0005-0000-0000-000025340000}"/>
    <cellStyle name="40% - Accent3 58 6 2" xfId="16530" xr:uid="{00000000-0005-0000-0000-000026340000}"/>
    <cellStyle name="40% - Accent3 58 7" xfId="14536" xr:uid="{00000000-0005-0000-0000-000027340000}"/>
    <cellStyle name="40% - Accent3 58 8" xfId="13222" xr:uid="{00000000-0005-0000-0000-000028340000}"/>
    <cellStyle name="40% - Accent3 59" xfId="1287" xr:uid="{00000000-0005-0000-0000-000029340000}"/>
    <cellStyle name="40% - Accent3 59 2" xfId="4243" xr:uid="{00000000-0005-0000-0000-00002A340000}"/>
    <cellStyle name="40% - Accent3 59 2 2" xfId="12222" xr:uid="{00000000-0005-0000-0000-00002B340000}"/>
    <cellStyle name="40% - Accent3 59 2 2 2" xfId="23510" xr:uid="{00000000-0005-0000-0000-00002C340000}"/>
    <cellStyle name="40% - Accent3 59 2 3" xfId="10228" xr:uid="{00000000-0005-0000-0000-00002D340000}"/>
    <cellStyle name="40% - Accent3 59 2 3 2" xfId="21516" xr:uid="{00000000-0005-0000-0000-00002E340000}"/>
    <cellStyle name="40% - Accent3 59 2 4" xfId="8234" xr:uid="{00000000-0005-0000-0000-00002F340000}"/>
    <cellStyle name="40% - Accent3 59 2 4 2" xfId="19522" xr:uid="{00000000-0005-0000-0000-000030340000}"/>
    <cellStyle name="40% - Accent3 59 2 5" xfId="6240" xr:uid="{00000000-0005-0000-0000-000031340000}"/>
    <cellStyle name="40% - Accent3 59 2 5 2" xfId="17528" xr:uid="{00000000-0005-0000-0000-000032340000}"/>
    <cellStyle name="40% - Accent3 59 2 6" xfId="15534" xr:uid="{00000000-0005-0000-0000-000033340000}"/>
    <cellStyle name="40% - Accent3 59 3" xfId="11225" xr:uid="{00000000-0005-0000-0000-000034340000}"/>
    <cellStyle name="40% - Accent3 59 3 2" xfId="22513" xr:uid="{00000000-0005-0000-0000-000035340000}"/>
    <cellStyle name="40% - Accent3 59 4" xfId="9231" xr:uid="{00000000-0005-0000-0000-000036340000}"/>
    <cellStyle name="40% - Accent3 59 4 2" xfId="20519" xr:uid="{00000000-0005-0000-0000-000037340000}"/>
    <cellStyle name="40% - Accent3 59 5" xfId="7237" xr:uid="{00000000-0005-0000-0000-000038340000}"/>
    <cellStyle name="40% - Accent3 59 5 2" xfId="18525" xr:uid="{00000000-0005-0000-0000-000039340000}"/>
    <cellStyle name="40% - Accent3 59 6" xfId="5243" xr:uid="{00000000-0005-0000-0000-00003A340000}"/>
    <cellStyle name="40% - Accent3 59 6 2" xfId="16531" xr:uid="{00000000-0005-0000-0000-00003B340000}"/>
    <cellStyle name="40% - Accent3 59 7" xfId="14537" xr:uid="{00000000-0005-0000-0000-00003C340000}"/>
    <cellStyle name="40% - Accent3 59 8" xfId="13223" xr:uid="{00000000-0005-0000-0000-00003D340000}"/>
    <cellStyle name="40% - Accent3 6" xfId="1288" xr:uid="{00000000-0005-0000-0000-00003E340000}"/>
    <cellStyle name="40% - Accent3 6 10" xfId="24611" xr:uid="{00000000-0005-0000-0000-00003F340000}"/>
    <cellStyle name="40% - Accent3 6 11" xfId="25001" xr:uid="{00000000-0005-0000-0000-000040340000}"/>
    <cellStyle name="40% - Accent3 6 2" xfId="4244" xr:uid="{00000000-0005-0000-0000-000041340000}"/>
    <cellStyle name="40% - Accent3 6 2 2" xfId="12223" xr:uid="{00000000-0005-0000-0000-000042340000}"/>
    <cellStyle name="40% - Accent3 6 2 2 2" xfId="23511" xr:uid="{00000000-0005-0000-0000-000043340000}"/>
    <cellStyle name="40% - Accent3 6 2 3" xfId="10229" xr:uid="{00000000-0005-0000-0000-000044340000}"/>
    <cellStyle name="40% - Accent3 6 2 3 2" xfId="21517" xr:uid="{00000000-0005-0000-0000-000045340000}"/>
    <cellStyle name="40% - Accent3 6 2 4" xfId="8235" xr:uid="{00000000-0005-0000-0000-000046340000}"/>
    <cellStyle name="40% - Accent3 6 2 4 2" xfId="19523" xr:uid="{00000000-0005-0000-0000-000047340000}"/>
    <cellStyle name="40% - Accent3 6 2 5" xfId="6241" xr:uid="{00000000-0005-0000-0000-000048340000}"/>
    <cellStyle name="40% - Accent3 6 2 5 2" xfId="17529" xr:uid="{00000000-0005-0000-0000-000049340000}"/>
    <cellStyle name="40% - Accent3 6 2 6" xfId="15535" xr:uid="{00000000-0005-0000-0000-00004A340000}"/>
    <cellStyle name="40% - Accent3 6 2 7" xfId="24372" xr:uid="{00000000-0005-0000-0000-00004B340000}"/>
    <cellStyle name="40% - Accent3 6 2 8" xfId="24836" xr:uid="{00000000-0005-0000-0000-00004C340000}"/>
    <cellStyle name="40% - Accent3 6 2 9" xfId="25203" xr:uid="{00000000-0005-0000-0000-00004D340000}"/>
    <cellStyle name="40% - Accent3 6 3" xfId="11226" xr:uid="{00000000-0005-0000-0000-00004E340000}"/>
    <cellStyle name="40% - Accent3 6 3 2" xfId="22514" xr:uid="{00000000-0005-0000-0000-00004F340000}"/>
    <cellStyle name="40% - Accent3 6 4" xfId="9232" xr:uid="{00000000-0005-0000-0000-000050340000}"/>
    <cellStyle name="40% - Accent3 6 4 2" xfId="20520" xr:uid="{00000000-0005-0000-0000-000051340000}"/>
    <cellStyle name="40% - Accent3 6 5" xfId="7238" xr:uid="{00000000-0005-0000-0000-000052340000}"/>
    <cellStyle name="40% - Accent3 6 5 2" xfId="18526" xr:uid="{00000000-0005-0000-0000-000053340000}"/>
    <cellStyle name="40% - Accent3 6 6" xfId="5244" xr:uid="{00000000-0005-0000-0000-000054340000}"/>
    <cellStyle name="40% - Accent3 6 6 2" xfId="16532" xr:uid="{00000000-0005-0000-0000-000055340000}"/>
    <cellStyle name="40% - Accent3 6 7" xfId="14538" xr:uid="{00000000-0005-0000-0000-000056340000}"/>
    <cellStyle name="40% - Accent3 6 8" xfId="13224" xr:uid="{00000000-0005-0000-0000-000057340000}"/>
    <cellStyle name="40% - Accent3 6 9" xfId="23984" xr:uid="{00000000-0005-0000-0000-000058340000}"/>
    <cellStyle name="40% - Accent3 60" xfId="1289" xr:uid="{00000000-0005-0000-0000-000059340000}"/>
    <cellStyle name="40% - Accent3 60 2" xfId="4245" xr:uid="{00000000-0005-0000-0000-00005A340000}"/>
    <cellStyle name="40% - Accent3 60 2 2" xfId="12224" xr:uid="{00000000-0005-0000-0000-00005B340000}"/>
    <cellStyle name="40% - Accent3 60 2 2 2" xfId="23512" xr:uid="{00000000-0005-0000-0000-00005C340000}"/>
    <cellStyle name="40% - Accent3 60 2 3" xfId="10230" xr:uid="{00000000-0005-0000-0000-00005D340000}"/>
    <cellStyle name="40% - Accent3 60 2 3 2" xfId="21518" xr:uid="{00000000-0005-0000-0000-00005E340000}"/>
    <cellStyle name="40% - Accent3 60 2 4" xfId="8236" xr:uid="{00000000-0005-0000-0000-00005F340000}"/>
    <cellStyle name="40% - Accent3 60 2 4 2" xfId="19524" xr:uid="{00000000-0005-0000-0000-000060340000}"/>
    <cellStyle name="40% - Accent3 60 2 5" xfId="6242" xr:uid="{00000000-0005-0000-0000-000061340000}"/>
    <cellStyle name="40% - Accent3 60 2 5 2" xfId="17530" xr:uid="{00000000-0005-0000-0000-000062340000}"/>
    <cellStyle name="40% - Accent3 60 2 6" xfId="15536" xr:uid="{00000000-0005-0000-0000-000063340000}"/>
    <cellStyle name="40% - Accent3 60 3" xfId="11227" xr:uid="{00000000-0005-0000-0000-000064340000}"/>
    <cellStyle name="40% - Accent3 60 3 2" xfId="22515" xr:uid="{00000000-0005-0000-0000-000065340000}"/>
    <cellStyle name="40% - Accent3 60 4" xfId="9233" xr:uid="{00000000-0005-0000-0000-000066340000}"/>
    <cellStyle name="40% - Accent3 60 4 2" xfId="20521" xr:uid="{00000000-0005-0000-0000-000067340000}"/>
    <cellStyle name="40% - Accent3 60 5" xfId="7239" xr:uid="{00000000-0005-0000-0000-000068340000}"/>
    <cellStyle name="40% - Accent3 60 5 2" xfId="18527" xr:uid="{00000000-0005-0000-0000-000069340000}"/>
    <cellStyle name="40% - Accent3 60 6" xfId="5245" xr:uid="{00000000-0005-0000-0000-00006A340000}"/>
    <cellStyle name="40% - Accent3 60 6 2" xfId="16533" xr:uid="{00000000-0005-0000-0000-00006B340000}"/>
    <cellStyle name="40% - Accent3 60 7" xfId="14539" xr:uid="{00000000-0005-0000-0000-00006C340000}"/>
    <cellStyle name="40% - Accent3 60 8" xfId="13225" xr:uid="{00000000-0005-0000-0000-00006D340000}"/>
    <cellStyle name="40% - Accent3 61" xfId="1290" xr:uid="{00000000-0005-0000-0000-00006E340000}"/>
    <cellStyle name="40% - Accent3 61 2" xfId="4246" xr:uid="{00000000-0005-0000-0000-00006F340000}"/>
    <cellStyle name="40% - Accent3 61 2 2" xfId="12225" xr:uid="{00000000-0005-0000-0000-000070340000}"/>
    <cellStyle name="40% - Accent3 61 2 2 2" xfId="23513" xr:uid="{00000000-0005-0000-0000-000071340000}"/>
    <cellStyle name="40% - Accent3 61 2 3" xfId="10231" xr:uid="{00000000-0005-0000-0000-000072340000}"/>
    <cellStyle name="40% - Accent3 61 2 3 2" xfId="21519" xr:uid="{00000000-0005-0000-0000-000073340000}"/>
    <cellStyle name="40% - Accent3 61 2 4" xfId="8237" xr:uid="{00000000-0005-0000-0000-000074340000}"/>
    <cellStyle name="40% - Accent3 61 2 4 2" xfId="19525" xr:uid="{00000000-0005-0000-0000-000075340000}"/>
    <cellStyle name="40% - Accent3 61 2 5" xfId="6243" xr:uid="{00000000-0005-0000-0000-000076340000}"/>
    <cellStyle name="40% - Accent3 61 2 5 2" xfId="17531" xr:uid="{00000000-0005-0000-0000-000077340000}"/>
    <cellStyle name="40% - Accent3 61 2 6" xfId="15537" xr:uid="{00000000-0005-0000-0000-000078340000}"/>
    <cellStyle name="40% - Accent3 61 3" xfId="11228" xr:uid="{00000000-0005-0000-0000-000079340000}"/>
    <cellStyle name="40% - Accent3 61 3 2" xfId="22516" xr:uid="{00000000-0005-0000-0000-00007A340000}"/>
    <cellStyle name="40% - Accent3 61 4" xfId="9234" xr:uid="{00000000-0005-0000-0000-00007B340000}"/>
    <cellStyle name="40% - Accent3 61 4 2" xfId="20522" xr:uid="{00000000-0005-0000-0000-00007C340000}"/>
    <cellStyle name="40% - Accent3 61 5" xfId="7240" xr:uid="{00000000-0005-0000-0000-00007D340000}"/>
    <cellStyle name="40% - Accent3 61 5 2" xfId="18528" xr:uid="{00000000-0005-0000-0000-00007E340000}"/>
    <cellStyle name="40% - Accent3 61 6" xfId="5246" xr:uid="{00000000-0005-0000-0000-00007F340000}"/>
    <cellStyle name="40% - Accent3 61 6 2" xfId="16534" xr:uid="{00000000-0005-0000-0000-000080340000}"/>
    <cellStyle name="40% - Accent3 61 7" xfId="14540" xr:uid="{00000000-0005-0000-0000-000081340000}"/>
    <cellStyle name="40% - Accent3 61 8" xfId="13226" xr:uid="{00000000-0005-0000-0000-000082340000}"/>
    <cellStyle name="40% - Accent3 62" xfId="1291" xr:uid="{00000000-0005-0000-0000-000083340000}"/>
    <cellStyle name="40% - Accent3 62 2" xfId="4247" xr:uid="{00000000-0005-0000-0000-000084340000}"/>
    <cellStyle name="40% - Accent3 62 2 2" xfId="12226" xr:uid="{00000000-0005-0000-0000-000085340000}"/>
    <cellStyle name="40% - Accent3 62 2 2 2" xfId="23514" xr:uid="{00000000-0005-0000-0000-000086340000}"/>
    <cellStyle name="40% - Accent3 62 2 3" xfId="10232" xr:uid="{00000000-0005-0000-0000-000087340000}"/>
    <cellStyle name="40% - Accent3 62 2 3 2" xfId="21520" xr:uid="{00000000-0005-0000-0000-000088340000}"/>
    <cellStyle name="40% - Accent3 62 2 4" xfId="8238" xr:uid="{00000000-0005-0000-0000-000089340000}"/>
    <cellStyle name="40% - Accent3 62 2 4 2" xfId="19526" xr:uid="{00000000-0005-0000-0000-00008A340000}"/>
    <cellStyle name="40% - Accent3 62 2 5" xfId="6244" xr:uid="{00000000-0005-0000-0000-00008B340000}"/>
    <cellStyle name="40% - Accent3 62 2 5 2" xfId="17532" xr:uid="{00000000-0005-0000-0000-00008C340000}"/>
    <cellStyle name="40% - Accent3 62 2 6" xfId="15538" xr:uid="{00000000-0005-0000-0000-00008D340000}"/>
    <cellStyle name="40% - Accent3 62 3" xfId="11229" xr:uid="{00000000-0005-0000-0000-00008E340000}"/>
    <cellStyle name="40% - Accent3 62 3 2" xfId="22517" xr:uid="{00000000-0005-0000-0000-00008F340000}"/>
    <cellStyle name="40% - Accent3 62 4" xfId="9235" xr:uid="{00000000-0005-0000-0000-000090340000}"/>
    <cellStyle name="40% - Accent3 62 4 2" xfId="20523" xr:uid="{00000000-0005-0000-0000-000091340000}"/>
    <cellStyle name="40% - Accent3 62 5" xfId="7241" xr:uid="{00000000-0005-0000-0000-000092340000}"/>
    <cellStyle name="40% - Accent3 62 5 2" xfId="18529" xr:uid="{00000000-0005-0000-0000-000093340000}"/>
    <cellStyle name="40% - Accent3 62 6" xfId="5247" xr:uid="{00000000-0005-0000-0000-000094340000}"/>
    <cellStyle name="40% - Accent3 62 6 2" xfId="16535" xr:uid="{00000000-0005-0000-0000-000095340000}"/>
    <cellStyle name="40% - Accent3 62 7" xfId="14541" xr:uid="{00000000-0005-0000-0000-000096340000}"/>
    <cellStyle name="40% - Accent3 62 8" xfId="13227" xr:uid="{00000000-0005-0000-0000-000097340000}"/>
    <cellStyle name="40% - Accent3 63" xfId="1292" xr:uid="{00000000-0005-0000-0000-000098340000}"/>
    <cellStyle name="40% - Accent3 63 2" xfId="4248" xr:uid="{00000000-0005-0000-0000-000099340000}"/>
    <cellStyle name="40% - Accent3 63 2 2" xfId="12227" xr:uid="{00000000-0005-0000-0000-00009A340000}"/>
    <cellStyle name="40% - Accent3 63 2 2 2" xfId="23515" xr:uid="{00000000-0005-0000-0000-00009B340000}"/>
    <cellStyle name="40% - Accent3 63 2 3" xfId="10233" xr:uid="{00000000-0005-0000-0000-00009C340000}"/>
    <cellStyle name="40% - Accent3 63 2 3 2" xfId="21521" xr:uid="{00000000-0005-0000-0000-00009D340000}"/>
    <cellStyle name="40% - Accent3 63 2 4" xfId="8239" xr:uid="{00000000-0005-0000-0000-00009E340000}"/>
    <cellStyle name="40% - Accent3 63 2 4 2" xfId="19527" xr:uid="{00000000-0005-0000-0000-00009F340000}"/>
    <cellStyle name="40% - Accent3 63 2 5" xfId="6245" xr:uid="{00000000-0005-0000-0000-0000A0340000}"/>
    <cellStyle name="40% - Accent3 63 2 5 2" xfId="17533" xr:uid="{00000000-0005-0000-0000-0000A1340000}"/>
    <cellStyle name="40% - Accent3 63 2 6" xfId="15539" xr:uid="{00000000-0005-0000-0000-0000A2340000}"/>
    <cellStyle name="40% - Accent3 63 3" xfId="11230" xr:uid="{00000000-0005-0000-0000-0000A3340000}"/>
    <cellStyle name="40% - Accent3 63 3 2" xfId="22518" xr:uid="{00000000-0005-0000-0000-0000A4340000}"/>
    <cellStyle name="40% - Accent3 63 4" xfId="9236" xr:uid="{00000000-0005-0000-0000-0000A5340000}"/>
    <cellStyle name="40% - Accent3 63 4 2" xfId="20524" xr:uid="{00000000-0005-0000-0000-0000A6340000}"/>
    <cellStyle name="40% - Accent3 63 5" xfId="7242" xr:uid="{00000000-0005-0000-0000-0000A7340000}"/>
    <cellStyle name="40% - Accent3 63 5 2" xfId="18530" xr:uid="{00000000-0005-0000-0000-0000A8340000}"/>
    <cellStyle name="40% - Accent3 63 6" xfId="5248" xr:uid="{00000000-0005-0000-0000-0000A9340000}"/>
    <cellStyle name="40% - Accent3 63 6 2" xfId="16536" xr:uid="{00000000-0005-0000-0000-0000AA340000}"/>
    <cellStyle name="40% - Accent3 63 7" xfId="14542" xr:uid="{00000000-0005-0000-0000-0000AB340000}"/>
    <cellStyle name="40% - Accent3 63 8" xfId="13228" xr:uid="{00000000-0005-0000-0000-0000AC340000}"/>
    <cellStyle name="40% - Accent3 64" xfId="1293" xr:uid="{00000000-0005-0000-0000-0000AD340000}"/>
    <cellStyle name="40% - Accent3 64 2" xfId="4249" xr:uid="{00000000-0005-0000-0000-0000AE340000}"/>
    <cellStyle name="40% - Accent3 64 2 2" xfId="12228" xr:uid="{00000000-0005-0000-0000-0000AF340000}"/>
    <cellStyle name="40% - Accent3 64 2 2 2" xfId="23516" xr:uid="{00000000-0005-0000-0000-0000B0340000}"/>
    <cellStyle name="40% - Accent3 64 2 3" xfId="10234" xr:uid="{00000000-0005-0000-0000-0000B1340000}"/>
    <cellStyle name="40% - Accent3 64 2 3 2" xfId="21522" xr:uid="{00000000-0005-0000-0000-0000B2340000}"/>
    <cellStyle name="40% - Accent3 64 2 4" xfId="8240" xr:uid="{00000000-0005-0000-0000-0000B3340000}"/>
    <cellStyle name="40% - Accent3 64 2 4 2" xfId="19528" xr:uid="{00000000-0005-0000-0000-0000B4340000}"/>
    <cellStyle name="40% - Accent3 64 2 5" xfId="6246" xr:uid="{00000000-0005-0000-0000-0000B5340000}"/>
    <cellStyle name="40% - Accent3 64 2 5 2" xfId="17534" xr:uid="{00000000-0005-0000-0000-0000B6340000}"/>
    <cellStyle name="40% - Accent3 64 2 6" xfId="15540" xr:uid="{00000000-0005-0000-0000-0000B7340000}"/>
    <cellStyle name="40% - Accent3 64 3" xfId="11231" xr:uid="{00000000-0005-0000-0000-0000B8340000}"/>
    <cellStyle name="40% - Accent3 64 3 2" xfId="22519" xr:uid="{00000000-0005-0000-0000-0000B9340000}"/>
    <cellStyle name="40% - Accent3 64 4" xfId="9237" xr:uid="{00000000-0005-0000-0000-0000BA340000}"/>
    <cellStyle name="40% - Accent3 64 4 2" xfId="20525" xr:uid="{00000000-0005-0000-0000-0000BB340000}"/>
    <cellStyle name="40% - Accent3 64 5" xfId="7243" xr:uid="{00000000-0005-0000-0000-0000BC340000}"/>
    <cellStyle name="40% - Accent3 64 5 2" xfId="18531" xr:uid="{00000000-0005-0000-0000-0000BD340000}"/>
    <cellStyle name="40% - Accent3 64 6" xfId="5249" xr:uid="{00000000-0005-0000-0000-0000BE340000}"/>
    <cellStyle name="40% - Accent3 64 6 2" xfId="16537" xr:uid="{00000000-0005-0000-0000-0000BF340000}"/>
    <cellStyle name="40% - Accent3 64 7" xfId="14543" xr:uid="{00000000-0005-0000-0000-0000C0340000}"/>
    <cellStyle name="40% - Accent3 64 8" xfId="13229" xr:uid="{00000000-0005-0000-0000-0000C1340000}"/>
    <cellStyle name="40% - Accent3 65" xfId="1294" xr:uid="{00000000-0005-0000-0000-0000C2340000}"/>
    <cellStyle name="40% - Accent3 65 2" xfId="4250" xr:uid="{00000000-0005-0000-0000-0000C3340000}"/>
    <cellStyle name="40% - Accent3 65 2 2" xfId="12229" xr:uid="{00000000-0005-0000-0000-0000C4340000}"/>
    <cellStyle name="40% - Accent3 65 2 2 2" xfId="23517" xr:uid="{00000000-0005-0000-0000-0000C5340000}"/>
    <cellStyle name="40% - Accent3 65 2 3" xfId="10235" xr:uid="{00000000-0005-0000-0000-0000C6340000}"/>
    <cellStyle name="40% - Accent3 65 2 3 2" xfId="21523" xr:uid="{00000000-0005-0000-0000-0000C7340000}"/>
    <cellStyle name="40% - Accent3 65 2 4" xfId="8241" xr:uid="{00000000-0005-0000-0000-0000C8340000}"/>
    <cellStyle name="40% - Accent3 65 2 4 2" xfId="19529" xr:uid="{00000000-0005-0000-0000-0000C9340000}"/>
    <cellStyle name="40% - Accent3 65 2 5" xfId="6247" xr:uid="{00000000-0005-0000-0000-0000CA340000}"/>
    <cellStyle name="40% - Accent3 65 2 5 2" xfId="17535" xr:uid="{00000000-0005-0000-0000-0000CB340000}"/>
    <cellStyle name="40% - Accent3 65 2 6" xfId="15541" xr:uid="{00000000-0005-0000-0000-0000CC340000}"/>
    <cellStyle name="40% - Accent3 65 3" xfId="11232" xr:uid="{00000000-0005-0000-0000-0000CD340000}"/>
    <cellStyle name="40% - Accent3 65 3 2" xfId="22520" xr:uid="{00000000-0005-0000-0000-0000CE340000}"/>
    <cellStyle name="40% - Accent3 65 4" xfId="9238" xr:uid="{00000000-0005-0000-0000-0000CF340000}"/>
    <cellStyle name="40% - Accent3 65 4 2" xfId="20526" xr:uid="{00000000-0005-0000-0000-0000D0340000}"/>
    <cellStyle name="40% - Accent3 65 5" xfId="7244" xr:uid="{00000000-0005-0000-0000-0000D1340000}"/>
    <cellStyle name="40% - Accent3 65 5 2" xfId="18532" xr:uid="{00000000-0005-0000-0000-0000D2340000}"/>
    <cellStyle name="40% - Accent3 65 6" xfId="5250" xr:uid="{00000000-0005-0000-0000-0000D3340000}"/>
    <cellStyle name="40% - Accent3 65 6 2" xfId="16538" xr:uid="{00000000-0005-0000-0000-0000D4340000}"/>
    <cellStyle name="40% - Accent3 65 7" xfId="14544" xr:uid="{00000000-0005-0000-0000-0000D5340000}"/>
    <cellStyle name="40% - Accent3 65 8" xfId="13230" xr:uid="{00000000-0005-0000-0000-0000D6340000}"/>
    <cellStyle name="40% - Accent3 66" xfId="1295" xr:uid="{00000000-0005-0000-0000-0000D7340000}"/>
    <cellStyle name="40% - Accent3 66 2" xfId="4251" xr:uid="{00000000-0005-0000-0000-0000D8340000}"/>
    <cellStyle name="40% - Accent3 66 2 2" xfId="12230" xr:uid="{00000000-0005-0000-0000-0000D9340000}"/>
    <cellStyle name="40% - Accent3 66 2 2 2" xfId="23518" xr:uid="{00000000-0005-0000-0000-0000DA340000}"/>
    <cellStyle name="40% - Accent3 66 2 3" xfId="10236" xr:uid="{00000000-0005-0000-0000-0000DB340000}"/>
    <cellStyle name="40% - Accent3 66 2 3 2" xfId="21524" xr:uid="{00000000-0005-0000-0000-0000DC340000}"/>
    <cellStyle name="40% - Accent3 66 2 4" xfId="8242" xr:uid="{00000000-0005-0000-0000-0000DD340000}"/>
    <cellStyle name="40% - Accent3 66 2 4 2" xfId="19530" xr:uid="{00000000-0005-0000-0000-0000DE340000}"/>
    <cellStyle name="40% - Accent3 66 2 5" xfId="6248" xr:uid="{00000000-0005-0000-0000-0000DF340000}"/>
    <cellStyle name="40% - Accent3 66 2 5 2" xfId="17536" xr:uid="{00000000-0005-0000-0000-0000E0340000}"/>
    <cellStyle name="40% - Accent3 66 2 6" xfId="15542" xr:uid="{00000000-0005-0000-0000-0000E1340000}"/>
    <cellStyle name="40% - Accent3 66 3" xfId="11233" xr:uid="{00000000-0005-0000-0000-0000E2340000}"/>
    <cellStyle name="40% - Accent3 66 3 2" xfId="22521" xr:uid="{00000000-0005-0000-0000-0000E3340000}"/>
    <cellStyle name="40% - Accent3 66 4" xfId="9239" xr:uid="{00000000-0005-0000-0000-0000E4340000}"/>
    <cellStyle name="40% - Accent3 66 4 2" xfId="20527" xr:uid="{00000000-0005-0000-0000-0000E5340000}"/>
    <cellStyle name="40% - Accent3 66 5" xfId="7245" xr:uid="{00000000-0005-0000-0000-0000E6340000}"/>
    <cellStyle name="40% - Accent3 66 5 2" xfId="18533" xr:uid="{00000000-0005-0000-0000-0000E7340000}"/>
    <cellStyle name="40% - Accent3 66 6" xfId="5251" xr:uid="{00000000-0005-0000-0000-0000E8340000}"/>
    <cellStyle name="40% - Accent3 66 6 2" xfId="16539" xr:uid="{00000000-0005-0000-0000-0000E9340000}"/>
    <cellStyle name="40% - Accent3 66 7" xfId="14545" xr:uid="{00000000-0005-0000-0000-0000EA340000}"/>
    <cellStyle name="40% - Accent3 66 8" xfId="13231" xr:uid="{00000000-0005-0000-0000-0000EB340000}"/>
    <cellStyle name="40% - Accent3 67" xfId="1296" xr:uid="{00000000-0005-0000-0000-0000EC340000}"/>
    <cellStyle name="40% - Accent3 67 2" xfId="4252" xr:uid="{00000000-0005-0000-0000-0000ED340000}"/>
    <cellStyle name="40% - Accent3 67 2 2" xfId="12231" xr:uid="{00000000-0005-0000-0000-0000EE340000}"/>
    <cellStyle name="40% - Accent3 67 2 2 2" xfId="23519" xr:uid="{00000000-0005-0000-0000-0000EF340000}"/>
    <cellStyle name="40% - Accent3 67 2 3" xfId="10237" xr:uid="{00000000-0005-0000-0000-0000F0340000}"/>
    <cellStyle name="40% - Accent3 67 2 3 2" xfId="21525" xr:uid="{00000000-0005-0000-0000-0000F1340000}"/>
    <cellStyle name="40% - Accent3 67 2 4" xfId="8243" xr:uid="{00000000-0005-0000-0000-0000F2340000}"/>
    <cellStyle name="40% - Accent3 67 2 4 2" xfId="19531" xr:uid="{00000000-0005-0000-0000-0000F3340000}"/>
    <cellStyle name="40% - Accent3 67 2 5" xfId="6249" xr:uid="{00000000-0005-0000-0000-0000F4340000}"/>
    <cellStyle name="40% - Accent3 67 2 5 2" xfId="17537" xr:uid="{00000000-0005-0000-0000-0000F5340000}"/>
    <cellStyle name="40% - Accent3 67 2 6" xfId="15543" xr:uid="{00000000-0005-0000-0000-0000F6340000}"/>
    <cellStyle name="40% - Accent3 67 3" xfId="11234" xr:uid="{00000000-0005-0000-0000-0000F7340000}"/>
    <cellStyle name="40% - Accent3 67 3 2" xfId="22522" xr:uid="{00000000-0005-0000-0000-0000F8340000}"/>
    <cellStyle name="40% - Accent3 67 4" xfId="9240" xr:uid="{00000000-0005-0000-0000-0000F9340000}"/>
    <cellStyle name="40% - Accent3 67 4 2" xfId="20528" xr:uid="{00000000-0005-0000-0000-0000FA340000}"/>
    <cellStyle name="40% - Accent3 67 5" xfId="7246" xr:uid="{00000000-0005-0000-0000-0000FB340000}"/>
    <cellStyle name="40% - Accent3 67 5 2" xfId="18534" xr:uid="{00000000-0005-0000-0000-0000FC340000}"/>
    <cellStyle name="40% - Accent3 67 6" xfId="5252" xr:uid="{00000000-0005-0000-0000-0000FD340000}"/>
    <cellStyle name="40% - Accent3 67 6 2" xfId="16540" xr:uid="{00000000-0005-0000-0000-0000FE340000}"/>
    <cellStyle name="40% - Accent3 67 7" xfId="14546" xr:uid="{00000000-0005-0000-0000-0000FF340000}"/>
    <cellStyle name="40% - Accent3 67 8" xfId="13232" xr:uid="{00000000-0005-0000-0000-000000350000}"/>
    <cellStyle name="40% - Accent3 68" xfId="1297" xr:uid="{00000000-0005-0000-0000-000001350000}"/>
    <cellStyle name="40% - Accent3 68 2" xfId="4253" xr:uid="{00000000-0005-0000-0000-000002350000}"/>
    <cellStyle name="40% - Accent3 68 2 2" xfId="12232" xr:uid="{00000000-0005-0000-0000-000003350000}"/>
    <cellStyle name="40% - Accent3 68 2 2 2" xfId="23520" xr:uid="{00000000-0005-0000-0000-000004350000}"/>
    <cellStyle name="40% - Accent3 68 2 3" xfId="10238" xr:uid="{00000000-0005-0000-0000-000005350000}"/>
    <cellStyle name="40% - Accent3 68 2 3 2" xfId="21526" xr:uid="{00000000-0005-0000-0000-000006350000}"/>
    <cellStyle name="40% - Accent3 68 2 4" xfId="8244" xr:uid="{00000000-0005-0000-0000-000007350000}"/>
    <cellStyle name="40% - Accent3 68 2 4 2" xfId="19532" xr:uid="{00000000-0005-0000-0000-000008350000}"/>
    <cellStyle name="40% - Accent3 68 2 5" xfId="6250" xr:uid="{00000000-0005-0000-0000-000009350000}"/>
    <cellStyle name="40% - Accent3 68 2 5 2" xfId="17538" xr:uid="{00000000-0005-0000-0000-00000A350000}"/>
    <cellStyle name="40% - Accent3 68 2 6" xfId="15544" xr:uid="{00000000-0005-0000-0000-00000B350000}"/>
    <cellStyle name="40% - Accent3 68 3" xfId="11235" xr:uid="{00000000-0005-0000-0000-00000C350000}"/>
    <cellStyle name="40% - Accent3 68 3 2" xfId="22523" xr:uid="{00000000-0005-0000-0000-00000D350000}"/>
    <cellStyle name="40% - Accent3 68 4" xfId="9241" xr:uid="{00000000-0005-0000-0000-00000E350000}"/>
    <cellStyle name="40% - Accent3 68 4 2" xfId="20529" xr:uid="{00000000-0005-0000-0000-00000F350000}"/>
    <cellStyle name="40% - Accent3 68 5" xfId="7247" xr:uid="{00000000-0005-0000-0000-000010350000}"/>
    <cellStyle name="40% - Accent3 68 5 2" xfId="18535" xr:uid="{00000000-0005-0000-0000-000011350000}"/>
    <cellStyle name="40% - Accent3 68 6" xfId="5253" xr:uid="{00000000-0005-0000-0000-000012350000}"/>
    <cellStyle name="40% - Accent3 68 6 2" xfId="16541" xr:uid="{00000000-0005-0000-0000-000013350000}"/>
    <cellStyle name="40% - Accent3 68 7" xfId="14547" xr:uid="{00000000-0005-0000-0000-000014350000}"/>
    <cellStyle name="40% - Accent3 68 8" xfId="13233" xr:uid="{00000000-0005-0000-0000-000015350000}"/>
    <cellStyle name="40% - Accent3 69" xfId="1298" xr:uid="{00000000-0005-0000-0000-000016350000}"/>
    <cellStyle name="40% - Accent3 69 2" xfId="4254" xr:uid="{00000000-0005-0000-0000-000017350000}"/>
    <cellStyle name="40% - Accent3 69 2 2" xfId="12233" xr:uid="{00000000-0005-0000-0000-000018350000}"/>
    <cellStyle name="40% - Accent3 69 2 2 2" xfId="23521" xr:uid="{00000000-0005-0000-0000-000019350000}"/>
    <cellStyle name="40% - Accent3 69 2 3" xfId="10239" xr:uid="{00000000-0005-0000-0000-00001A350000}"/>
    <cellStyle name="40% - Accent3 69 2 3 2" xfId="21527" xr:uid="{00000000-0005-0000-0000-00001B350000}"/>
    <cellStyle name="40% - Accent3 69 2 4" xfId="8245" xr:uid="{00000000-0005-0000-0000-00001C350000}"/>
    <cellStyle name="40% - Accent3 69 2 4 2" xfId="19533" xr:uid="{00000000-0005-0000-0000-00001D350000}"/>
    <cellStyle name="40% - Accent3 69 2 5" xfId="6251" xr:uid="{00000000-0005-0000-0000-00001E350000}"/>
    <cellStyle name="40% - Accent3 69 2 5 2" xfId="17539" xr:uid="{00000000-0005-0000-0000-00001F350000}"/>
    <cellStyle name="40% - Accent3 69 2 6" xfId="15545" xr:uid="{00000000-0005-0000-0000-000020350000}"/>
    <cellStyle name="40% - Accent3 69 3" xfId="11236" xr:uid="{00000000-0005-0000-0000-000021350000}"/>
    <cellStyle name="40% - Accent3 69 3 2" xfId="22524" xr:uid="{00000000-0005-0000-0000-000022350000}"/>
    <cellStyle name="40% - Accent3 69 4" xfId="9242" xr:uid="{00000000-0005-0000-0000-000023350000}"/>
    <cellStyle name="40% - Accent3 69 4 2" xfId="20530" xr:uid="{00000000-0005-0000-0000-000024350000}"/>
    <cellStyle name="40% - Accent3 69 5" xfId="7248" xr:uid="{00000000-0005-0000-0000-000025350000}"/>
    <cellStyle name="40% - Accent3 69 5 2" xfId="18536" xr:uid="{00000000-0005-0000-0000-000026350000}"/>
    <cellStyle name="40% - Accent3 69 6" xfId="5254" xr:uid="{00000000-0005-0000-0000-000027350000}"/>
    <cellStyle name="40% - Accent3 69 6 2" xfId="16542" xr:uid="{00000000-0005-0000-0000-000028350000}"/>
    <cellStyle name="40% - Accent3 69 7" xfId="14548" xr:uid="{00000000-0005-0000-0000-000029350000}"/>
    <cellStyle name="40% - Accent3 69 8" xfId="13234" xr:uid="{00000000-0005-0000-0000-00002A350000}"/>
    <cellStyle name="40% - Accent3 7" xfId="1299" xr:uid="{00000000-0005-0000-0000-00002B350000}"/>
    <cellStyle name="40% - Accent3 7 10" xfId="24612" xr:uid="{00000000-0005-0000-0000-00002C350000}"/>
    <cellStyle name="40% - Accent3 7 11" xfId="25002" xr:uid="{00000000-0005-0000-0000-00002D350000}"/>
    <cellStyle name="40% - Accent3 7 2" xfId="4255" xr:uid="{00000000-0005-0000-0000-00002E350000}"/>
    <cellStyle name="40% - Accent3 7 2 2" xfId="12234" xr:uid="{00000000-0005-0000-0000-00002F350000}"/>
    <cellStyle name="40% - Accent3 7 2 2 2" xfId="23522" xr:uid="{00000000-0005-0000-0000-000030350000}"/>
    <cellStyle name="40% - Accent3 7 2 3" xfId="10240" xr:uid="{00000000-0005-0000-0000-000031350000}"/>
    <cellStyle name="40% - Accent3 7 2 3 2" xfId="21528" xr:uid="{00000000-0005-0000-0000-000032350000}"/>
    <cellStyle name="40% - Accent3 7 2 4" xfId="8246" xr:uid="{00000000-0005-0000-0000-000033350000}"/>
    <cellStyle name="40% - Accent3 7 2 4 2" xfId="19534" xr:uid="{00000000-0005-0000-0000-000034350000}"/>
    <cellStyle name="40% - Accent3 7 2 5" xfId="6252" xr:uid="{00000000-0005-0000-0000-000035350000}"/>
    <cellStyle name="40% - Accent3 7 2 5 2" xfId="17540" xr:uid="{00000000-0005-0000-0000-000036350000}"/>
    <cellStyle name="40% - Accent3 7 2 6" xfId="15546" xr:uid="{00000000-0005-0000-0000-000037350000}"/>
    <cellStyle name="40% - Accent3 7 2 7" xfId="24373" xr:uid="{00000000-0005-0000-0000-000038350000}"/>
    <cellStyle name="40% - Accent3 7 2 8" xfId="24837" xr:uid="{00000000-0005-0000-0000-000039350000}"/>
    <cellStyle name="40% - Accent3 7 2 9" xfId="25204" xr:uid="{00000000-0005-0000-0000-00003A350000}"/>
    <cellStyle name="40% - Accent3 7 3" xfId="11237" xr:uid="{00000000-0005-0000-0000-00003B350000}"/>
    <cellStyle name="40% - Accent3 7 3 2" xfId="22525" xr:uid="{00000000-0005-0000-0000-00003C350000}"/>
    <cellStyle name="40% - Accent3 7 4" xfId="9243" xr:uid="{00000000-0005-0000-0000-00003D350000}"/>
    <cellStyle name="40% - Accent3 7 4 2" xfId="20531" xr:uid="{00000000-0005-0000-0000-00003E350000}"/>
    <cellStyle name="40% - Accent3 7 5" xfId="7249" xr:uid="{00000000-0005-0000-0000-00003F350000}"/>
    <cellStyle name="40% - Accent3 7 5 2" xfId="18537" xr:uid="{00000000-0005-0000-0000-000040350000}"/>
    <cellStyle name="40% - Accent3 7 6" xfId="5255" xr:uid="{00000000-0005-0000-0000-000041350000}"/>
    <cellStyle name="40% - Accent3 7 6 2" xfId="16543" xr:uid="{00000000-0005-0000-0000-000042350000}"/>
    <cellStyle name="40% - Accent3 7 7" xfId="14549" xr:uid="{00000000-0005-0000-0000-000043350000}"/>
    <cellStyle name="40% - Accent3 7 8" xfId="13235" xr:uid="{00000000-0005-0000-0000-000044350000}"/>
    <cellStyle name="40% - Accent3 7 9" xfId="23985" xr:uid="{00000000-0005-0000-0000-000045350000}"/>
    <cellStyle name="40% - Accent3 70" xfId="1300" xr:uid="{00000000-0005-0000-0000-000046350000}"/>
    <cellStyle name="40% - Accent3 70 2" xfId="4256" xr:uid="{00000000-0005-0000-0000-000047350000}"/>
    <cellStyle name="40% - Accent3 70 2 2" xfId="12235" xr:uid="{00000000-0005-0000-0000-000048350000}"/>
    <cellStyle name="40% - Accent3 70 2 2 2" xfId="23523" xr:uid="{00000000-0005-0000-0000-000049350000}"/>
    <cellStyle name="40% - Accent3 70 2 3" xfId="10241" xr:uid="{00000000-0005-0000-0000-00004A350000}"/>
    <cellStyle name="40% - Accent3 70 2 3 2" xfId="21529" xr:uid="{00000000-0005-0000-0000-00004B350000}"/>
    <cellStyle name="40% - Accent3 70 2 4" xfId="8247" xr:uid="{00000000-0005-0000-0000-00004C350000}"/>
    <cellStyle name="40% - Accent3 70 2 4 2" xfId="19535" xr:uid="{00000000-0005-0000-0000-00004D350000}"/>
    <cellStyle name="40% - Accent3 70 2 5" xfId="6253" xr:uid="{00000000-0005-0000-0000-00004E350000}"/>
    <cellStyle name="40% - Accent3 70 2 5 2" xfId="17541" xr:uid="{00000000-0005-0000-0000-00004F350000}"/>
    <cellStyle name="40% - Accent3 70 2 6" xfId="15547" xr:uid="{00000000-0005-0000-0000-000050350000}"/>
    <cellStyle name="40% - Accent3 70 3" xfId="11238" xr:uid="{00000000-0005-0000-0000-000051350000}"/>
    <cellStyle name="40% - Accent3 70 3 2" xfId="22526" xr:uid="{00000000-0005-0000-0000-000052350000}"/>
    <cellStyle name="40% - Accent3 70 4" xfId="9244" xr:uid="{00000000-0005-0000-0000-000053350000}"/>
    <cellStyle name="40% - Accent3 70 4 2" xfId="20532" xr:uid="{00000000-0005-0000-0000-000054350000}"/>
    <cellStyle name="40% - Accent3 70 5" xfId="7250" xr:uid="{00000000-0005-0000-0000-000055350000}"/>
    <cellStyle name="40% - Accent3 70 5 2" xfId="18538" xr:uid="{00000000-0005-0000-0000-000056350000}"/>
    <cellStyle name="40% - Accent3 70 6" xfId="5256" xr:uid="{00000000-0005-0000-0000-000057350000}"/>
    <cellStyle name="40% - Accent3 70 6 2" xfId="16544" xr:uid="{00000000-0005-0000-0000-000058350000}"/>
    <cellStyle name="40% - Accent3 70 7" xfId="14550" xr:uid="{00000000-0005-0000-0000-000059350000}"/>
    <cellStyle name="40% - Accent3 70 8" xfId="13236" xr:uid="{00000000-0005-0000-0000-00005A350000}"/>
    <cellStyle name="40% - Accent3 71" xfId="1301" xr:uid="{00000000-0005-0000-0000-00005B350000}"/>
    <cellStyle name="40% - Accent3 71 2" xfId="4257" xr:uid="{00000000-0005-0000-0000-00005C350000}"/>
    <cellStyle name="40% - Accent3 71 2 2" xfId="12236" xr:uid="{00000000-0005-0000-0000-00005D350000}"/>
    <cellStyle name="40% - Accent3 71 2 2 2" xfId="23524" xr:uid="{00000000-0005-0000-0000-00005E350000}"/>
    <cellStyle name="40% - Accent3 71 2 3" xfId="10242" xr:uid="{00000000-0005-0000-0000-00005F350000}"/>
    <cellStyle name="40% - Accent3 71 2 3 2" xfId="21530" xr:uid="{00000000-0005-0000-0000-000060350000}"/>
    <cellStyle name="40% - Accent3 71 2 4" xfId="8248" xr:uid="{00000000-0005-0000-0000-000061350000}"/>
    <cellStyle name="40% - Accent3 71 2 4 2" xfId="19536" xr:uid="{00000000-0005-0000-0000-000062350000}"/>
    <cellStyle name="40% - Accent3 71 2 5" xfId="6254" xr:uid="{00000000-0005-0000-0000-000063350000}"/>
    <cellStyle name="40% - Accent3 71 2 5 2" xfId="17542" xr:uid="{00000000-0005-0000-0000-000064350000}"/>
    <cellStyle name="40% - Accent3 71 2 6" xfId="15548" xr:uid="{00000000-0005-0000-0000-000065350000}"/>
    <cellStyle name="40% - Accent3 71 3" xfId="11239" xr:uid="{00000000-0005-0000-0000-000066350000}"/>
    <cellStyle name="40% - Accent3 71 3 2" xfId="22527" xr:uid="{00000000-0005-0000-0000-000067350000}"/>
    <cellStyle name="40% - Accent3 71 4" xfId="9245" xr:uid="{00000000-0005-0000-0000-000068350000}"/>
    <cellStyle name="40% - Accent3 71 4 2" xfId="20533" xr:uid="{00000000-0005-0000-0000-000069350000}"/>
    <cellStyle name="40% - Accent3 71 5" xfId="7251" xr:uid="{00000000-0005-0000-0000-00006A350000}"/>
    <cellStyle name="40% - Accent3 71 5 2" xfId="18539" xr:uid="{00000000-0005-0000-0000-00006B350000}"/>
    <cellStyle name="40% - Accent3 71 6" xfId="5257" xr:uid="{00000000-0005-0000-0000-00006C350000}"/>
    <cellStyle name="40% - Accent3 71 6 2" xfId="16545" xr:uid="{00000000-0005-0000-0000-00006D350000}"/>
    <cellStyle name="40% - Accent3 71 7" xfId="14551" xr:uid="{00000000-0005-0000-0000-00006E350000}"/>
    <cellStyle name="40% - Accent3 71 8" xfId="13237" xr:uid="{00000000-0005-0000-0000-00006F350000}"/>
    <cellStyle name="40% - Accent3 72" xfId="1302" xr:uid="{00000000-0005-0000-0000-000070350000}"/>
    <cellStyle name="40% - Accent3 72 2" xfId="4258" xr:uid="{00000000-0005-0000-0000-000071350000}"/>
    <cellStyle name="40% - Accent3 72 2 2" xfId="12237" xr:uid="{00000000-0005-0000-0000-000072350000}"/>
    <cellStyle name="40% - Accent3 72 2 2 2" xfId="23525" xr:uid="{00000000-0005-0000-0000-000073350000}"/>
    <cellStyle name="40% - Accent3 72 2 3" xfId="10243" xr:uid="{00000000-0005-0000-0000-000074350000}"/>
    <cellStyle name="40% - Accent3 72 2 3 2" xfId="21531" xr:uid="{00000000-0005-0000-0000-000075350000}"/>
    <cellStyle name="40% - Accent3 72 2 4" xfId="8249" xr:uid="{00000000-0005-0000-0000-000076350000}"/>
    <cellStyle name="40% - Accent3 72 2 4 2" xfId="19537" xr:uid="{00000000-0005-0000-0000-000077350000}"/>
    <cellStyle name="40% - Accent3 72 2 5" xfId="6255" xr:uid="{00000000-0005-0000-0000-000078350000}"/>
    <cellStyle name="40% - Accent3 72 2 5 2" xfId="17543" xr:uid="{00000000-0005-0000-0000-000079350000}"/>
    <cellStyle name="40% - Accent3 72 2 6" xfId="15549" xr:uid="{00000000-0005-0000-0000-00007A350000}"/>
    <cellStyle name="40% - Accent3 72 3" xfId="11240" xr:uid="{00000000-0005-0000-0000-00007B350000}"/>
    <cellStyle name="40% - Accent3 72 3 2" xfId="22528" xr:uid="{00000000-0005-0000-0000-00007C350000}"/>
    <cellStyle name="40% - Accent3 72 4" xfId="9246" xr:uid="{00000000-0005-0000-0000-00007D350000}"/>
    <cellStyle name="40% - Accent3 72 4 2" xfId="20534" xr:uid="{00000000-0005-0000-0000-00007E350000}"/>
    <cellStyle name="40% - Accent3 72 5" xfId="7252" xr:uid="{00000000-0005-0000-0000-00007F350000}"/>
    <cellStyle name="40% - Accent3 72 5 2" xfId="18540" xr:uid="{00000000-0005-0000-0000-000080350000}"/>
    <cellStyle name="40% - Accent3 72 6" xfId="5258" xr:uid="{00000000-0005-0000-0000-000081350000}"/>
    <cellStyle name="40% - Accent3 72 6 2" xfId="16546" xr:uid="{00000000-0005-0000-0000-000082350000}"/>
    <cellStyle name="40% - Accent3 72 7" xfId="14552" xr:uid="{00000000-0005-0000-0000-000083350000}"/>
    <cellStyle name="40% - Accent3 72 8" xfId="13238" xr:uid="{00000000-0005-0000-0000-000084350000}"/>
    <cellStyle name="40% - Accent3 8" xfId="1303" xr:uid="{00000000-0005-0000-0000-000085350000}"/>
    <cellStyle name="40% - Accent3 8 2" xfId="4259" xr:uid="{00000000-0005-0000-0000-000086350000}"/>
    <cellStyle name="40% - Accent3 8 2 2" xfId="12238" xr:uid="{00000000-0005-0000-0000-000087350000}"/>
    <cellStyle name="40% - Accent3 8 2 2 2" xfId="23526" xr:uid="{00000000-0005-0000-0000-000088350000}"/>
    <cellStyle name="40% - Accent3 8 2 3" xfId="10244" xr:uid="{00000000-0005-0000-0000-000089350000}"/>
    <cellStyle name="40% - Accent3 8 2 3 2" xfId="21532" xr:uid="{00000000-0005-0000-0000-00008A350000}"/>
    <cellStyle name="40% - Accent3 8 2 4" xfId="8250" xr:uid="{00000000-0005-0000-0000-00008B350000}"/>
    <cellStyle name="40% - Accent3 8 2 4 2" xfId="19538" xr:uid="{00000000-0005-0000-0000-00008C350000}"/>
    <cellStyle name="40% - Accent3 8 2 5" xfId="6256" xr:uid="{00000000-0005-0000-0000-00008D350000}"/>
    <cellStyle name="40% - Accent3 8 2 5 2" xfId="17544" xr:uid="{00000000-0005-0000-0000-00008E350000}"/>
    <cellStyle name="40% - Accent3 8 2 6" xfId="15550" xr:uid="{00000000-0005-0000-0000-00008F350000}"/>
    <cellStyle name="40% - Accent3 8 3" xfId="11241" xr:uid="{00000000-0005-0000-0000-000090350000}"/>
    <cellStyle name="40% - Accent3 8 3 2" xfId="22529" xr:uid="{00000000-0005-0000-0000-000091350000}"/>
    <cellStyle name="40% - Accent3 8 4" xfId="9247" xr:uid="{00000000-0005-0000-0000-000092350000}"/>
    <cellStyle name="40% - Accent3 8 4 2" xfId="20535" xr:uid="{00000000-0005-0000-0000-000093350000}"/>
    <cellStyle name="40% - Accent3 8 5" xfId="7253" xr:uid="{00000000-0005-0000-0000-000094350000}"/>
    <cellStyle name="40% - Accent3 8 5 2" xfId="18541" xr:uid="{00000000-0005-0000-0000-000095350000}"/>
    <cellStyle name="40% - Accent3 8 6" xfId="5259" xr:uid="{00000000-0005-0000-0000-000096350000}"/>
    <cellStyle name="40% - Accent3 8 6 2" xfId="16547" xr:uid="{00000000-0005-0000-0000-000097350000}"/>
    <cellStyle name="40% - Accent3 8 7" xfId="14553" xr:uid="{00000000-0005-0000-0000-000098350000}"/>
    <cellStyle name="40% - Accent3 8 8" xfId="13239" xr:uid="{00000000-0005-0000-0000-000099350000}"/>
    <cellStyle name="40% - Accent3 9" xfId="1304" xr:uid="{00000000-0005-0000-0000-00009A350000}"/>
    <cellStyle name="40% - Accent3 9 2" xfId="4260" xr:uid="{00000000-0005-0000-0000-00009B350000}"/>
    <cellStyle name="40% - Accent3 9 2 2" xfId="12239" xr:uid="{00000000-0005-0000-0000-00009C350000}"/>
    <cellStyle name="40% - Accent3 9 2 2 2" xfId="23527" xr:uid="{00000000-0005-0000-0000-00009D350000}"/>
    <cellStyle name="40% - Accent3 9 2 3" xfId="10245" xr:uid="{00000000-0005-0000-0000-00009E350000}"/>
    <cellStyle name="40% - Accent3 9 2 3 2" xfId="21533" xr:uid="{00000000-0005-0000-0000-00009F350000}"/>
    <cellStyle name="40% - Accent3 9 2 4" xfId="8251" xr:uid="{00000000-0005-0000-0000-0000A0350000}"/>
    <cellStyle name="40% - Accent3 9 2 4 2" xfId="19539" xr:uid="{00000000-0005-0000-0000-0000A1350000}"/>
    <cellStyle name="40% - Accent3 9 2 5" xfId="6257" xr:uid="{00000000-0005-0000-0000-0000A2350000}"/>
    <cellStyle name="40% - Accent3 9 2 5 2" xfId="17545" xr:uid="{00000000-0005-0000-0000-0000A3350000}"/>
    <cellStyle name="40% - Accent3 9 2 6" xfId="15551" xr:uid="{00000000-0005-0000-0000-0000A4350000}"/>
    <cellStyle name="40% - Accent3 9 3" xfId="11242" xr:uid="{00000000-0005-0000-0000-0000A5350000}"/>
    <cellStyle name="40% - Accent3 9 3 2" xfId="22530" xr:uid="{00000000-0005-0000-0000-0000A6350000}"/>
    <cellStyle name="40% - Accent3 9 4" xfId="9248" xr:uid="{00000000-0005-0000-0000-0000A7350000}"/>
    <cellStyle name="40% - Accent3 9 4 2" xfId="20536" xr:uid="{00000000-0005-0000-0000-0000A8350000}"/>
    <cellStyle name="40% - Accent3 9 5" xfId="7254" xr:uid="{00000000-0005-0000-0000-0000A9350000}"/>
    <cellStyle name="40% - Accent3 9 5 2" xfId="18542" xr:uid="{00000000-0005-0000-0000-0000AA350000}"/>
    <cellStyle name="40% - Accent3 9 6" xfId="5260" xr:uid="{00000000-0005-0000-0000-0000AB350000}"/>
    <cellStyle name="40% - Accent3 9 6 2" xfId="16548" xr:uid="{00000000-0005-0000-0000-0000AC350000}"/>
    <cellStyle name="40% - Accent3 9 7" xfId="14554" xr:uid="{00000000-0005-0000-0000-0000AD350000}"/>
    <cellStyle name="40% - Accent3 9 8" xfId="13240" xr:uid="{00000000-0005-0000-0000-0000AE350000}"/>
    <cellStyle name="40% - Accent4 10" xfId="1305" xr:uid="{00000000-0005-0000-0000-0000AF350000}"/>
    <cellStyle name="40% - Accent4 10 2" xfId="4261" xr:uid="{00000000-0005-0000-0000-0000B0350000}"/>
    <cellStyle name="40% - Accent4 10 2 2" xfId="12240" xr:uid="{00000000-0005-0000-0000-0000B1350000}"/>
    <cellStyle name="40% - Accent4 10 2 2 2" xfId="23528" xr:uid="{00000000-0005-0000-0000-0000B2350000}"/>
    <cellStyle name="40% - Accent4 10 2 3" xfId="10246" xr:uid="{00000000-0005-0000-0000-0000B3350000}"/>
    <cellStyle name="40% - Accent4 10 2 3 2" xfId="21534" xr:uid="{00000000-0005-0000-0000-0000B4350000}"/>
    <cellStyle name="40% - Accent4 10 2 4" xfId="8252" xr:uid="{00000000-0005-0000-0000-0000B5350000}"/>
    <cellStyle name="40% - Accent4 10 2 4 2" xfId="19540" xr:uid="{00000000-0005-0000-0000-0000B6350000}"/>
    <cellStyle name="40% - Accent4 10 2 5" xfId="6258" xr:uid="{00000000-0005-0000-0000-0000B7350000}"/>
    <cellStyle name="40% - Accent4 10 2 5 2" xfId="17546" xr:uid="{00000000-0005-0000-0000-0000B8350000}"/>
    <cellStyle name="40% - Accent4 10 2 6" xfId="15552" xr:uid="{00000000-0005-0000-0000-0000B9350000}"/>
    <cellStyle name="40% - Accent4 10 3" xfId="11243" xr:uid="{00000000-0005-0000-0000-0000BA350000}"/>
    <cellStyle name="40% - Accent4 10 3 2" xfId="22531" xr:uid="{00000000-0005-0000-0000-0000BB350000}"/>
    <cellStyle name="40% - Accent4 10 4" xfId="9249" xr:uid="{00000000-0005-0000-0000-0000BC350000}"/>
    <cellStyle name="40% - Accent4 10 4 2" xfId="20537" xr:uid="{00000000-0005-0000-0000-0000BD350000}"/>
    <cellStyle name="40% - Accent4 10 5" xfId="7255" xr:uid="{00000000-0005-0000-0000-0000BE350000}"/>
    <cellStyle name="40% - Accent4 10 5 2" xfId="18543" xr:uid="{00000000-0005-0000-0000-0000BF350000}"/>
    <cellStyle name="40% - Accent4 10 6" xfId="5261" xr:uid="{00000000-0005-0000-0000-0000C0350000}"/>
    <cellStyle name="40% - Accent4 10 6 2" xfId="16549" xr:uid="{00000000-0005-0000-0000-0000C1350000}"/>
    <cellStyle name="40% - Accent4 10 7" xfId="14555" xr:uid="{00000000-0005-0000-0000-0000C2350000}"/>
    <cellStyle name="40% - Accent4 10 8" xfId="13241" xr:uid="{00000000-0005-0000-0000-0000C3350000}"/>
    <cellStyle name="40% - Accent4 11" xfId="1306" xr:uid="{00000000-0005-0000-0000-0000C4350000}"/>
    <cellStyle name="40% - Accent4 11 2" xfId="4262" xr:uid="{00000000-0005-0000-0000-0000C5350000}"/>
    <cellStyle name="40% - Accent4 11 2 2" xfId="12241" xr:uid="{00000000-0005-0000-0000-0000C6350000}"/>
    <cellStyle name="40% - Accent4 11 2 2 2" xfId="23529" xr:uid="{00000000-0005-0000-0000-0000C7350000}"/>
    <cellStyle name="40% - Accent4 11 2 3" xfId="10247" xr:uid="{00000000-0005-0000-0000-0000C8350000}"/>
    <cellStyle name="40% - Accent4 11 2 3 2" xfId="21535" xr:uid="{00000000-0005-0000-0000-0000C9350000}"/>
    <cellStyle name="40% - Accent4 11 2 4" xfId="8253" xr:uid="{00000000-0005-0000-0000-0000CA350000}"/>
    <cellStyle name="40% - Accent4 11 2 4 2" xfId="19541" xr:uid="{00000000-0005-0000-0000-0000CB350000}"/>
    <cellStyle name="40% - Accent4 11 2 5" xfId="6259" xr:uid="{00000000-0005-0000-0000-0000CC350000}"/>
    <cellStyle name="40% - Accent4 11 2 5 2" xfId="17547" xr:uid="{00000000-0005-0000-0000-0000CD350000}"/>
    <cellStyle name="40% - Accent4 11 2 6" xfId="15553" xr:uid="{00000000-0005-0000-0000-0000CE350000}"/>
    <cellStyle name="40% - Accent4 11 3" xfId="11244" xr:uid="{00000000-0005-0000-0000-0000CF350000}"/>
    <cellStyle name="40% - Accent4 11 3 2" xfId="22532" xr:uid="{00000000-0005-0000-0000-0000D0350000}"/>
    <cellStyle name="40% - Accent4 11 4" xfId="9250" xr:uid="{00000000-0005-0000-0000-0000D1350000}"/>
    <cellStyle name="40% - Accent4 11 4 2" xfId="20538" xr:uid="{00000000-0005-0000-0000-0000D2350000}"/>
    <cellStyle name="40% - Accent4 11 5" xfId="7256" xr:uid="{00000000-0005-0000-0000-0000D3350000}"/>
    <cellStyle name="40% - Accent4 11 5 2" xfId="18544" xr:uid="{00000000-0005-0000-0000-0000D4350000}"/>
    <cellStyle name="40% - Accent4 11 6" xfId="5262" xr:uid="{00000000-0005-0000-0000-0000D5350000}"/>
    <cellStyle name="40% - Accent4 11 6 2" xfId="16550" xr:uid="{00000000-0005-0000-0000-0000D6350000}"/>
    <cellStyle name="40% - Accent4 11 7" xfId="14556" xr:uid="{00000000-0005-0000-0000-0000D7350000}"/>
    <cellStyle name="40% - Accent4 11 8" xfId="13242" xr:uid="{00000000-0005-0000-0000-0000D8350000}"/>
    <cellStyle name="40% - Accent4 12" xfId="1307" xr:uid="{00000000-0005-0000-0000-0000D9350000}"/>
    <cellStyle name="40% - Accent4 12 2" xfId="4263" xr:uid="{00000000-0005-0000-0000-0000DA350000}"/>
    <cellStyle name="40% - Accent4 12 2 2" xfId="12242" xr:uid="{00000000-0005-0000-0000-0000DB350000}"/>
    <cellStyle name="40% - Accent4 12 2 2 2" xfId="23530" xr:uid="{00000000-0005-0000-0000-0000DC350000}"/>
    <cellStyle name="40% - Accent4 12 2 3" xfId="10248" xr:uid="{00000000-0005-0000-0000-0000DD350000}"/>
    <cellStyle name="40% - Accent4 12 2 3 2" xfId="21536" xr:uid="{00000000-0005-0000-0000-0000DE350000}"/>
    <cellStyle name="40% - Accent4 12 2 4" xfId="8254" xr:uid="{00000000-0005-0000-0000-0000DF350000}"/>
    <cellStyle name="40% - Accent4 12 2 4 2" xfId="19542" xr:uid="{00000000-0005-0000-0000-0000E0350000}"/>
    <cellStyle name="40% - Accent4 12 2 5" xfId="6260" xr:uid="{00000000-0005-0000-0000-0000E1350000}"/>
    <cellStyle name="40% - Accent4 12 2 5 2" xfId="17548" xr:uid="{00000000-0005-0000-0000-0000E2350000}"/>
    <cellStyle name="40% - Accent4 12 2 6" xfId="15554" xr:uid="{00000000-0005-0000-0000-0000E3350000}"/>
    <cellStyle name="40% - Accent4 12 3" xfId="11245" xr:uid="{00000000-0005-0000-0000-0000E4350000}"/>
    <cellStyle name="40% - Accent4 12 3 2" xfId="22533" xr:uid="{00000000-0005-0000-0000-0000E5350000}"/>
    <cellStyle name="40% - Accent4 12 4" xfId="9251" xr:uid="{00000000-0005-0000-0000-0000E6350000}"/>
    <cellStyle name="40% - Accent4 12 4 2" xfId="20539" xr:uid="{00000000-0005-0000-0000-0000E7350000}"/>
    <cellStyle name="40% - Accent4 12 5" xfId="7257" xr:uid="{00000000-0005-0000-0000-0000E8350000}"/>
    <cellStyle name="40% - Accent4 12 5 2" xfId="18545" xr:uid="{00000000-0005-0000-0000-0000E9350000}"/>
    <cellStyle name="40% - Accent4 12 6" xfId="5263" xr:uid="{00000000-0005-0000-0000-0000EA350000}"/>
    <cellStyle name="40% - Accent4 12 6 2" xfId="16551" xr:uid="{00000000-0005-0000-0000-0000EB350000}"/>
    <cellStyle name="40% - Accent4 12 7" xfId="14557" xr:uid="{00000000-0005-0000-0000-0000EC350000}"/>
    <cellStyle name="40% - Accent4 12 8" xfId="13243" xr:uid="{00000000-0005-0000-0000-0000ED350000}"/>
    <cellStyle name="40% - Accent4 13" xfId="1308" xr:uid="{00000000-0005-0000-0000-0000EE350000}"/>
    <cellStyle name="40% - Accent4 13 2" xfId="4264" xr:uid="{00000000-0005-0000-0000-0000EF350000}"/>
    <cellStyle name="40% - Accent4 13 2 2" xfId="12243" xr:uid="{00000000-0005-0000-0000-0000F0350000}"/>
    <cellStyle name="40% - Accent4 13 2 2 2" xfId="23531" xr:uid="{00000000-0005-0000-0000-0000F1350000}"/>
    <cellStyle name="40% - Accent4 13 2 3" xfId="10249" xr:uid="{00000000-0005-0000-0000-0000F2350000}"/>
    <cellStyle name="40% - Accent4 13 2 3 2" xfId="21537" xr:uid="{00000000-0005-0000-0000-0000F3350000}"/>
    <cellStyle name="40% - Accent4 13 2 4" xfId="8255" xr:uid="{00000000-0005-0000-0000-0000F4350000}"/>
    <cellStyle name="40% - Accent4 13 2 4 2" xfId="19543" xr:uid="{00000000-0005-0000-0000-0000F5350000}"/>
    <cellStyle name="40% - Accent4 13 2 5" xfId="6261" xr:uid="{00000000-0005-0000-0000-0000F6350000}"/>
    <cellStyle name="40% - Accent4 13 2 5 2" xfId="17549" xr:uid="{00000000-0005-0000-0000-0000F7350000}"/>
    <cellStyle name="40% - Accent4 13 2 6" xfId="15555" xr:uid="{00000000-0005-0000-0000-0000F8350000}"/>
    <cellStyle name="40% - Accent4 13 3" xfId="11246" xr:uid="{00000000-0005-0000-0000-0000F9350000}"/>
    <cellStyle name="40% - Accent4 13 3 2" xfId="22534" xr:uid="{00000000-0005-0000-0000-0000FA350000}"/>
    <cellStyle name="40% - Accent4 13 4" xfId="9252" xr:uid="{00000000-0005-0000-0000-0000FB350000}"/>
    <cellStyle name="40% - Accent4 13 4 2" xfId="20540" xr:uid="{00000000-0005-0000-0000-0000FC350000}"/>
    <cellStyle name="40% - Accent4 13 5" xfId="7258" xr:uid="{00000000-0005-0000-0000-0000FD350000}"/>
    <cellStyle name="40% - Accent4 13 5 2" xfId="18546" xr:uid="{00000000-0005-0000-0000-0000FE350000}"/>
    <cellStyle name="40% - Accent4 13 6" xfId="5264" xr:uid="{00000000-0005-0000-0000-0000FF350000}"/>
    <cellStyle name="40% - Accent4 13 6 2" xfId="16552" xr:uid="{00000000-0005-0000-0000-000000360000}"/>
    <cellStyle name="40% - Accent4 13 7" xfId="14558" xr:uid="{00000000-0005-0000-0000-000001360000}"/>
    <cellStyle name="40% - Accent4 13 8" xfId="13244" xr:uid="{00000000-0005-0000-0000-000002360000}"/>
    <cellStyle name="40% - Accent4 14" xfId="1309" xr:uid="{00000000-0005-0000-0000-000003360000}"/>
    <cellStyle name="40% - Accent4 14 2" xfId="4265" xr:uid="{00000000-0005-0000-0000-000004360000}"/>
    <cellStyle name="40% - Accent4 14 2 2" xfId="12244" xr:uid="{00000000-0005-0000-0000-000005360000}"/>
    <cellStyle name="40% - Accent4 14 2 2 2" xfId="23532" xr:uid="{00000000-0005-0000-0000-000006360000}"/>
    <cellStyle name="40% - Accent4 14 2 3" xfId="10250" xr:uid="{00000000-0005-0000-0000-000007360000}"/>
    <cellStyle name="40% - Accent4 14 2 3 2" xfId="21538" xr:uid="{00000000-0005-0000-0000-000008360000}"/>
    <cellStyle name="40% - Accent4 14 2 4" xfId="8256" xr:uid="{00000000-0005-0000-0000-000009360000}"/>
    <cellStyle name="40% - Accent4 14 2 4 2" xfId="19544" xr:uid="{00000000-0005-0000-0000-00000A360000}"/>
    <cellStyle name="40% - Accent4 14 2 5" xfId="6262" xr:uid="{00000000-0005-0000-0000-00000B360000}"/>
    <cellStyle name="40% - Accent4 14 2 5 2" xfId="17550" xr:uid="{00000000-0005-0000-0000-00000C360000}"/>
    <cellStyle name="40% - Accent4 14 2 6" xfId="15556" xr:uid="{00000000-0005-0000-0000-00000D360000}"/>
    <cellStyle name="40% - Accent4 14 3" xfId="11247" xr:uid="{00000000-0005-0000-0000-00000E360000}"/>
    <cellStyle name="40% - Accent4 14 3 2" xfId="22535" xr:uid="{00000000-0005-0000-0000-00000F360000}"/>
    <cellStyle name="40% - Accent4 14 4" xfId="9253" xr:uid="{00000000-0005-0000-0000-000010360000}"/>
    <cellStyle name="40% - Accent4 14 4 2" xfId="20541" xr:uid="{00000000-0005-0000-0000-000011360000}"/>
    <cellStyle name="40% - Accent4 14 5" xfId="7259" xr:uid="{00000000-0005-0000-0000-000012360000}"/>
    <cellStyle name="40% - Accent4 14 5 2" xfId="18547" xr:uid="{00000000-0005-0000-0000-000013360000}"/>
    <cellStyle name="40% - Accent4 14 6" xfId="5265" xr:uid="{00000000-0005-0000-0000-000014360000}"/>
    <cellStyle name="40% - Accent4 14 6 2" xfId="16553" xr:uid="{00000000-0005-0000-0000-000015360000}"/>
    <cellStyle name="40% - Accent4 14 7" xfId="14559" xr:uid="{00000000-0005-0000-0000-000016360000}"/>
    <cellStyle name="40% - Accent4 14 8" xfId="13245" xr:uid="{00000000-0005-0000-0000-000017360000}"/>
    <cellStyle name="40% - Accent4 15" xfId="1310" xr:uid="{00000000-0005-0000-0000-000018360000}"/>
    <cellStyle name="40% - Accent4 15 2" xfId="4266" xr:uid="{00000000-0005-0000-0000-000019360000}"/>
    <cellStyle name="40% - Accent4 15 2 2" xfId="12245" xr:uid="{00000000-0005-0000-0000-00001A360000}"/>
    <cellStyle name="40% - Accent4 15 2 2 2" xfId="23533" xr:uid="{00000000-0005-0000-0000-00001B360000}"/>
    <cellStyle name="40% - Accent4 15 2 3" xfId="10251" xr:uid="{00000000-0005-0000-0000-00001C360000}"/>
    <cellStyle name="40% - Accent4 15 2 3 2" xfId="21539" xr:uid="{00000000-0005-0000-0000-00001D360000}"/>
    <cellStyle name="40% - Accent4 15 2 4" xfId="8257" xr:uid="{00000000-0005-0000-0000-00001E360000}"/>
    <cellStyle name="40% - Accent4 15 2 4 2" xfId="19545" xr:uid="{00000000-0005-0000-0000-00001F360000}"/>
    <cellStyle name="40% - Accent4 15 2 5" xfId="6263" xr:uid="{00000000-0005-0000-0000-000020360000}"/>
    <cellStyle name="40% - Accent4 15 2 5 2" xfId="17551" xr:uid="{00000000-0005-0000-0000-000021360000}"/>
    <cellStyle name="40% - Accent4 15 2 6" xfId="15557" xr:uid="{00000000-0005-0000-0000-000022360000}"/>
    <cellStyle name="40% - Accent4 15 3" xfId="11248" xr:uid="{00000000-0005-0000-0000-000023360000}"/>
    <cellStyle name="40% - Accent4 15 3 2" xfId="22536" xr:uid="{00000000-0005-0000-0000-000024360000}"/>
    <cellStyle name="40% - Accent4 15 4" xfId="9254" xr:uid="{00000000-0005-0000-0000-000025360000}"/>
    <cellStyle name="40% - Accent4 15 4 2" xfId="20542" xr:uid="{00000000-0005-0000-0000-000026360000}"/>
    <cellStyle name="40% - Accent4 15 5" xfId="7260" xr:uid="{00000000-0005-0000-0000-000027360000}"/>
    <cellStyle name="40% - Accent4 15 5 2" xfId="18548" xr:uid="{00000000-0005-0000-0000-000028360000}"/>
    <cellStyle name="40% - Accent4 15 6" xfId="5266" xr:uid="{00000000-0005-0000-0000-000029360000}"/>
    <cellStyle name="40% - Accent4 15 6 2" xfId="16554" xr:uid="{00000000-0005-0000-0000-00002A360000}"/>
    <cellStyle name="40% - Accent4 15 7" xfId="14560" xr:uid="{00000000-0005-0000-0000-00002B360000}"/>
    <cellStyle name="40% - Accent4 15 8" xfId="13246" xr:uid="{00000000-0005-0000-0000-00002C360000}"/>
    <cellStyle name="40% - Accent4 16" xfId="1311" xr:uid="{00000000-0005-0000-0000-00002D360000}"/>
    <cellStyle name="40% - Accent4 16 2" xfId="4267" xr:uid="{00000000-0005-0000-0000-00002E360000}"/>
    <cellStyle name="40% - Accent4 16 2 2" xfId="12246" xr:uid="{00000000-0005-0000-0000-00002F360000}"/>
    <cellStyle name="40% - Accent4 16 2 2 2" xfId="23534" xr:uid="{00000000-0005-0000-0000-000030360000}"/>
    <cellStyle name="40% - Accent4 16 2 3" xfId="10252" xr:uid="{00000000-0005-0000-0000-000031360000}"/>
    <cellStyle name="40% - Accent4 16 2 3 2" xfId="21540" xr:uid="{00000000-0005-0000-0000-000032360000}"/>
    <cellStyle name="40% - Accent4 16 2 4" xfId="8258" xr:uid="{00000000-0005-0000-0000-000033360000}"/>
    <cellStyle name="40% - Accent4 16 2 4 2" xfId="19546" xr:uid="{00000000-0005-0000-0000-000034360000}"/>
    <cellStyle name="40% - Accent4 16 2 5" xfId="6264" xr:uid="{00000000-0005-0000-0000-000035360000}"/>
    <cellStyle name="40% - Accent4 16 2 5 2" xfId="17552" xr:uid="{00000000-0005-0000-0000-000036360000}"/>
    <cellStyle name="40% - Accent4 16 2 6" xfId="15558" xr:uid="{00000000-0005-0000-0000-000037360000}"/>
    <cellStyle name="40% - Accent4 16 3" xfId="11249" xr:uid="{00000000-0005-0000-0000-000038360000}"/>
    <cellStyle name="40% - Accent4 16 3 2" xfId="22537" xr:uid="{00000000-0005-0000-0000-000039360000}"/>
    <cellStyle name="40% - Accent4 16 4" xfId="9255" xr:uid="{00000000-0005-0000-0000-00003A360000}"/>
    <cellStyle name="40% - Accent4 16 4 2" xfId="20543" xr:uid="{00000000-0005-0000-0000-00003B360000}"/>
    <cellStyle name="40% - Accent4 16 5" xfId="7261" xr:uid="{00000000-0005-0000-0000-00003C360000}"/>
    <cellStyle name="40% - Accent4 16 5 2" xfId="18549" xr:uid="{00000000-0005-0000-0000-00003D360000}"/>
    <cellStyle name="40% - Accent4 16 6" xfId="5267" xr:uid="{00000000-0005-0000-0000-00003E360000}"/>
    <cellStyle name="40% - Accent4 16 6 2" xfId="16555" xr:uid="{00000000-0005-0000-0000-00003F360000}"/>
    <cellStyle name="40% - Accent4 16 7" xfId="14561" xr:uid="{00000000-0005-0000-0000-000040360000}"/>
    <cellStyle name="40% - Accent4 16 8" xfId="13247" xr:uid="{00000000-0005-0000-0000-000041360000}"/>
    <cellStyle name="40% - Accent4 17" xfId="1312" xr:uid="{00000000-0005-0000-0000-000042360000}"/>
    <cellStyle name="40% - Accent4 17 2" xfId="4268" xr:uid="{00000000-0005-0000-0000-000043360000}"/>
    <cellStyle name="40% - Accent4 17 2 2" xfId="12247" xr:uid="{00000000-0005-0000-0000-000044360000}"/>
    <cellStyle name="40% - Accent4 17 2 2 2" xfId="23535" xr:uid="{00000000-0005-0000-0000-000045360000}"/>
    <cellStyle name="40% - Accent4 17 2 3" xfId="10253" xr:uid="{00000000-0005-0000-0000-000046360000}"/>
    <cellStyle name="40% - Accent4 17 2 3 2" xfId="21541" xr:uid="{00000000-0005-0000-0000-000047360000}"/>
    <cellStyle name="40% - Accent4 17 2 4" xfId="8259" xr:uid="{00000000-0005-0000-0000-000048360000}"/>
    <cellStyle name="40% - Accent4 17 2 4 2" xfId="19547" xr:uid="{00000000-0005-0000-0000-000049360000}"/>
    <cellStyle name="40% - Accent4 17 2 5" xfId="6265" xr:uid="{00000000-0005-0000-0000-00004A360000}"/>
    <cellStyle name="40% - Accent4 17 2 5 2" xfId="17553" xr:uid="{00000000-0005-0000-0000-00004B360000}"/>
    <cellStyle name="40% - Accent4 17 2 6" xfId="15559" xr:uid="{00000000-0005-0000-0000-00004C360000}"/>
    <cellStyle name="40% - Accent4 17 3" xfId="11250" xr:uid="{00000000-0005-0000-0000-00004D360000}"/>
    <cellStyle name="40% - Accent4 17 3 2" xfId="22538" xr:uid="{00000000-0005-0000-0000-00004E360000}"/>
    <cellStyle name="40% - Accent4 17 4" xfId="9256" xr:uid="{00000000-0005-0000-0000-00004F360000}"/>
    <cellStyle name="40% - Accent4 17 4 2" xfId="20544" xr:uid="{00000000-0005-0000-0000-000050360000}"/>
    <cellStyle name="40% - Accent4 17 5" xfId="7262" xr:uid="{00000000-0005-0000-0000-000051360000}"/>
    <cellStyle name="40% - Accent4 17 5 2" xfId="18550" xr:uid="{00000000-0005-0000-0000-000052360000}"/>
    <cellStyle name="40% - Accent4 17 6" xfId="5268" xr:uid="{00000000-0005-0000-0000-000053360000}"/>
    <cellStyle name="40% - Accent4 17 6 2" xfId="16556" xr:uid="{00000000-0005-0000-0000-000054360000}"/>
    <cellStyle name="40% - Accent4 17 7" xfId="14562" xr:uid="{00000000-0005-0000-0000-000055360000}"/>
    <cellStyle name="40% - Accent4 17 8" xfId="13248" xr:uid="{00000000-0005-0000-0000-000056360000}"/>
    <cellStyle name="40% - Accent4 18" xfId="1313" xr:uid="{00000000-0005-0000-0000-000057360000}"/>
    <cellStyle name="40% - Accent4 18 2" xfId="4269" xr:uid="{00000000-0005-0000-0000-000058360000}"/>
    <cellStyle name="40% - Accent4 18 2 2" xfId="12248" xr:uid="{00000000-0005-0000-0000-000059360000}"/>
    <cellStyle name="40% - Accent4 18 2 2 2" xfId="23536" xr:uid="{00000000-0005-0000-0000-00005A360000}"/>
    <cellStyle name="40% - Accent4 18 2 3" xfId="10254" xr:uid="{00000000-0005-0000-0000-00005B360000}"/>
    <cellStyle name="40% - Accent4 18 2 3 2" xfId="21542" xr:uid="{00000000-0005-0000-0000-00005C360000}"/>
    <cellStyle name="40% - Accent4 18 2 4" xfId="8260" xr:uid="{00000000-0005-0000-0000-00005D360000}"/>
    <cellStyle name="40% - Accent4 18 2 4 2" xfId="19548" xr:uid="{00000000-0005-0000-0000-00005E360000}"/>
    <cellStyle name="40% - Accent4 18 2 5" xfId="6266" xr:uid="{00000000-0005-0000-0000-00005F360000}"/>
    <cellStyle name="40% - Accent4 18 2 5 2" xfId="17554" xr:uid="{00000000-0005-0000-0000-000060360000}"/>
    <cellStyle name="40% - Accent4 18 2 6" xfId="15560" xr:uid="{00000000-0005-0000-0000-000061360000}"/>
    <cellStyle name="40% - Accent4 18 3" xfId="11251" xr:uid="{00000000-0005-0000-0000-000062360000}"/>
    <cellStyle name="40% - Accent4 18 3 2" xfId="22539" xr:uid="{00000000-0005-0000-0000-000063360000}"/>
    <cellStyle name="40% - Accent4 18 4" xfId="9257" xr:uid="{00000000-0005-0000-0000-000064360000}"/>
    <cellStyle name="40% - Accent4 18 4 2" xfId="20545" xr:uid="{00000000-0005-0000-0000-000065360000}"/>
    <cellStyle name="40% - Accent4 18 5" xfId="7263" xr:uid="{00000000-0005-0000-0000-000066360000}"/>
    <cellStyle name="40% - Accent4 18 5 2" xfId="18551" xr:uid="{00000000-0005-0000-0000-000067360000}"/>
    <cellStyle name="40% - Accent4 18 6" xfId="5269" xr:uid="{00000000-0005-0000-0000-000068360000}"/>
    <cellStyle name="40% - Accent4 18 6 2" xfId="16557" xr:uid="{00000000-0005-0000-0000-000069360000}"/>
    <cellStyle name="40% - Accent4 18 7" xfId="14563" xr:uid="{00000000-0005-0000-0000-00006A360000}"/>
    <cellStyle name="40% - Accent4 18 8" xfId="13249" xr:uid="{00000000-0005-0000-0000-00006B360000}"/>
    <cellStyle name="40% - Accent4 19" xfId="1314" xr:uid="{00000000-0005-0000-0000-00006C360000}"/>
    <cellStyle name="40% - Accent4 19 2" xfId="4270" xr:uid="{00000000-0005-0000-0000-00006D360000}"/>
    <cellStyle name="40% - Accent4 19 2 2" xfId="12249" xr:uid="{00000000-0005-0000-0000-00006E360000}"/>
    <cellStyle name="40% - Accent4 19 2 2 2" xfId="23537" xr:uid="{00000000-0005-0000-0000-00006F360000}"/>
    <cellStyle name="40% - Accent4 19 2 3" xfId="10255" xr:uid="{00000000-0005-0000-0000-000070360000}"/>
    <cellStyle name="40% - Accent4 19 2 3 2" xfId="21543" xr:uid="{00000000-0005-0000-0000-000071360000}"/>
    <cellStyle name="40% - Accent4 19 2 4" xfId="8261" xr:uid="{00000000-0005-0000-0000-000072360000}"/>
    <cellStyle name="40% - Accent4 19 2 4 2" xfId="19549" xr:uid="{00000000-0005-0000-0000-000073360000}"/>
    <cellStyle name="40% - Accent4 19 2 5" xfId="6267" xr:uid="{00000000-0005-0000-0000-000074360000}"/>
    <cellStyle name="40% - Accent4 19 2 5 2" xfId="17555" xr:uid="{00000000-0005-0000-0000-000075360000}"/>
    <cellStyle name="40% - Accent4 19 2 6" xfId="15561" xr:uid="{00000000-0005-0000-0000-000076360000}"/>
    <cellStyle name="40% - Accent4 19 3" xfId="11252" xr:uid="{00000000-0005-0000-0000-000077360000}"/>
    <cellStyle name="40% - Accent4 19 3 2" xfId="22540" xr:uid="{00000000-0005-0000-0000-000078360000}"/>
    <cellStyle name="40% - Accent4 19 4" xfId="9258" xr:uid="{00000000-0005-0000-0000-000079360000}"/>
    <cellStyle name="40% - Accent4 19 4 2" xfId="20546" xr:uid="{00000000-0005-0000-0000-00007A360000}"/>
    <cellStyle name="40% - Accent4 19 5" xfId="7264" xr:uid="{00000000-0005-0000-0000-00007B360000}"/>
    <cellStyle name="40% - Accent4 19 5 2" xfId="18552" xr:uid="{00000000-0005-0000-0000-00007C360000}"/>
    <cellStyle name="40% - Accent4 19 6" xfId="5270" xr:uid="{00000000-0005-0000-0000-00007D360000}"/>
    <cellStyle name="40% - Accent4 19 6 2" xfId="16558" xr:uid="{00000000-0005-0000-0000-00007E360000}"/>
    <cellStyle name="40% - Accent4 19 7" xfId="14564" xr:uid="{00000000-0005-0000-0000-00007F360000}"/>
    <cellStyle name="40% - Accent4 19 8" xfId="13250" xr:uid="{00000000-0005-0000-0000-000080360000}"/>
    <cellStyle name="40% - Accent4 2" xfId="1315" xr:uid="{00000000-0005-0000-0000-000081360000}"/>
    <cellStyle name="40% - Accent4 2 10" xfId="24613" xr:uid="{00000000-0005-0000-0000-000082360000}"/>
    <cellStyle name="40% - Accent4 2 11" xfId="25003" xr:uid="{00000000-0005-0000-0000-000083360000}"/>
    <cellStyle name="40% - Accent4 2 2" xfId="4271" xr:uid="{00000000-0005-0000-0000-000084360000}"/>
    <cellStyle name="40% - Accent4 2 2 2" xfId="12250" xr:uid="{00000000-0005-0000-0000-000085360000}"/>
    <cellStyle name="40% - Accent4 2 2 2 2" xfId="23538" xr:uid="{00000000-0005-0000-0000-000086360000}"/>
    <cellStyle name="40% - Accent4 2 2 3" xfId="10256" xr:uid="{00000000-0005-0000-0000-000087360000}"/>
    <cellStyle name="40% - Accent4 2 2 3 2" xfId="21544" xr:uid="{00000000-0005-0000-0000-000088360000}"/>
    <cellStyle name="40% - Accent4 2 2 4" xfId="8262" xr:uid="{00000000-0005-0000-0000-000089360000}"/>
    <cellStyle name="40% - Accent4 2 2 4 2" xfId="19550" xr:uid="{00000000-0005-0000-0000-00008A360000}"/>
    <cellStyle name="40% - Accent4 2 2 5" xfId="6268" xr:uid="{00000000-0005-0000-0000-00008B360000}"/>
    <cellStyle name="40% - Accent4 2 2 5 2" xfId="17556" xr:uid="{00000000-0005-0000-0000-00008C360000}"/>
    <cellStyle name="40% - Accent4 2 2 6" xfId="15562" xr:uid="{00000000-0005-0000-0000-00008D360000}"/>
    <cellStyle name="40% - Accent4 2 2 7" xfId="24374" xr:uid="{00000000-0005-0000-0000-00008E360000}"/>
    <cellStyle name="40% - Accent4 2 2 8" xfId="24838" xr:uid="{00000000-0005-0000-0000-00008F360000}"/>
    <cellStyle name="40% - Accent4 2 2 9" xfId="25205" xr:uid="{00000000-0005-0000-0000-000090360000}"/>
    <cellStyle name="40% - Accent4 2 3" xfId="11253" xr:uid="{00000000-0005-0000-0000-000091360000}"/>
    <cellStyle name="40% - Accent4 2 3 2" xfId="22541" xr:uid="{00000000-0005-0000-0000-000092360000}"/>
    <cellStyle name="40% - Accent4 2 4" xfId="9259" xr:uid="{00000000-0005-0000-0000-000093360000}"/>
    <cellStyle name="40% - Accent4 2 4 2" xfId="20547" xr:uid="{00000000-0005-0000-0000-000094360000}"/>
    <cellStyle name="40% - Accent4 2 5" xfId="7265" xr:uid="{00000000-0005-0000-0000-000095360000}"/>
    <cellStyle name="40% - Accent4 2 5 2" xfId="18553" xr:uid="{00000000-0005-0000-0000-000096360000}"/>
    <cellStyle name="40% - Accent4 2 6" xfId="5271" xr:uid="{00000000-0005-0000-0000-000097360000}"/>
    <cellStyle name="40% - Accent4 2 6 2" xfId="16559" xr:uid="{00000000-0005-0000-0000-000098360000}"/>
    <cellStyle name="40% - Accent4 2 7" xfId="14565" xr:uid="{00000000-0005-0000-0000-000099360000}"/>
    <cellStyle name="40% - Accent4 2 8" xfId="13251" xr:uid="{00000000-0005-0000-0000-00009A360000}"/>
    <cellStyle name="40% - Accent4 2 9" xfId="23986" xr:uid="{00000000-0005-0000-0000-00009B360000}"/>
    <cellStyle name="40% - Accent4 20" xfId="1316" xr:uid="{00000000-0005-0000-0000-00009C360000}"/>
    <cellStyle name="40% - Accent4 20 2" xfId="4272" xr:uid="{00000000-0005-0000-0000-00009D360000}"/>
    <cellStyle name="40% - Accent4 20 2 2" xfId="12251" xr:uid="{00000000-0005-0000-0000-00009E360000}"/>
    <cellStyle name="40% - Accent4 20 2 2 2" xfId="23539" xr:uid="{00000000-0005-0000-0000-00009F360000}"/>
    <cellStyle name="40% - Accent4 20 2 3" xfId="10257" xr:uid="{00000000-0005-0000-0000-0000A0360000}"/>
    <cellStyle name="40% - Accent4 20 2 3 2" xfId="21545" xr:uid="{00000000-0005-0000-0000-0000A1360000}"/>
    <cellStyle name="40% - Accent4 20 2 4" xfId="8263" xr:uid="{00000000-0005-0000-0000-0000A2360000}"/>
    <cellStyle name="40% - Accent4 20 2 4 2" xfId="19551" xr:uid="{00000000-0005-0000-0000-0000A3360000}"/>
    <cellStyle name="40% - Accent4 20 2 5" xfId="6269" xr:uid="{00000000-0005-0000-0000-0000A4360000}"/>
    <cellStyle name="40% - Accent4 20 2 5 2" xfId="17557" xr:uid="{00000000-0005-0000-0000-0000A5360000}"/>
    <cellStyle name="40% - Accent4 20 2 6" xfId="15563" xr:uid="{00000000-0005-0000-0000-0000A6360000}"/>
    <cellStyle name="40% - Accent4 20 3" xfId="11254" xr:uid="{00000000-0005-0000-0000-0000A7360000}"/>
    <cellStyle name="40% - Accent4 20 3 2" xfId="22542" xr:uid="{00000000-0005-0000-0000-0000A8360000}"/>
    <cellStyle name="40% - Accent4 20 4" xfId="9260" xr:uid="{00000000-0005-0000-0000-0000A9360000}"/>
    <cellStyle name="40% - Accent4 20 4 2" xfId="20548" xr:uid="{00000000-0005-0000-0000-0000AA360000}"/>
    <cellStyle name="40% - Accent4 20 5" xfId="7266" xr:uid="{00000000-0005-0000-0000-0000AB360000}"/>
    <cellStyle name="40% - Accent4 20 5 2" xfId="18554" xr:uid="{00000000-0005-0000-0000-0000AC360000}"/>
    <cellStyle name="40% - Accent4 20 6" xfId="5272" xr:uid="{00000000-0005-0000-0000-0000AD360000}"/>
    <cellStyle name="40% - Accent4 20 6 2" xfId="16560" xr:uid="{00000000-0005-0000-0000-0000AE360000}"/>
    <cellStyle name="40% - Accent4 20 7" xfId="14566" xr:uid="{00000000-0005-0000-0000-0000AF360000}"/>
    <cellStyle name="40% - Accent4 20 8" xfId="13252" xr:uid="{00000000-0005-0000-0000-0000B0360000}"/>
    <cellStyle name="40% - Accent4 21" xfId="1317" xr:uid="{00000000-0005-0000-0000-0000B1360000}"/>
    <cellStyle name="40% - Accent4 21 2" xfId="4273" xr:uid="{00000000-0005-0000-0000-0000B2360000}"/>
    <cellStyle name="40% - Accent4 21 2 2" xfId="12252" xr:uid="{00000000-0005-0000-0000-0000B3360000}"/>
    <cellStyle name="40% - Accent4 21 2 2 2" xfId="23540" xr:uid="{00000000-0005-0000-0000-0000B4360000}"/>
    <cellStyle name="40% - Accent4 21 2 3" xfId="10258" xr:uid="{00000000-0005-0000-0000-0000B5360000}"/>
    <cellStyle name="40% - Accent4 21 2 3 2" xfId="21546" xr:uid="{00000000-0005-0000-0000-0000B6360000}"/>
    <cellStyle name="40% - Accent4 21 2 4" xfId="8264" xr:uid="{00000000-0005-0000-0000-0000B7360000}"/>
    <cellStyle name="40% - Accent4 21 2 4 2" xfId="19552" xr:uid="{00000000-0005-0000-0000-0000B8360000}"/>
    <cellStyle name="40% - Accent4 21 2 5" xfId="6270" xr:uid="{00000000-0005-0000-0000-0000B9360000}"/>
    <cellStyle name="40% - Accent4 21 2 5 2" xfId="17558" xr:uid="{00000000-0005-0000-0000-0000BA360000}"/>
    <cellStyle name="40% - Accent4 21 2 6" xfId="15564" xr:uid="{00000000-0005-0000-0000-0000BB360000}"/>
    <cellStyle name="40% - Accent4 21 3" xfId="11255" xr:uid="{00000000-0005-0000-0000-0000BC360000}"/>
    <cellStyle name="40% - Accent4 21 3 2" xfId="22543" xr:uid="{00000000-0005-0000-0000-0000BD360000}"/>
    <cellStyle name="40% - Accent4 21 4" xfId="9261" xr:uid="{00000000-0005-0000-0000-0000BE360000}"/>
    <cellStyle name="40% - Accent4 21 4 2" xfId="20549" xr:uid="{00000000-0005-0000-0000-0000BF360000}"/>
    <cellStyle name="40% - Accent4 21 5" xfId="7267" xr:uid="{00000000-0005-0000-0000-0000C0360000}"/>
    <cellStyle name="40% - Accent4 21 5 2" xfId="18555" xr:uid="{00000000-0005-0000-0000-0000C1360000}"/>
    <cellStyle name="40% - Accent4 21 6" xfId="5273" xr:uid="{00000000-0005-0000-0000-0000C2360000}"/>
    <cellStyle name="40% - Accent4 21 6 2" xfId="16561" xr:uid="{00000000-0005-0000-0000-0000C3360000}"/>
    <cellStyle name="40% - Accent4 21 7" xfId="14567" xr:uid="{00000000-0005-0000-0000-0000C4360000}"/>
    <cellStyle name="40% - Accent4 21 8" xfId="13253" xr:uid="{00000000-0005-0000-0000-0000C5360000}"/>
    <cellStyle name="40% - Accent4 22" xfId="1318" xr:uid="{00000000-0005-0000-0000-0000C6360000}"/>
    <cellStyle name="40% - Accent4 22 2" xfId="4274" xr:uid="{00000000-0005-0000-0000-0000C7360000}"/>
    <cellStyle name="40% - Accent4 22 2 2" xfId="12253" xr:uid="{00000000-0005-0000-0000-0000C8360000}"/>
    <cellStyle name="40% - Accent4 22 2 2 2" xfId="23541" xr:uid="{00000000-0005-0000-0000-0000C9360000}"/>
    <cellStyle name="40% - Accent4 22 2 3" xfId="10259" xr:uid="{00000000-0005-0000-0000-0000CA360000}"/>
    <cellStyle name="40% - Accent4 22 2 3 2" xfId="21547" xr:uid="{00000000-0005-0000-0000-0000CB360000}"/>
    <cellStyle name="40% - Accent4 22 2 4" xfId="8265" xr:uid="{00000000-0005-0000-0000-0000CC360000}"/>
    <cellStyle name="40% - Accent4 22 2 4 2" xfId="19553" xr:uid="{00000000-0005-0000-0000-0000CD360000}"/>
    <cellStyle name="40% - Accent4 22 2 5" xfId="6271" xr:uid="{00000000-0005-0000-0000-0000CE360000}"/>
    <cellStyle name="40% - Accent4 22 2 5 2" xfId="17559" xr:uid="{00000000-0005-0000-0000-0000CF360000}"/>
    <cellStyle name="40% - Accent4 22 2 6" xfId="15565" xr:uid="{00000000-0005-0000-0000-0000D0360000}"/>
    <cellStyle name="40% - Accent4 22 3" xfId="11256" xr:uid="{00000000-0005-0000-0000-0000D1360000}"/>
    <cellStyle name="40% - Accent4 22 3 2" xfId="22544" xr:uid="{00000000-0005-0000-0000-0000D2360000}"/>
    <cellStyle name="40% - Accent4 22 4" xfId="9262" xr:uid="{00000000-0005-0000-0000-0000D3360000}"/>
    <cellStyle name="40% - Accent4 22 4 2" xfId="20550" xr:uid="{00000000-0005-0000-0000-0000D4360000}"/>
    <cellStyle name="40% - Accent4 22 5" xfId="7268" xr:uid="{00000000-0005-0000-0000-0000D5360000}"/>
    <cellStyle name="40% - Accent4 22 5 2" xfId="18556" xr:uid="{00000000-0005-0000-0000-0000D6360000}"/>
    <cellStyle name="40% - Accent4 22 6" xfId="5274" xr:uid="{00000000-0005-0000-0000-0000D7360000}"/>
    <cellStyle name="40% - Accent4 22 6 2" xfId="16562" xr:uid="{00000000-0005-0000-0000-0000D8360000}"/>
    <cellStyle name="40% - Accent4 22 7" xfId="14568" xr:uid="{00000000-0005-0000-0000-0000D9360000}"/>
    <cellStyle name="40% - Accent4 22 8" xfId="13254" xr:uid="{00000000-0005-0000-0000-0000DA360000}"/>
    <cellStyle name="40% - Accent4 23" xfId="1319" xr:uid="{00000000-0005-0000-0000-0000DB360000}"/>
    <cellStyle name="40% - Accent4 23 2" xfId="4275" xr:uid="{00000000-0005-0000-0000-0000DC360000}"/>
    <cellStyle name="40% - Accent4 23 2 2" xfId="12254" xr:uid="{00000000-0005-0000-0000-0000DD360000}"/>
    <cellStyle name="40% - Accent4 23 2 2 2" xfId="23542" xr:uid="{00000000-0005-0000-0000-0000DE360000}"/>
    <cellStyle name="40% - Accent4 23 2 3" xfId="10260" xr:uid="{00000000-0005-0000-0000-0000DF360000}"/>
    <cellStyle name="40% - Accent4 23 2 3 2" xfId="21548" xr:uid="{00000000-0005-0000-0000-0000E0360000}"/>
    <cellStyle name="40% - Accent4 23 2 4" xfId="8266" xr:uid="{00000000-0005-0000-0000-0000E1360000}"/>
    <cellStyle name="40% - Accent4 23 2 4 2" xfId="19554" xr:uid="{00000000-0005-0000-0000-0000E2360000}"/>
    <cellStyle name="40% - Accent4 23 2 5" xfId="6272" xr:uid="{00000000-0005-0000-0000-0000E3360000}"/>
    <cellStyle name="40% - Accent4 23 2 5 2" xfId="17560" xr:uid="{00000000-0005-0000-0000-0000E4360000}"/>
    <cellStyle name="40% - Accent4 23 2 6" xfId="15566" xr:uid="{00000000-0005-0000-0000-0000E5360000}"/>
    <cellStyle name="40% - Accent4 23 3" xfId="11257" xr:uid="{00000000-0005-0000-0000-0000E6360000}"/>
    <cellStyle name="40% - Accent4 23 3 2" xfId="22545" xr:uid="{00000000-0005-0000-0000-0000E7360000}"/>
    <cellStyle name="40% - Accent4 23 4" xfId="9263" xr:uid="{00000000-0005-0000-0000-0000E8360000}"/>
    <cellStyle name="40% - Accent4 23 4 2" xfId="20551" xr:uid="{00000000-0005-0000-0000-0000E9360000}"/>
    <cellStyle name="40% - Accent4 23 5" xfId="7269" xr:uid="{00000000-0005-0000-0000-0000EA360000}"/>
    <cellStyle name="40% - Accent4 23 5 2" xfId="18557" xr:uid="{00000000-0005-0000-0000-0000EB360000}"/>
    <cellStyle name="40% - Accent4 23 6" xfId="5275" xr:uid="{00000000-0005-0000-0000-0000EC360000}"/>
    <cellStyle name="40% - Accent4 23 6 2" xfId="16563" xr:uid="{00000000-0005-0000-0000-0000ED360000}"/>
    <cellStyle name="40% - Accent4 23 7" xfId="14569" xr:uid="{00000000-0005-0000-0000-0000EE360000}"/>
    <cellStyle name="40% - Accent4 23 8" xfId="13255" xr:uid="{00000000-0005-0000-0000-0000EF360000}"/>
    <cellStyle name="40% - Accent4 24" xfId="1320" xr:uid="{00000000-0005-0000-0000-0000F0360000}"/>
    <cellStyle name="40% - Accent4 24 2" xfId="4276" xr:uid="{00000000-0005-0000-0000-0000F1360000}"/>
    <cellStyle name="40% - Accent4 24 2 2" xfId="12255" xr:uid="{00000000-0005-0000-0000-0000F2360000}"/>
    <cellStyle name="40% - Accent4 24 2 2 2" xfId="23543" xr:uid="{00000000-0005-0000-0000-0000F3360000}"/>
    <cellStyle name="40% - Accent4 24 2 3" xfId="10261" xr:uid="{00000000-0005-0000-0000-0000F4360000}"/>
    <cellStyle name="40% - Accent4 24 2 3 2" xfId="21549" xr:uid="{00000000-0005-0000-0000-0000F5360000}"/>
    <cellStyle name="40% - Accent4 24 2 4" xfId="8267" xr:uid="{00000000-0005-0000-0000-0000F6360000}"/>
    <cellStyle name="40% - Accent4 24 2 4 2" xfId="19555" xr:uid="{00000000-0005-0000-0000-0000F7360000}"/>
    <cellStyle name="40% - Accent4 24 2 5" xfId="6273" xr:uid="{00000000-0005-0000-0000-0000F8360000}"/>
    <cellStyle name="40% - Accent4 24 2 5 2" xfId="17561" xr:uid="{00000000-0005-0000-0000-0000F9360000}"/>
    <cellStyle name="40% - Accent4 24 2 6" xfId="15567" xr:uid="{00000000-0005-0000-0000-0000FA360000}"/>
    <cellStyle name="40% - Accent4 24 3" xfId="11258" xr:uid="{00000000-0005-0000-0000-0000FB360000}"/>
    <cellStyle name="40% - Accent4 24 3 2" xfId="22546" xr:uid="{00000000-0005-0000-0000-0000FC360000}"/>
    <cellStyle name="40% - Accent4 24 4" xfId="9264" xr:uid="{00000000-0005-0000-0000-0000FD360000}"/>
    <cellStyle name="40% - Accent4 24 4 2" xfId="20552" xr:uid="{00000000-0005-0000-0000-0000FE360000}"/>
    <cellStyle name="40% - Accent4 24 5" xfId="7270" xr:uid="{00000000-0005-0000-0000-0000FF360000}"/>
    <cellStyle name="40% - Accent4 24 5 2" xfId="18558" xr:uid="{00000000-0005-0000-0000-000000370000}"/>
    <cellStyle name="40% - Accent4 24 6" xfId="5276" xr:uid="{00000000-0005-0000-0000-000001370000}"/>
    <cellStyle name="40% - Accent4 24 6 2" xfId="16564" xr:uid="{00000000-0005-0000-0000-000002370000}"/>
    <cellStyle name="40% - Accent4 24 7" xfId="14570" xr:uid="{00000000-0005-0000-0000-000003370000}"/>
    <cellStyle name="40% - Accent4 24 8" xfId="13256" xr:uid="{00000000-0005-0000-0000-000004370000}"/>
    <cellStyle name="40% - Accent4 25" xfId="1321" xr:uid="{00000000-0005-0000-0000-000005370000}"/>
    <cellStyle name="40% - Accent4 25 2" xfId="4277" xr:uid="{00000000-0005-0000-0000-000006370000}"/>
    <cellStyle name="40% - Accent4 25 2 2" xfId="12256" xr:uid="{00000000-0005-0000-0000-000007370000}"/>
    <cellStyle name="40% - Accent4 25 2 2 2" xfId="23544" xr:uid="{00000000-0005-0000-0000-000008370000}"/>
    <cellStyle name="40% - Accent4 25 2 3" xfId="10262" xr:uid="{00000000-0005-0000-0000-000009370000}"/>
    <cellStyle name="40% - Accent4 25 2 3 2" xfId="21550" xr:uid="{00000000-0005-0000-0000-00000A370000}"/>
    <cellStyle name="40% - Accent4 25 2 4" xfId="8268" xr:uid="{00000000-0005-0000-0000-00000B370000}"/>
    <cellStyle name="40% - Accent4 25 2 4 2" xfId="19556" xr:uid="{00000000-0005-0000-0000-00000C370000}"/>
    <cellStyle name="40% - Accent4 25 2 5" xfId="6274" xr:uid="{00000000-0005-0000-0000-00000D370000}"/>
    <cellStyle name="40% - Accent4 25 2 5 2" xfId="17562" xr:uid="{00000000-0005-0000-0000-00000E370000}"/>
    <cellStyle name="40% - Accent4 25 2 6" xfId="15568" xr:uid="{00000000-0005-0000-0000-00000F370000}"/>
    <cellStyle name="40% - Accent4 25 3" xfId="11259" xr:uid="{00000000-0005-0000-0000-000010370000}"/>
    <cellStyle name="40% - Accent4 25 3 2" xfId="22547" xr:uid="{00000000-0005-0000-0000-000011370000}"/>
    <cellStyle name="40% - Accent4 25 4" xfId="9265" xr:uid="{00000000-0005-0000-0000-000012370000}"/>
    <cellStyle name="40% - Accent4 25 4 2" xfId="20553" xr:uid="{00000000-0005-0000-0000-000013370000}"/>
    <cellStyle name="40% - Accent4 25 5" xfId="7271" xr:uid="{00000000-0005-0000-0000-000014370000}"/>
    <cellStyle name="40% - Accent4 25 5 2" xfId="18559" xr:uid="{00000000-0005-0000-0000-000015370000}"/>
    <cellStyle name="40% - Accent4 25 6" xfId="5277" xr:uid="{00000000-0005-0000-0000-000016370000}"/>
    <cellStyle name="40% - Accent4 25 6 2" xfId="16565" xr:uid="{00000000-0005-0000-0000-000017370000}"/>
    <cellStyle name="40% - Accent4 25 7" xfId="14571" xr:uid="{00000000-0005-0000-0000-000018370000}"/>
    <cellStyle name="40% - Accent4 25 8" xfId="13257" xr:uid="{00000000-0005-0000-0000-000019370000}"/>
    <cellStyle name="40% - Accent4 26" xfId="1322" xr:uid="{00000000-0005-0000-0000-00001A370000}"/>
    <cellStyle name="40% - Accent4 26 2" xfId="4278" xr:uid="{00000000-0005-0000-0000-00001B370000}"/>
    <cellStyle name="40% - Accent4 26 2 2" xfId="12257" xr:uid="{00000000-0005-0000-0000-00001C370000}"/>
    <cellStyle name="40% - Accent4 26 2 2 2" xfId="23545" xr:uid="{00000000-0005-0000-0000-00001D370000}"/>
    <cellStyle name="40% - Accent4 26 2 3" xfId="10263" xr:uid="{00000000-0005-0000-0000-00001E370000}"/>
    <cellStyle name="40% - Accent4 26 2 3 2" xfId="21551" xr:uid="{00000000-0005-0000-0000-00001F370000}"/>
    <cellStyle name="40% - Accent4 26 2 4" xfId="8269" xr:uid="{00000000-0005-0000-0000-000020370000}"/>
    <cellStyle name="40% - Accent4 26 2 4 2" xfId="19557" xr:uid="{00000000-0005-0000-0000-000021370000}"/>
    <cellStyle name="40% - Accent4 26 2 5" xfId="6275" xr:uid="{00000000-0005-0000-0000-000022370000}"/>
    <cellStyle name="40% - Accent4 26 2 5 2" xfId="17563" xr:uid="{00000000-0005-0000-0000-000023370000}"/>
    <cellStyle name="40% - Accent4 26 2 6" xfId="15569" xr:uid="{00000000-0005-0000-0000-000024370000}"/>
    <cellStyle name="40% - Accent4 26 3" xfId="11260" xr:uid="{00000000-0005-0000-0000-000025370000}"/>
    <cellStyle name="40% - Accent4 26 3 2" xfId="22548" xr:uid="{00000000-0005-0000-0000-000026370000}"/>
    <cellStyle name="40% - Accent4 26 4" xfId="9266" xr:uid="{00000000-0005-0000-0000-000027370000}"/>
    <cellStyle name="40% - Accent4 26 4 2" xfId="20554" xr:uid="{00000000-0005-0000-0000-000028370000}"/>
    <cellStyle name="40% - Accent4 26 5" xfId="7272" xr:uid="{00000000-0005-0000-0000-000029370000}"/>
    <cellStyle name="40% - Accent4 26 5 2" xfId="18560" xr:uid="{00000000-0005-0000-0000-00002A370000}"/>
    <cellStyle name="40% - Accent4 26 6" xfId="5278" xr:uid="{00000000-0005-0000-0000-00002B370000}"/>
    <cellStyle name="40% - Accent4 26 6 2" xfId="16566" xr:uid="{00000000-0005-0000-0000-00002C370000}"/>
    <cellStyle name="40% - Accent4 26 7" xfId="14572" xr:uid="{00000000-0005-0000-0000-00002D370000}"/>
    <cellStyle name="40% - Accent4 26 8" xfId="13258" xr:uid="{00000000-0005-0000-0000-00002E370000}"/>
    <cellStyle name="40% - Accent4 27" xfId="1323" xr:uid="{00000000-0005-0000-0000-00002F370000}"/>
    <cellStyle name="40% - Accent4 27 2" xfId="4279" xr:uid="{00000000-0005-0000-0000-000030370000}"/>
    <cellStyle name="40% - Accent4 27 2 2" xfId="12258" xr:uid="{00000000-0005-0000-0000-000031370000}"/>
    <cellStyle name="40% - Accent4 27 2 2 2" xfId="23546" xr:uid="{00000000-0005-0000-0000-000032370000}"/>
    <cellStyle name="40% - Accent4 27 2 3" xfId="10264" xr:uid="{00000000-0005-0000-0000-000033370000}"/>
    <cellStyle name="40% - Accent4 27 2 3 2" xfId="21552" xr:uid="{00000000-0005-0000-0000-000034370000}"/>
    <cellStyle name="40% - Accent4 27 2 4" xfId="8270" xr:uid="{00000000-0005-0000-0000-000035370000}"/>
    <cellStyle name="40% - Accent4 27 2 4 2" xfId="19558" xr:uid="{00000000-0005-0000-0000-000036370000}"/>
    <cellStyle name="40% - Accent4 27 2 5" xfId="6276" xr:uid="{00000000-0005-0000-0000-000037370000}"/>
    <cellStyle name="40% - Accent4 27 2 5 2" xfId="17564" xr:uid="{00000000-0005-0000-0000-000038370000}"/>
    <cellStyle name="40% - Accent4 27 2 6" xfId="15570" xr:uid="{00000000-0005-0000-0000-000039370000}"/>
    <cellStyle name="40% - Accent4 27 3" xfId="11261" xr:uid="{00000000-0005-0000-0000-00003A370000}"/>
    <cellStyle name="40% - Accent4 27 3 2" xfId="22549" xr:uid="{00000000-0005-0000-0000-00003B370000}"/>
    <cellStyle name="40% - Accent4 27 4" xfId="9267" xr:uid="{00000000-0005-0000-0000-00003C370000}"/>
    <cellStyle name="40% - Accent4 27 4 2" xfId="20555" xr:uid="{00000000-0005-0000-0000-00003D370000}"/>
    <cellStyle name="40% - Accent4 27 5" xfId="7273" xr:uid="{00000000-0005-0000-0000-00003E370000}"/>
    <cellStyle name="40% - Accent4 27 5 2" xfId="18561" xr:uid="{00000000-0005-0000-0000-00003F370000}"/>
    <cellStyle name="40% - Accent4 27 6" xfId="5279" xr:uid="{00000000-0005-0000-0000-000040370000}"/>
    <cellStyle name="40% - Accent4 27 6 2" xfId="16567" xr:uid="{00000000-0005-0000-0000-000041370000}"/>
    <cellStyle name="40% - Accent4 27 7" xfId="14573" xr:uid="{00000000-0005-0000-0000-000042370000}"/>
    <cellStyle name="40% - Accent4 27 8" xfId="13259" xr:uid="{00000000-0005-0000-0000-000043370000}"/>
    <cellStyle name="40% - Accent4 28" xfId="1324" xr:uid="{00000000-0005-0000-0000-000044370000}"/>
    <cellStyle name="40% - Accent4 28 2" xfId="4280" xr:uid="{00000000-0005-0000-0000-000045370000}"/>
    <cellStyle name="40% - Accent4 28 2 2" xfId="12259" xr:uid="{00000000-0005-0000-0000-000046370000}"/>
    <cellStyle name="40% - Accent4 28 2 2 2" xfId="23547" xr:uid="{00000000-0005-0000-0000-000047370000}"/>
    <cellStyle name="40% - Accent4 28 2 3" xfId="10265" xr:uid="{00000000-0005-0000-0000-000048370000}"/>
    <cellStyle name="40% - Accent4 28 2 3 2" xfId="21553" xr:uid="{00000000-0005-0000-0000-000049370000}"/>
    <cellStyle name="40% - Accent4 28 2 4" xfId="8271" xr:uid="{00000000-0005-0000-0000-00004A370000}"/>
    <cellStyle name="40% - Accent4 28 2 4 2" xfId="19559" xr:uid="{00000000-0005-0000-0000-00004B370000}"/>
    <cellStyle name="40% - Accent4 28 2 5" xfId="6277" xr:uid="{00000000-0005-0000-0000-00004C370000}"/>
    <cellStyle name="40% - Accent4 28 2 5 2" xfId="17565" xr:uid="{00000000-0005-0000-0000-00004D370000}"/>
    <cellStyle name="40% - Accent4 28 2 6" xfId="15571" xr:uid="{00000000-0005-0000-0000-00004E370000}"/>
    <cellStyle name="40% - Accent4 28 3" xfId="11262" xr:uid="{00000000-0005-0000-0000-00004F370000}"/>
    <cellStyle name="40% - Accent4 28 3 2" xfId="22550" xr:uid="{00000000-0005-0000-0000-000050370000}"/>
    <cellStyle name="40% - Accent4 28 4" xfId="9268" xr:uid="{00000000-0005-0000-0000-000051370000}"/>
    <cellStyle name="40% - Accent4 28 4 2" xfId="20556" xr:uid="{00000000-0005-0000-0000-000052370000}"/>
    <cellStyle name="40% - Accent4 28 5" xfId="7274" xr:uid="{00000000-0005-0000-0000-000053370000}"/>
    <cellStyle name="40% - Accent4 28 5 2" xfId="18562" xr:uid="{00000000-0005-0000-0000-000054370000}"/>
    <cellStyle name="40% - Accent4 28 6" xfId="5280" xr:uid="{00000000-0005-0000-0000-000055370000}"/>
    <cellStyle name="40% - Accent4 28 6 2" xfId="16568" xr:uid="{00000000-0005-0000-0000-000056370000}"/>
    <cellStyle name="40% - Accent4 28 7" xfId="14574" xr:uid="{00000000-0005-0000-0000-000057370000}"/>
    <cellStyle name="40% - Accent4 28 8" xfId="13260" xr:uid="{00000000-0005-0000-0000-000058370000}"/>
    <cellStyle name="40% - Accent4 29" xfId="1325" xr:uid="{00000000-0005-0000-0000-000059370000}"/>
    <cellStyle name="40% - Accent4 29 2" xfId="4281" xr:uid="{00000000-0005-0000-0000-00005A370000}"/>
    <cellStyle name="40% - Accent4 29 2 2" xfId="12260" xr:uid="{00000000-0005-0000-0000-00005B370000}"/>
    <cellStyle name="40% - Accent4 29 2 2 2" xfId="23548" xr:uid="{00000000-0005-0000-0000-00005C370000}"/>
    <cellStyle name="40% - Accent4 29 2 3" xfId="10266" xr:uid="{00000000-0005-0000-0000-00005D370000}"/>
    <cellStyle name="40% - Accent4 29 2 3 2" xfId="21554" xr:uid="{00000000-0005-0000-0000-00005E370000}"/>
    <cellStyle name="40% - Accent4 29 2 4" xfId="8272" xr:uid="{00000000-0005-0000-0000-00005F370000}"/>
    <cellStyle name="40% - Accent4 29 2 4 2" xfId="19560" xr:uid="{00000000-0005-0000-0000-000060370000}"/>
    <cellStyle name="40% - Accent4 29 2 5" xfId="6278" xr:uid="{00000000-0005-0000-0000-000061370000}"/>
    <cellStyle name="40% - Accent4 29 2 5 2" xfId="17566" xr:uid="{00000000-0005-0000-0000-000062370000}"/>
    <cellStyle name="40% - Accent4 29 2 6" xfId="15572" xr:uid="{00000000-0005-0000-0000-000063370000}"/>
    <cellStyle name="40% - Accent4 29 3" xfId="11263" xr:uid="{00000000-0005-0000-0000-000064370000}"/>
    <cellStyle name="40% - Accent4 29 3 2" xfId="22551" xr:uid="{00000000-0005-0000-0000-000065370000}"/>
    <cellStyle name="40% - Accent4 29 4" xfId="9269" xr:uid="{00000000-0005-0000-0000-000066370000}"/>
    <cellStyle name="40% - Accent4 29 4 2" xfId="20557" xr:uid="{00000000-0005-0000-0000-000067370000}"/>
    <cellStyle name="40% - Accent4 29 5" xfId="7275" xr:uid="{00000000-0005-0000-0000-000068370000}"/>
    <cellStyle name="40% - Accent4 29 5 2" xfId="18563" xr:uid="{00000000-0005-0000-0000-000069370000}"/>
    <cellStyle name="40% - Accent4 29 6" xfId="5281" xr:uid="{00000000-0005-0000-0000-00006A370000}"/>
    <cellStyle name="40% - Accent4 29 6 2" xfId="16569" xr:uid="{00000000-0005-0000-0000-00006B370000}"/>
    <cellStyle name="40% - Accent4 29 7" xfId="14575" xr:uid="{00000000-0005-0000-0000-00006C370000}"/>
    <cellStyle name="40% - Accent4 29 8" xfId="13261" xr:uid="{00000000-0005-0000-0000-00006D370000}"/>
    <cellStyle name="40% - Accent4 3" xfId="1326" xr:uid="{00000000-0005-0000-0000-00006E370000}"/>
    <cellStyle name="40% - Accent4 3 10" xfId="24614" xr:uid="{00000000-0005-0000-0000-00006F370000}"/>
    <cellStyle name="40% - Accent4 3 11" xfId="25004" xr:uid="{00000000-0005-0000-0000-000070370000}"/>
    <cellStyle name="40% - Accent4 3 2" xfId="4282" xr:uid="{00000000-0005-0000-0000-000071370000}"/>
    <cellStyle name="40% - Accent4 3 2 2" xfId="12261" xr:uid="{00000000-0005-0000-0000-000072370000}"/>
    <cellStyle name="40% - Accent4 3 2 2 2" xfId="23549" xr:uid="{00000000-0005-0000-0000-000073370000}"/>
    <cellStyle name="40% - Accent4 3 2 3" xfId="10267" xr:uid="{00000000-0005-0000-0000-000074370000}"/>
    <cellStyle name="40% - Accent4 3 2 3 2" xfId="21555" xr:uid="{00000000-0005-0000-0000-000075370000}"/>
    <cellStyle name="40% - Accent4 3 2 4" xfId="8273" xr:uid="{00000000-0005-0000-0000-000076370000}"/>
    <cellStyle name="40% - Accent4 3 2 4 2" xfId="19561" xr:uid="{00000000-0005-0000-0000-000077370000}"/>
    <cellStyle name="40% - Accent4 3 2 5" xfId="6279" xr:uid="{00000000-0005-0000-0000-000078370000}"/>
    <cellStyle name="40% - Accent4 3 2 5 2" xfId="17567" xr:uid="{00000000-0005-0000-0000-000079370000}"/>
    <cellStyle name="40% - Accent4 3 2 6" xfId="15573" xr:uid="{00000000-0005-0000-0000-00007A370000}"/>
    <cellStyle name="40% - Accent4 3 2 7" xfId="24375" xr:uid="{00000000-0005-0000-0000-00007B370000}"/>
    <cellStyle name="40% - Accent4 3 2 8" xfId="24839" xr:uid="{00000000-0005-0000-0000-00007C370000}"/>
    <cellStyle name="40% - Accent4 3 2 9" xfId="25206" xr:uid="{00000000-0005-0000-0000-00007D370000}"/>
    <cellStyle name="40% - Accent4 3 3" xfId="11264" xr:uid="{00000000-0005-0000-0000-00007E370000}"/>
    <cellStyle name="40% - Accent4 3 3 2" xfId="22552" xr:uid="{00000000-0005-0000-0000-00007F370000}"/>
    <cellStyle name="40% - Accent4 3 4" xfId="9270" xr:uid="{00000000-0005-0000-0000-000080370000}"/>
    <cellStyle name="40% - Accent4 3 4 2" xfId="20558" xr:uid="{00000000-0005-0000-0000-000081370000}"/>
    <cellStyle name="40% - Accent4 3 5" xfId="7276" xr:uid="{00000000-0005-0000-0000-000082370000}"/>
    <cellStyle name="40% - Accent4 3 5 2" xfId="18564" xr:uid="{00000000-0005-0000-0000-000083370000}"/>
    <cellStyle name="40% - Accent4 3 6" xfId="5282" xr:uid="{00000000-0005-0000-0000-000084370000}"/>
    <cellStyle name="40% - Accent4 3 6 2" xfId="16570" xr:uid="{00000000-0005-0000-0000-000085370000}"/>
    <cellStyle name="40% - Accent4 3 7" xfId="14576" xr:uid="{00000000-0005-0000-0000-000086370000}"/>
    <cellStyle name="40% - Accent4 3 8" xfId="13262" xr:uid="{00000000-0005-0000-0000-000087370000}"/>
    <cellStyle name="40% - Accent4 3 9" xfId="23987" xr:uid="{00000000-0005-0000-0000-000088370000}"/>
    <cellStyle name="40% - Accent4 30" xfId="1327" xr:uid="{00000000-0005-0000-0000-000089370000}"/>
    <cellStyle name="40% - Accent4 30 2" xfId="4283" xr:uid="{00000000-0005-0000-0000-00008A370000}"/>
    <cellStyle name="40% - Accent4 30 2 2" xfId="12262" xr:uid="{00000000-0005-0000-0000-00008B370000}"/>
    <cellStyle name="40% - Accent4 30 2 2 2" xfId="23550" xr:uid="{00000000-0005-0000-0000-00008C370000}"/>
    <cellStyle name="40% - Accent4 30 2 3" xfId="10268" xr:uid="{00000000-0005-0000-0000-00008D370000}"/>
    <cellStyle name="40% - Accent4 30 2 3 2" xfId="21556" xr:uid="{00000000-0005-0000-0000-00008E370000}"/>
    <cellStyle name="40% - Accent4 30 2 4" xfId="8274" xr:uid="{00000000-0005-0000-0000-00008F370000}"/>
    <cellStyle name="40% - Accent4 30 2 4 2" xfId="19562" xr:uid="{00000000-0005-0000-0000-000090370000}"/>
    <cellStyle name="40% - Accent4 30 2 5" xfId="6280" xr:uid="{00000000-0005-0000-0000-000091370000}"/>
    <cellStyle name="40% - Accent4 30 2 5 2" xfId="17568" xr:uid="{00000000-0005-0000-0000-000092370000}"/>
    <cellStyle name="40% - Accent4 30 2 6" xfId="15574" xr:uid="{00000000-0005-0000-0000-000093370000}"/>
    <cellStyle name="40% - Accent4 30 3" xfId="11265" xr:uid="{00000000-0005-0000-0000-000094370000}"/>
    <cellStyle name="40% - Accent4 30 3 2" xfId="22553" xr:uid="{00000000-0005-0000-0000-000095370000}"/>
    <cellStyle name="40% - Accent4 30 4" xfId="9271" xr:uid="{00000000-0005-0000-0000-000096370000}"/>
    <cellStyle name="40% - Accent4 30 4 2" xfId="20559" xr:uid="{00000000-0005-0000-0000-000097370000}"/>
    <cellStyle name="40% - Accent4 30 5" xfId="7277" xr:uid="{00000000-0005-0000-0000-000098370000}"/>
    <cellStyle name="40% - Accent4 30 5 2" xfId="18565" xr:uid="{00000000-0005-0000-0000-000099370000}"/>
    <cellStyle name="40% - Accent4 30 6" xfId="5283" xr:uid="{00000000-0005-0000-0000-00009A370000}"/>
    <cellStyle name="40% - Accent4 30 6 2" xfId="16571" xr:uid="{00000000-0005-0000-0000-00009B370000}"/>
    <cellStyle name="40% - Accent4 30 7" xfId="14577" xr:uid="{00000000-0005-0000-0000-00009C370000}"/>
    <cellStyle name="40% - Accent4 30 8" xfId="13263" xr:uid="{00000000-0005-0000-0000-00009D370000}"/>
    <cellStyle name="40% - Accent4 31" xfId="1328" xr:uid="{00000000-0005-0000-0000-00009E370000}"/>
    <cellStyle name="40% - Accent4 31 2" xfId="4284" xr:uid="{00000000-0005-0000-0000-00009F370000}"/>
    <cellStyle name="40% - Accent4 31 2 2" xfId="12263" xr:uid="{00000000-0005-0000-0000-0000A0370000}"/>
    <cellStyle name="40% - Accent4 31 2 2 2" xfId="23551" xr:uid="{00000000-0005-0000-0000-0000A1370000}"/>
    <cellStyle name="40% - Accent4 31 2 3" xfId="10269" xr:uid="{00000000-0005-0000-0000-0000A2370000}"/>
    <cellStyle name="40% - Accent4 31 2 3 2" xfId="21557" xr:uid="{00000000-0005-0000-0000-0000A3370000}"/>
    <cellStyle name="40% - Accent4 31 2 4" xfId="8275" xr:uid="{00000000-0005-0000-0000-0000A4370000}"/>
    <cellStyle name="40% - Accent4 31 2 4 2" xfId="19563" xr:uid="{00000000-0005-0000-0000-0000A5370000}"/>
    <cellStyle name="40% - Accent4 31 2 5" xfId="6281" xr:uid="{00000000-0005-0000-0000-0000A6370000}"/>
    <cellStyle name="40% - Accent4 31 2 5 2" xfId="17569" xr:uid="{00000000-0005-0000-0000-0000A7370000}"/>
    <cellStyle name="40% - Accent4 31 2 6" xfId="15575" xr:uid="{00000000-0005-0000-0000-0000A8370000}"/>
    <cellStyle name="40% - Accent4 31 3" xfId="11266" xr:uid="{00000000-0005-0000-0000-0000A9370000}"/>
    <cellStyle name="40% - Accent4 31 3 2" xfId="22554" xr:uid="{00000000-0005-0000-0000-0000AA370000}"/>
    <cellStyle name="40% - Accent4 31 4" xfId="9272" xr:uid="{00000000-0005-0000-0000-0000AB370000}"/>
    <cellStyle name="40% - Accent4 31 4 2" xfId="20560" xr:uid="{00000000-0005-0000-0000-0000AC370000}"/>
    <cellStyle name="40% - Accent4 31 5" xfId="7278" xr:uid="{00000000-0005-0000-0000-0000AD370000}"/>
    <cellStyle name="40% - Accent4 31 5 2" xfId="18566" xr:uid="{00000000-0005-0000-0000-0000AE370000}"/>
    <cellStyle name="40% - Accent4 31 6" xfId="5284" xr:uid="{00000000-0005-0000-0000-0000AF370000}"/>
    <cellStyle name="40% - Accent4 31 6 2" xfId="16572" xr:uid="{00000000-0005-0000-0000-0000B0370000}"/>
    <cellStyle name="40% - Accent4 31 7" xfId="14578" xr:uid="{00000000-0005-0000-0000-0000B1370000}"/>
    <cellStyle name="40% - Accent4 31 8" xfId="13264" xr:uid="{00000000-0005-0000-0000-0000B2370000}"/>
    <cellStyle name="40% - Accent4 32" xfId="1329" xr:uid="{00000000-0005-0000-0000-0000B3370000}"/>
    <cellStyle name="40% - Accent4 32 2" xfId="4285" xr:uid="{00000000-0005-0000-0000-0000B4370000}"/>
    <cellStyle name="40% - Accent4 32 2 2" xfId="12264" xr:uid="{00000000-0005-0000-0000-0000B5370000}"/>
    <cellStyle name="40% - Accent4 32 2 2 2" xfId="23552" xr:uid="{00000000-0005-0000-0000-0000B6370000}"/>
    <cellStyle name="40% - Accent4 32 2 3" xfId="10270" xr:uid="{00000000-0005-0000-0000-0000B7370000}"/>
    <cellStyle name="40% - Accent4 32 2 3 2" xfId="21558" xr:uid="{00000000-0005-0000-0000-0000B8370000}"/>
    <cellStyle name="40% - Accent4 32 2 4" xfId="8276" xr:uid="{00000000-0005-0000-0000-0000B9370000}"/>
    <cellStyle name="40% - Accent4 32 2 4 2" xfId="19564" xr:uid="{00000000-0005-0000-0000-0000BA370000}"/>
    <cellStyle name="40% - Accent4 32 2 5" xfId="6282" xr:uid="{00000000-0005-0000-0000-0000BB370000}"/>
    <cellStyle name="40% - Accent4 32 2 5 2" xfId="17570" xr:uid="{00000000-0005-0000-0000-0000BC370000}"/>
    <cellStyle name="40% - Accent4 32 2 6" xfId="15576" xr:uid="{00000000-0005-0000-0000-0000BD370000}"/>
    <cellStyle name="40% - Accent4 32 3" xfId="11267" xr:uid="{00000000-0005-0000-0000-0000BE370000}"/>
    <cellStyle name="40% - Accent4 32 3 2" xfId="22555" xr:uid="{00000000-0005-0000-0000-0000BF370000}"/>
    <cellStyle name="40% - Accent4 32 4" xfId="9273" xr:uid="{00000000-0005-0000-0000-0000C0370000}"/>
    <cellStyle name="40% - Accent4 32 4 2" xfId="20561" xr:uid="{00000000-0005-0000-0000-0000C1370000}"/>
    <cellStyle name="40% - Accent4 32 5" xfId="7279" xr:uid="{00000000-0005-0000-0000-0000C2370000}"/>
    <cellStyle name="40% - Accent4 32 5 2" xfId="18567" xr:uid="{00000000-0005-0000-0000-0000C3370000}"/>
    <cellStyle name="40% - Accent4 32 6" xfId="5285" xr:uid="{00000000-0005-0000-0000-0000C4370000}"/>
    <cellStyle name="40% - Accent4 32 6 2" xfId="16573" xr:uid="{00000000-0005-0000-0000-0000C5370000}"/>
    <cellStyle name="40% - Accent4 32 7" xfId="14579" xr:uid="{00000000-0005-0000-0000-0000C6370000}"/>
    <cellStyle name="40% - Accent4 32 8" xfId="13265" xr:uid="{00000000-0005-0000-0000-0000C7370000}"/>
    <cellStyle name="40% - Accent4 33" xfId="1330" xr:uid="{00000000-0005-0000-0000-0000C8370000}"/>
    <cellStyle name="40% - Accent4 33 2" xfId="4286" xr:uid="{00000000-0005-0000-0000-0000C9370000}"/>
    <cellStyle name="40% - Accent4 33 2 2" xfId="12265" xr:uid="{00000000-0005-0000-0000-0000CA370000}"/>
    <cellStyle name="40% - Accent4 33 2 2 2" xfId="23553" xr:uid="{00000000-0005-0000-0000-0000CB370000}"/>
    <cellStyle name="40% - Accent4 33 2 3" xfId="10271" xr:uid="{00000000-0005-0000-0000-0000CC370000}"/>
    <cellStyle name="40% - Accent4 33 2 3 2" xfId="21559" xr:uid="{00000000-0005-0000-0000-0000CD370000}"/>
    <cellStyle name="40% - Accent4 33 2 4" xfId="8277" xr:uid="{00000000-0005-0000-0000-0000CE370000}"/>
    <cellStyle name="40% - Accent4 33 2 4 2" xfId="19565" xr:uid="{00000000-0005-0000-0000-0000CF370000}"/>
    <cellStyle name="40% - Accent4 33 2 5" xfId="6283" xr:uid="{00000000-0005-0000-0000-0000D0370000}"/>
    <cellStyle name="40% - Accent4 33 2 5 2" xfId="17571" xr:uid="{00000000-0005-0000-0000-0000D1370000}"/>
    <cellStyle name="40% - Accent4 33 2 6" xfId="15577" xr:uid="{00000000-0005-0000-0000-0000D2370000}"/>
    <cellStyle name="40% - Accent4 33 3" xfId="11268" xr:uid="{00000000-0005-0000-0000-0000D3370000}"/>
    <cellStyle name="40% - Accent4 33 3 2" xfId="22556" xr:uid="{00000000-0005-0000-0000-0000D4370000}"/>
    <cellStyle name="40% - Accent4 33 4" xfId="9274" xr:uid="{00000000-0005-0000-0000-0000D5370000}"/>
    <cellStyle name="40% - Accent4 33 4 2" xfId="20562" xr:uid="{00000000-0005-0000-0000-0000D6370000}"/>
    <cellStyle name="40% - Accent4 33 5" xfId="7280" xr:uid="{00000000-0005-0000-0000-0000D7370000}"/>
    <cellStyle name="40% - Accent4 33 5 2" xfId="18568" xr:uid="{00000000-0005-0000-0000-0000D8370000}"/>
    <cellStyle name="40% - Accent4 33 6" xfId="5286" xr:uid="{00000000-0005-0000-0000-0000D9370000}"/>
    <cellStyle name="40% - Accent4 33 6 2" xfId="16574" xr:uid="{00000000-0005-0000-0000-0000DA370000}"/>
    <cellStyle name="40% - Accent4 33 7" xfId="14580" xr:uid="{00000000-0005-0000-0000-0000DB370000}"/>
    <cellStyle name="40% - Accent4 33 8" xfId="13266" xr:uid="{00000000-0005-0000-0000-0000DC370000}"/>
    <cellStyle name="40% - Accent4 34" xfId="1331" xr:uid="{00000000-0005-0000-0000-0000DD370000}"/>
    <cellStyle name="40% - Accent4 34 2" xfId="4287" xr:uid="{00000000-0005-0000-0000-0000DE370000}"/>
    <cellStyle name="40% - Accent4 34 2 2" xfId="12266" xr:uid="{00000000-0005-0000-0000-0000DF370000}"/>
    <cellStyle name="40% - Accent4 34 2 2 2" xfId="23554" xr:uid="{00000000-0005-0000-0000-0000E0370000}"/>
    <cellStyle name="40% - Accent4 34 2 3" xfId="10272" xr:uid="{00000000-0005-0000-0000-0000E1370000}"/>
    <cellStyle name="40% - Accent4 34 2 3 2" xfId="21560" xr:uid="{00000000-0005-0000-0000-0000E2370000}"/>
    <cellStyle name="40% - Accent4 34 2 4" xfId="8278" xr:uid="{00000000-0005-0000-0000-0000E3370000}"/>
    <cellStyle name="40% - Accent4 34 2 4 2" xfId="19566" xr:uid="{00000000-0005-0000-0000-0000E4370000}"/>
    <cellStyle name="40% - Accent4 34 2 5" xfId="6284" xr:uid="{00000000-0005-0000-0000-0000E5370000}"/>
    <cellStyle name="40% - Accent4 34 2 5 2" xfId="17572" xr:uid="{00000000-0005-0000-0000-0000E6370000}"/>
    <cellStyle name="40% - Accent4 34 2 6" xfId="15578" xr:uid="{00000000-0005-0000-0000-0000E7370000}"/>
    <cellStyle name="40% - Accent4 34 3" xfId="11269" xr:uid="{00000000-0005-0000-0000-0000E8370000}"/>
    <cellStyle name="40% - Accent4 34 3 2" xfId="22557" xr:uid="{00000000-0005-0000-0000-0000E9370000}"/>
    <cellStyle name="40% - Accent4 34 4" xfId="9275" xr:uid="{00000000-0005-0000-0000-0000EA370000}"/>
    <cellStyle name="40% - Accent4 34 4 2" xfId="20563" xr:uid="{00000000-0005-0000-0000-0000EB370000}"/>
    <cellStyle name="40% - Accent4 34 5" xfId="7281" xr:uid="{00000000-0005-0000-0000-0000EC370000}"/>
    <cellStyle name="40% - Accent4 34 5 2" xfId="18569" xr:uid="{00000000-0005-0000-0000-0000ED370000}"/>
    <cellStyle name="40% - Accent4 34 6" xfId="5287" xr:uid="{00000000-0005-0000-0000-0000EE370000}"/>
    <cellStyle name="40% - Accent4 34 6 2" xfId="16575" xr:uid="{00000000-0005-0000-0000-0000EF370000}"/>
    <cellStyle name="40% - Accent4 34 7" xfId="14581" xr:uid="{00000000-0005-0000-0000-0000F0370000}"/>
    <cellStyle name="40% - Accent4 34 8" xfId="13267" xr:uid="{00000000-0005-0000-0000-0000F1370000}"/>
    <cellStyle name="40% - Accent4 35" xfId="1332" xr:uid="{00000000-0005-0000-0000-0000F2370000}"/>
    <cellStyle name="40% - Accent4 35 2" xfId="4288" xr:uid="{00000000-0005-0000-0000-0000F3370000}"/>
    <cellStyle name="40% - Accent4 35 2 2" xfId="12267" xr:uid="{00000000-0005-0000-0000-0000F4370000}"/>
    <cellStyle name="40% - Accent4 35 2 2 2" xfId="23555" xr:uid="{00000000-0005-0000-0000-0000F5370000}"/>
    <cellStyle name="40% - Accent4 35 2 3" xfId="10273" xr:uid="{00000000-0005-0000-0000-0000F6370000}"/>
    <cellStyle name="40% - Accent4 35 2 3 2" xfId="21561" xr:uid="{00000000-0005-0000-0000-0000F7370000}"/>
    <cellStyle name="40% - Accent4 35 2 4" xfId="8279" xr:uid="{00000000-0005-0000-0000-0000F8370000}"/>
    <cellStyle name="40% - Accent4 35 2 4 2" xfId="19567" xr:uid="{00000000-0005-0000-0000-0000F9370000}"/>
    <cellStyle name="40% - Accent4 35 2 5" xfId="6285" xr:uid="{00000000-0005-0000-0000-0000FA370000}"/>
    <cellStyle name="40% - Accent4 35 2 5 2" xfId="17573" xr:uid="{00000000-0005-0000-0000-0000FB370000}"/>
    <cellStyle name="40% - Accent4 35 2 6" xfId="15579" xr:uid="{00000000-0005-0000-0000-0000FC370000}"/>
    <cellStyle name="40% - Accent4 35 3" xfId="11270" xr:uid="{00000000-0005-0000-0000-0000FD370000}"/>
    <cellStyle name="40% - Accent4 35 3 2" xfId="22558" xr:uid="{00000000-0005-0000-0000-0000FE370000}"/>
    <cellStyle name="40% - Accent4 35 4" xfId="9276" xr:uid="{00000000-0005-0000-0000-0000FF370000}"/>
    <cellStyle name="40% - Accent4 35 4 2" xfId="20564" xr:uid="{00000000-0005-0000-0000-000000380000}"/>
    <cellStyle name="40% - Accent4 35 5" xfId="7282" xr:uid="{00000000-0005-0000-0000-000001380000}"/>
    <cellStyle name="40% - Accent4 35 5 2" xfId="18570" xr:uid="{00000000-0005-0000-0000-000002380000}"/>
    <cellStyle name="40% - Accent4 35 6" xfId="5288" xr:uid="{00000000-0005-0000-0000-000003380000}"/>
    <cellStyle name="40% - Accent4 35 6 2" xfId="16576" xr:uid="{00000000-0005-0000-0000-000004380000}"/>
    <cellStyle name="40% - Accent4 35 7" xfId="14582" xr:uid="{00000000-0005-0000-0000-000005380000}"/>
    <cellStyle name="40% - Accent4 35 8" xfId="13268" xr:uid="{00000000-0005-0000-0000-000006380000}"/>
    <cellStyle name="40% - Accent4 36" xfId="1333" xr:uid="{00000000-0005-0000-0000-000007380000}"/>
    <cellStyle name="40% - Accent4 36 2" xfId="4289" xr:uid="{00000000-0005-0000-0000-000008380000}"/>
    <cellStyle name="40% - Accent4 36 2 2" xfId="12268" xr:uid="{00000000-0005-0000-0000-000009380000}"/>
    <cellStyle name="40% - Accent4 36 2 2 2" xfId="23556" xr:uid="{00000000-0005-0000-0000-00000A380000}"/>
    <cellStyle name="40% - Accent4 36 2 3" xfId="10274" xr:uid="{00000000-0005-0000-0000-00000B380000}"/>
    <cellStyle name="40% - Accent4 36 2 3 2" xfId="21562" xr:uid="{00000000-0005-0000-0000-00000C380000}"/>
    <cellStyle name="40% - Accent4 36 2 4" xfId="8280" xr:uid="{00000000-0005-0000-0000-00000D380000}"/>
    <cellStyle name="40% - Accent4 36 2 4 2" xfId="19568" xr:uid="{00000000-0005-0000-0000-00000E380000}"/>
    <cellStyle name="40% - Accent4 36 2 5" xfId="6286" xr:uid="{00000000-0005-0000-0000-00000F380000}"/>
    <cellStyle name="40% - Accent4 36 2 5 2" xfId="17574" xr:uid="{00000000-0005-0000-0000-000010380000}"/>
    <cellStyle name="40% - Accent4 36 2 6" xfId="15580" xr:uid="{00000000-0005-0000-0000-000011380000}"/>
    <cellStyle name="40% - Accent4 36 3" xfId="11271" xr:uid="{00000000-0005-0000-0000-000012380000}"/>
    <cellStyle name="40% - Accent4 36 3 2" xfId="22559" xr:uid="{00000000-0005-0000-0000-000013380000}"/>
    <cellStyle name="40% - Accent4 36 4" xfId="9277" xr:uid="{00000000-0005-0000-0000-000014380000}"/>
    <cellStyle name="40% - Accent4 36 4 2" xfId="20565" xr:uid="{00000000-0005-0000-0000-000015380000}"/>
    <cellStyle name="40% - Accent4 36 5" xfId="7283" xr:uid="{00000000-0005-0000-0000-000016380000}"/>
    <cellStyle name="40% - Accent4 36 5 2" xfId="18571" xr:uid="{00000000-0005-0000-0000-000017380000}"/>
    <cellStyle name="40% - Accent4 36 6" xfId="5289" xr:uid="{00000000-0005-0000-0000-000018380000}"/>
    <cellStyle name="40% - Accent4 36 6 2" xfId="16577" xr:uid="{00000000-0005-0000-0000-000019380000}"/>
    <cellStyle name="40% - Accent4 36 7" xfId="14583" xr:uid="{00000000-0005-0000-0000-00001A380000}"/>
    <cellStyle name="40% - Accent4 36 8" xfId="13269" xr:uid="{00000000-0005-0000-0000-00001B380000}"/>
    <cellStyle name="40% - Accent4 37" xfId="1334" xr:uid="{00000000-0005-0000-0000-00001C380000}"/>
    <cellStyle name="40% - Accent4 37 2" xfId="4290" xr:uid="{00000000-0005-0000-0000-00001D380000}"/>
    <cellStyle name="40% - Accent4 37 2 2" xfId="12269" xr:uid="{00000000-0005-0000-0000-00001E380000}"/>
    <cellStyle name="40% - Accent4 37 2 2 2" xfId="23557" xr:uid="{00000000-0005-0000-0000-00001F380000}"/>
    <cellStyle name="40% - Accent4 37 2 3" xfId="10275" xr:uid="{00000000-0005-0000-0000-000020380000}"/>
    <cellStyle name="40% - Accent4 37 2 3 2" xfId="21563" xr:uid="{00000000-0005-0000-0000-000021380000}"/>
    <cellStyle name="40% - Accent4 37 2 4" xfId="8281" xr:uid="{00000000-0005-0000-0000-000022380000}"/>
    <cellStyle name="40% - Accent4 37 2 4 2" xfId="19569" xr:uid="{00000000-0005-0000-0000-000023380000}"/>
    <cellStyle name="40% - Accent4 37 2 5" xfId="6287" xr:uid="{00000000-0005-0000-0000-000024380000}"/>
    <cellStyle name="40% - Accent4 37 2 5 2" xfId="17575" xr:uid="{00000000-0005-0000-0000-000025380000}"/>
    <cellStyle name="40% - Accent4 37 2 6" xfId="15581" xr:uid="{00000000-0005-0000-0000-000026380000}"/>
    <cellStyle name="40% - Accent4 37 3" xfId="11272" xr:uid="{00000000-0005-0000-0000-000027380000}"/>
    <cellStyle name="40% - Accent4 37 3 2" xfId="22560" xr:uid="{00000000-0005-0000-0000-000028380000}"/>
    <cellStyle name="40% - Accent4 37 4" xfId="9278" xr:uid="{00000000-0005-0000-0000-000029380000}"/>
    <cellStyle name="40% - Accent4 37 4 2" xfId="20566" xr:uid="{00000000-0005-0000-0000-00002A380000}"/>
    <cellStyle name="40% - Accent4 37 5" xfId="7284" xr:uid="{00000000-0005-0000-0000-00002B380000}"/>
    <cellStyle name="40% - Accent4 37 5 2" xfId="18572" xr:uid="{00000000-0005-0000-0000-00002C380000}"/>
    <cellStyle name="40% - Accent4 37 6" xfId="5290" xr:uid="{00000000-0005-0000-0000-00002D380000}"/>
    <cellStyle name="40% - Accent4 37 6 2" xfId="16578" xr:uid="{00000000-0005-0000-0000-00002E380000}"/>
    <cellStyle name="40% - Accent4 37 7" xfId="14584" xr:uid="{00000000-0005-0000-0000-00002F380000}"/>
    <cellStyle name="40% - Accent4 37 8" xfId="13270" xr:uid="{00000000-0005-0000-0000-000030380000}"/>
    <cellStyle name="40% - Accent4 38" xfId="1335" xr:uid="{00000000-0005-0000-0000-000031380000}"/>
    <cellStyle name="40% - Accent4 38 2" xfId="4291" xr:uid="{00000000-0005-0000-0000-000032380000}"/>
    <cellStyle name="40% - Accent4 38 2 2" xfId="12270" xr:uid="{00000000-0005-0000-0000-000033380000}"/>
    <cellStyle name="40% - Accent4 38 2 2 2" xfId="23558" xr:uid="{00000000-0005-0000-0000-000034380000}"/>
    <cellStyle name="40% - Accent4 38 2 3" xfId="10276" xr:uid="{00000000-0005-0000-0000-000035380000}"/>
    <cellStyle name="40% - Accent4 38 2 3 2" xfId="21564" xr:uid="{00000000-0005-0000-0000-000036380000}"/>
    <cellStyle name="40% - Accent4 38 2 4" xfId="8282" xr:uid="{00000000-0005-0000-0000-000037380000}"/>
    <cellStyle name="40% - Accent4 38 2 4 2" xfId="19570" xr:uid="{00000000-0005-0000-0000-000038380000}"/>
    <cellStyle name="40% - Accent4 38 2 5" xfId="6288" xr:uid="{00000000-0005-0000-0000-000039380000}"/>
    <cellStyle name="40% - Accent4 38 2 5 2" xfId="17576" xr:uid="{00000000-0005-0000-0000-00003A380000}"/>
    <cellStyle name="40% - Accent4 38 2 6" xfId="15582" xr:uid="{00000000-0005-0000-0000-00003B380000}"/>
    <cellStyle name="40% - Accent4 38 3" xfId="11273" xr:uid="{00000000-0005-0000-0000-00003C380000}"/>
    <cellStyle name="40% - Accent4 38 3 2" xfId="22561" xr:uid="{00000000-0005-0000-0000-00003D380000}"/>
    <cellStyle name="40% - Accent4 38 4" xfId="9279" xr:uid="{00000000-0005-0000-0000-00003E380000}"/>
    <cellStyle name="40% - Accent4 38 4 2" xfId="20567" xr:uid="{00000000-0005-0000-0000-00003F380000}"/>
    <cellStyle name="40% - Accent4 38 5" xfId="7285" xr:uid="{00000000-0005-0000-0000-000040380000}"/>
    <cellStyle name="40% - Accent4 38 5 2" xfId="18573" xr:uid="{00000000-0005-0000-0000-000041380000}"/>
    <cellStyle name="40% - Accent4 38 6" xfId="5291" xr:uid="{00000000-0005-0000-0000-000042380000}"/>
    <cellStyle name="40% - Accent4 38 6 2" xfId="16579" xr:uid="{00000000-0005-0000-0000-000043380000}"/>
    <cellStyle name="40% - Accent4 38 7" xfId="14585" xr:uid="{00000000-0005-0000-0000-000044380000}"/>
    <cellStyle name="40% - Accent4 38 8" xfId="13271" xr:uid="{00000000-0005-0000-0000-000045380000}"/>
    <cellStyle name="40% - Accent4 39" xfId="1336" xr:uid="{00000000-0005-0000-0000-000046380000}"/>
    <cellStyle name="40% - Accent4 39 2" xfId="4292" xr:uid="{00000000-0005-0000-0000-000047380000}"/>
    <cellStyle name="40% - Accent4 39 2 2" xfId="12271" xr:uid="{00000000-0005-0000-0000-000048380000}"/>
    <cellStyle name="40% - Accent4 39 2 2 2" xfId="23559" xr:uid="{00000000-0005-0000-0000-000049380000}"/>
    <cellStyle name="40% - Accent4 39 2 3" xfId="10277" xr:uid="{00000000-0005-0000-0000-00004A380000}"/>
    <cellStyle name="40% - Accent4 39 2 3 2" xfId="21565" xr:uid="{00000000-0005-0000-0000-00004B380000}"/>
    <cellStyle name="40% - Accent4 39 2 4" xfId="8283" xr:uid="{00000000-0005-0000-0000-00004C380000}"/>
    <cellStyle name="40% - Accent4 39 2 4 2" xfId="19571" xr:uid="{00000000-0005-0000-0000-00004D380000}"/>
    <cellStyle name="40% - Accent4 39 2 5" xfId="6289" xr:uid="{00000000-0005-0000-0000-00004E380000}"/>
    <cellStyle name="40% - Accent4 39 2 5 2" xfId="17577" xr:uid="{00000000-0005-0000-0000-00004F380000}"/>
    <cellStyle name="40% - Accent4 39 2 6" xfId="15583" xr:uid="{00000000-0005-0000-0000-000050380000}"/>
    <cellStyle name="40% - Accent4 39 3" xfId="11274" xr:uid="{00000000-0005-0000-0000-000051380000}"/>
    <cellStyle name="40% - Accent4 39 3 2" xfId="22562" xr:uid="{00000000-0005-0000-0000-000052380000}"/>
    <cellStyle name="40% - Accent4 39 4" xfId="9280" xr:uid="{00000000-0005-0000-0000-000053380000}"/>
    <cellStyle name="40% - Accent4 39 4 2" xfId="20568" xr:uid="{00000000-0005-0000-0000-000054380000}"/>
    <cellStyle name="40% - Accent4 39 5" xfId="7286" xr:uid="{00000000-0005-0000-0000-000055380000}"/>
    <cellStyle name="40% - Accent4 39 5 2" xfId="18574" xr:uid="{00000000-0005-0000-0000-000056380000}"/>
    <cellStyle name="40% - Accent4 39 6" xfId="5292" xr:uid="{00000000-0005-0000-0000-000057380000}"/>
    <cellStyle name="40% - Accent4 39 6 2" xfId="16580" xr:uid="{00000000-0005-0000-0000-000058380000}"/>
    <cellStyle name="40% - Accent4 39 7" xfId="14586" xr:uid="{00000000-0005-0000-0000-000059380000}"/>
    <cellStyle name="40% - Accent4 39 8" xfId="13272" xr:uid="{00000000-0005-0000-0000-00005A380000}"/>
    <cellStyle name="40% - Accent4 4" xfId="1337" xr:uid="{00000000-0005-0000-0000-00005B380000}"/>
    <cellStyle name="40% - Accent4 4 10" xfId="24615" xr:uid="{00000000-0005-0000-0000-00005C380000}"/>
    <cellStyle name="40% - Accent4 4 11" xfId="25005" xr:uid="{00000000-0005-0000-0000-00005D380000}"/>
    <cellStyle name="40% - Accent4 4 2" xfId="4293" xr:uid="{00000000-0005-0000-0000-00005E380000}"/>
    <cellStyle name="40% - Accent4 4 2 2" xfId="12272" xr:uid="{00000000-0005-0000-0000-00005F380000}"/>
    <cellStyle name="40% - Accent4 4 2 2 2" xfId="23560" xr:uid="{00000000-0005-0000-0000-000060380000}"/>
    <cellStyle name="40% - Accent4 4 2 3" xfId="10278" xr:uid="{00000000-0005-0000-0000-000061380000}"/>
    <cellStyle name="40% - Accent4 4 2 3 2" xfId="21566" xr:uid="{00000000-0005-0000-0000-000062380000}"/>
    <cellStyle name="40% - Accent4 4 2 4" xfId="8284" xr:uid="{00000000-0005-0000-0000-000063380000}"/>
    <cellStyle name="40% - Accent4 4 2 4 2" xfId="19572" xr:uid="{00000000-0005-0000-0000-000064380000}"/>
    <cellStyle name="40% - Accent4 4 2 5" xfId="6290" xr:uid="{00000000-0005-0000-0000-000065380000}"/>
    <cellStyle name="40% - Accent4 4 2 5 2" xfId="17578" xr:uid="{00000000-0005-0000-0000-000066380000}"/>
    <cellStyle name="40% - Accent4 4 2 6" xfId="15584" xr:uid="{00000000-0005-0000-0000-000067380000}"/>
    <cellStyle name="40% - Accent4 4 2 7" xfId="24376" xr:uid="{00000000-0005-0000-0000-000068380000}"/>
    <cellStyle name="40% - Accent4 4 2 8" xfId="24840" xr:uid="{00000000-0005-0000-0000-000069380000}"/>
    <cellStyle name="40% - Accent4 4 2 9" xfId="25207" xr:uid="{00000000-0005-0000-0000-00006A380000}"/>
    <cellStyle name="40% - Accent4 4 3" xfId="11275" xr:uid="{00000000-0005-0000-0000-00006B380000}"/>
    <cellStyle name="40% - Accent4 4 3 2" xfId="22563" xr:uid="{00000000-0005-0000-0000-00006C380000}"/>
    <cellStyle name="40% - Accent4 4 4" xfId="9281" xr:uid="{00000000-0005-0000-0000-00006D380000}"/>
    <cellStyle name="40% - Accent4 4 4 2" xfId="20569" xr:uid="{00000000-0005-0000-0000-00006E380000}"/>
    <cellStyle name="40% - Accent4 4 5" xfId="7287" xr:uid="{00000000-0005-0000-0000-00006F380000}"/>
    <cellStyle name="40% - Accent4 4 5 2" xfId="18575" xr:uid="{00000000-0005-0000-0000-000070380000}"/>
    <cellStyle name="40% - Accent4 4 6" xfId="5293" xr:uid="{00000000-0005-0000-0000-000071380000}"/>
    <cellStyle name="40% - Accent4 4 6 2" xfId="16581" xr:uid="{00000000-0005-0000-0000-000072380000}"/>
    <cellStyle name="40% - Accent4 4 7" xfId="14587" xr:uid="{00000000-0005-0000-0000-000073380000}"/>
    <cellStyle name="40% - Accent4 4 8" xfId="13273" xr:uid="{00000000-0005-0000-0000-000074380000}"/>
    <cellStyle name="40% - Accent4 4 9" xfId="23988" xr:uid="{00000000-0005-0000-0000-000075380000}"/>
    <cellStyle name="40% - Accent4 40" xfId="1338" xr:uid="{00000000-0005-0000-0000-000076380000}"/>
    <cellStyle name="40% - Accent4 40 2" xfId="4294" xr:uid="{00000000-0005-0000-0000-000077380000}"/>
    <cellStyle name="40% - Accent4 40 2 2" xfId="12273" xr:uid="{00000000-0005-0000-0000-000078380000}"/>
    <cellStyle name="40% - Accent4 40 2 2 2" xfId="23561" xr:uid="{00000000-0005-0000-0000-000079380000}"/>
    <cellStyle name="40% - Accent4 40 2 3" xfId="10279" xr:uid="{00000000-0005-0000-0000-00007A380000}"/>
    <cellStyle name="40% - Accent4 40 2 3 2" xfId="21567" xr:uid="{00000000-0005-0000-0000-00007B380000}"/>
    <cellStyle name="40% - Accent4 40 2 4" xfId="8285" xr:uid="{00000000-0005-0000-0000-00007C380000}"/>
    <cellStyle name="40% - Accent4 40 2 4 2" xfId="19573" xr:uid="{00000000-0005-0000-0000-00007D380000}"/>
    <cellStyle name="40% - Accent4 40 2 5" xfId="6291" xr:uid="{00000000-0005-0000-0000-00007E380000}"/>
    <cellStyle name="40% - Accent4 40 2 5 2" xfId="17579" xr:uid="{00000000-0005-0000-0000-00007F380000}"/>
    <cellStyle name="40% - Accent4 40 2 6" xfId="15585" xr:uid="{00000000-0005-0000-0000-000080380000}"/>
    <cellStyle name="40% - Accent4 40 3" xfId="11276" xr:uid="{00000000-0005-0000-0000-000081380000}"/>
    <cellStyle name="40% - Accent4 40 3 2" xfId="22564" xr:uid="{00000000-0005-0000-0000-000082380000}"/>
    <cellStyle name="40% - Accent4 40 4" xfId="9282" xr:uid="{00000000-0005-0000-0000-000083380000}"/>
    <cellStyle name="40% - Accent4 40 4 2" xfId="20570" xr:uid="{00000000-0005-0000-0000-000084380000}"/>
    <cellStyle name="40% - Accent4 40 5" xfId="7288" xr:uid="{00000000-0005-0000-0000-000085380000}"/>
    <cellStyle name="40% - Accent4 40 5 2" xfId="18576" xr:uid="{00000000-0005-0000-0000-000086380000}"/>
    <cellStyle name="40% - Accent4 40 6" xfId="5294" xr:uid="{00000000-0005-0000-0000-000087380000}"/>
    <cellStyle name="40% - Accent4 40 6 2" xfId="16582" xr:uid="{00000000-0005-0000-0000-000088380000}"/>
    <cellStyle name="40% - Accent4 40 7" xfId="14588" xr:uid="{00000000-0005-0000-0000-000089380000}"/>
    <cellStyle name="40% - Accent4 40 8" xfId="13274" xr:uid="{00000000-0005-0000-0000-00008A380000}"/>
    <cellStyle name="40% - Accent4 41" xfId="1339" xr:uid="{00000000-0005-0000-0000-00008B380000}"/>
    <cellStyle name="40% - Accent4 41 2" xfId="4295" xr:uid="{00000000-0005-0000-0000-00008C380000}"/>
    <cellStyle name="40% - Accent4 41 2 2" xfId="12274" xr:uid="{00000000-0005-0000-0000-00008D380000}"/>
    <cellStyle name="40% - Accent4 41 2 2 2" xfId="23562" xr:uid="{00000000-0005-0000-0000-00008E380000}"/>
    <cellStyle name="40% - Accent4 41 2 3" xfId="10280" xr:uid="{00000000-0005-0000-0000-00008F380000}"/>
    <cellStyle name="40% - Accent4 41 2 3 2" xfId="21568" xr:uid="{00000000-0005-0000-0000-000090380000}"/>
    <cellStyle name="40% - Accent4 41 2 4" xfId="8286" xr:uid="{00000000-0005-0000-0000-000091380000}"/>
    <cellStyle name="40% - Accent4 41 2 4 2" xfId="19574" xr:uid="{00000000-0005-0000-0000-000092380000}"/>
    <cellStyle name="40% - Accent4 41 2 5" xfId="6292" xr:uid="{00000000-0005-0000-0000-000093380000}"/>
    <cellStyle name="40% - Accent4 41 2 5 2" xfId="17580" xr:uid="{00000000-0005-0000-0000-000094380000}"/>
    <cellStyle name="40% - Accent4 41 2 6" xfId="15586" xr:uid="{00000000-0005-0000-0000-000095380000}"/>
    <cellStyle name="40% - Accent4 41 3" xfId="11277" xr:uid="{00000000-0005-0000-0000-000096380000}"/>
    <cellStyle name="40% - Accent4 41 3 2" xfId="22565" xr:uid="{00000000-0005-0000-0000-000097380000}"/>
    <cellStyle name="40% - Accent4 41 4" xfId="9283" xr:uid="{00000000-0005-0000-0000-000098380000}"/>
    <cellStyle name="40% - Accent4 41 4 2" xfId="20571" xr:uid="{00000000-0005-0000-0000-000099380000}"/>
    <cellStyle name="40% - Accent4 41 5" xfId="7289" xr:uid="{00000000-0005-0000-0000-00009A380000}"/>
    <cellStyle name="40% - Accent4 41 5 2" xfId="18577" xr:uid="{00000000-0005-0000-0000-00009B380000}"/>
    <cellStyle name="40% - Accent4 41 6" xfId="5295" xr:uid="{00000000-0005-0000-0000-00009C380000}"/>
    <cellStyle name="40% - Accent4 41 6 2" xfId="16583" xr:uid="{00000000-0005-0000-0000-00009D380000}"/>
    <cellStyle name="40% - Accent4 41 7" xfId="14589" xr:uid="{00000000-0005-0000-0000-00009E380000}"/>
    <cellStyle name="40% - Accent4 41 8" xfId="13275" xr:uid="{00000000-0005-0000-0000-00009F380000}"/>
    <cellStyle name="40% - Accent4 42" xfId="1340" xr:uid="{00000000-0005-0000-0000-0000A0380000}"/>
    <cellStyle name="40% - Accent4 42 2" xfId="4296" xr:uid="{00000000-0005-0000-0000-0000A1380000}"/>
    <cellStyle name="40% - Accent4 42 2 2" xfId="12275" xr:uid="{00000000-0005-0000-0000-0000A2380000}"/>
    <cellStyle name="40% - Accent4 42 2 2 2" xfId="23563" xr:uid="{00000000-0005-0000-0000-0000A3380000}"/>
    <cellStyle name="40% - Accent4 42 2 3" xfId="10281" xr:uid="{00000000-0005-0000-0000-0000A4380000}"/>
    <cellStyle name="40% - Accent4 42 2 3 2" xfId="21569" xr:uid="{00000000-0005-0000-0000-0000A5380000}"/>
    <cellStyle name="40% - Accent4 42 2 4" xfId="8287" xr:uid="{00000000-0005-0000-0000-0000A6380000}"/>
    <cellStyle name="40% - Accent4 42 2 4 2" xfId="19575" xr:uid="{00000000-0005-0000-0000-0000A7380000}"/>
    <cellStyle name="40% - Accent4 42 2 5" xfId="6293" xr:uid="{00000000-0005-0000-0000-0000A8380000}"/>
    <cellStyle name="40% - Accent4 42 2 5 2" xfId="17581" xr:uid="{00000000-0005-0000-0000-0000A9380000}"/>
    <cellStyle name="40% - Accent4 42 2 6" xfId="15587" xr:uid="{00000000-0005-0000-0000-0000AA380000}"/>
    <cellStyle name="40% - Accent4 42 3" xfId="11278" xr:uid="{00000000-0005-0000-0000-0000AB380000}"/>
    <cellStyle name="40% - Accent4 42 3 2" xfId="22566" xr:uid="{00000000-0005-0000-0000-0000AC380000}"/>
    <cellStyle name="40% - Accent4 42 4" xfId="9284" xr:uid="{00000000-0005-0000-0000-0000AD380000}"/>
    <cellStyle name="40% - Accent4 42 4 2" xfId="20572" xr:uid="{00000000-0005-0000-0000-0000AE380000}"/>
    <cellStyle name="40% - Accent4 42 5" xfId="7290" xr:uid="{00000000-0005-0000-0000-0000AF380000}"/>
    <cellStyle name="40% - Accent4 42 5 2" xfId="18578" xr:uid="{00000000-0005-0000-0000-0000B0380000}"/>
    <cellStyle name="40% - Accent4 42 6" xfId="5296" xr:uid="{00000000-0005-0000-0000-0000B1380000}"/>
    <cellStyle name="40% - Accent4 42 6 2" xfId="16584" xr:uid="{00000000-0005-0000-0000-0000B2380000}"/>
    <cellStyle name="40% - Accent4 42 7" xfId="14590" xr:uid="{00000000-0005-0000-0000-0000B3380000}"/>
    <cellStyle name="40% - Accent4 42 8" xfId="13276" xr:uid="{00000000-0005-0000-0000-0000B4380000}"/>
    <cellStyle name="40% - Accent4 43" xfId="1341" xr:uid="{00000000-0005-0000-0000-0000B5380000}"/>
    <cellStyle name="40% - Accent4 43 2" xfId="4297" xr:uid="{00000000-0005-0000-0000-0000B6380000}"/>
    <cellStyle name="40% - Accent4 43 2 2" xfId="12276" xr:uid="{00000000-0005-0000-0000-0000B7380000}"/>
    <cellStyle name="40% - Accent4 43 2 2 2" xfId="23564" xr:uid="{00000000-0005-0000-0000-0000B8380000}"/>
    <cellStyle name="40% - Accent4 43 2 3" xfId="10282" xr:uid="{00000000-0005-0000-0000-0000B9380000}"/>
    <cellStyle name="40% - Accent4 43 2 3 2" xfId="21570" xr:uid="{00000000-0005-0000-0000-0000BA380000}"/>
    <cellStyle name="40% - Accent4 43 2 4" xfId="8288" xr:uid="{00000000-0005-0000-0000-0000BB380000}"/>
    <cellStyle name="40% - Accent4 43 2 4 2" xfId="19576" xr:uid="{00000000-0005-0000-0000-0000BC380000}"/>
    <cellStyle name="40% - Accent4 43 2 5" xfId="6294" xr:uid="{00000000-0005-0000-0000-0000BD380000}"/>
    <cellStyle name="40% - Accent4 43 2 5 2" xfId="17582" xr:uid="{00000000-0005-0000-0000-0000BE380000}"/>
    <cellStyle name="40% - Accent4 43 2 6" xfId="15588" xr:uid="{00000000-0005-0000-0000-0000BF380000}"/>
    <cellStyle name="40% - Accent4 43 3" xfId="11279" xr:uid="{00000000-0005-0000-0000-0000C0380000}"/>
    <cellStyle name="40% - Accent4 43 3 2" xfId="22567" xr:uid="{00000000-0005-0000-0000-0000C1380000}"/>
    <cellStyle name="40% - Accent4 43 4" xfId="9285" xr:uid="{00000000-0005-0000-0000-0000C2380000}"/>
    <cellStyle name="40% - Accent4 43 4 2" xfId="20573" xr:uid="{00000000-0005-0000-0000-0000C3380000}"/>
    <cellStyle name="40% - Accent4 43 5" xfId="7291" xr:uid="{00000000-0005-0000-0000-0000C4380000}"/>
    <cellStyle name="40% - Accent4 43 5 2" xfId="18579" xr:uid="{00000000-0005-0000-0000-0000C5380000}"/>
    <cellStyle name="40% - Accent4 43 6" xfId="5297" xr:uid="{00000000-0005-0000-0000-0000C6380000}"/>
    <cellStyle name="40% - Accent4 43 6 2" xfId="16585" xr:uid="{00000000-0005-0000-0000-0000C7380000}"/>
    <cellStyle name="40% - Accent4 43 7" xfId="14591" xr:uid="{00000000-0005-0000-0000-0000C8380000}"/>
    <cellStyle name="40% - Accent4 43 8" xfId="13277" xr:uid="{00000000-0005-0000-0000-0000C9380000}"/>
    <cellStyle name="40% - Accent4 44" xfId="1342" xr:uid="{00000000-0005-0000-0000-0000CA380000}"/>
    <cellStyle name="40% - Accent4 44 2" xfId="4298" xr:uid="{00000000-0005-0000-0000-0000CB380000}"/>
    <cellStyle name="40% - Accent4 44 2 2" xfId="12277" xr:uid="{00000000-0005-0000-0000-0000CC380000}"/>
    <cellStyle name="40% - Accent4 44 2 2 2" xfId="23565" xr:uid="{00000000-0005-0000-0000-0000CD380000}"/>
    <cellStyle name="40% - Accent4 44 2 3" xfId="10283" xr:uid="{00000000-0005-0000-0000-0000CE380000}"/>
    <cellStyle name="40% - Accent4 44 2 3 2" xfId="21571" xr:uid="{00000000-0005-0000-0000-0000CF380000}"/>
    <cellStyle name="40% - Accent4 44 2 4" xfId="8289" xr:uid="{00000000-0005-0000-0000-0000D0380000}"/>
    <cellStyle name="40% - Accent4 44 2 4 2" xfId="19577" xr:uid="{00000000-0005-0000-0000-0000D1380000}"/>
    <cellStyle name="40% - Accent4 44 2 5" xfId="6295" xr:uid="{00000000-0005-0000-0000-0000D2380000}"/>
    <cellStyle name="40% - Accent4 44 2 5 2" xfId="17583" xr:uid="{00000000-0005-0000-0000-0000D3380000}"/>
    <cellStyle name="40% - Accent4 44 2 6" xfId="15589" xr:uid="{00000000-0005-0000-0000-0000D4380000}"/>
    <cellStyle name="40% - Accent4 44 3" xfId="11280" xr:uid="{00000000-0005-0000-0000-0000D5380000}"/>
    <cellStyle name="40% - Accent4 44 3 2" xfId="22568" xr:uid="{00000000-0005-0000-0000-0000D6380000}"/>
    <cellStyle name="40% - Accent4 44 4" xfId="9286" xr:uid="{00000000-0005-0000-0000-0000D7380000}"/>
    <cellStyle name="40% - Accent4 44 4 2" xfId="20574" xr:uid="{00000000-0005-0000-0000-0000D8380000}"/>
    <cellStyle name="40% - Accent4 44 5" xfId="7292" xr:uid="{00000000-0005-0000-0000-0000D9380000}"/>
    <cellStyle name="40% - Accent4 44 5 2" xfId="18580" xr:uid="{00000000-0005-0000-0000-0000DA380000}"/>
    <cellStyle name="40% - Accent4 44 6" xfId="5298" xr:uid="{00000000-0005-0000-0000-0000DB380000}"/>
    <cellStyle name="40% - Accent4 44 6 2" xfId="16586" xr:uid="{00000000-0005-0000-0000-0000DC380000}"/>
    <cellStyle name="40% - Accent4 44 7" xfId="14592" xr:uid="{00000000-0005-0000-0000-0000DD380000}"/>
    <cellStyle name="40% - Accent4 44 8" xfId="13278" xr:uid="{00000000-0005-0000-0000-0000DE380000}"/>
    <cellStyle name="40% - Accent4 45" xfId="1343" xr:uid="{00000000-0005-0000-0000-0000DF380000}"/>
    <cellStyle name="40% - Accent4 45 2" xfId="4299" xr:uid="{00000000-0005-0000-0000-0000E0380000}"/>
    <cellStyle name="40% - Accent4 45 2 2" xfId="12278" xr:uid="{00000000-0005-0000-0000-0000E1380000}"/>
    <cellStyle name="40% - Accent4 45 2 2 2" xfId="23566" xr:uid="{00000000-0005-0000-0000-0000E2380000}"/>
    <cellStyle name="40% - Accent4 45 2 3" xfId="10284" xr:uid="{00000000-0005-0000-0000-0000E3380000}"/>
    <cellStyle name="40% - Accent4 45 2 3 2" xfId="21572" xr:uid="{00000000-0005-0000-0000-0000E4380000}"/>
    <cellStyle name="40% - Accent4 45 2 4" xfId="8290" xr:uid="{00000000-0005-0000-0000-0000E5380000}"/>
    <cellStyle name="40% - Accent4 45 2 4 2" xfId="19578" xr:uid="{00000000-0005-0000-0000-0000E6380000}"/>
    <cellStyle name="40% - Accent4 45 2 5" xfId="6296" xr:uid="{00000000-0005-0000-0000-0000E7380000}"/>
    <cellStyle name="40% - Accent4 45 2 5 2" xfId="17584" xr:uid="{00000000-0005-0000-0000-0000E8380000}"/>
    <cellStyle name="40% - Accent4 45 2 6" xfId="15590" xr:uid="{00000000-0005-0000-0000-0000E9380000}"/>
    <cellStyle name="40% - Accent4 45 3" xfId="11281" xr:uid="{00000000-0005-0000-0000-0000EA380000}"/>
    <cellStyle name="40% - Accent4 45 3 2" xfId="22569" xr:uid="{00000000-0005-0000-0000-0000EB380000}"/>
    <cellStyle name="40% - Accent4 45 4" xfId="9287" xr:uid="{00000000-0005-0000-0000-0000EC380000}"/>
    <cellStyle name="40% - Accent4 45 4 2" xfId="20575" xr:uid="{00000000-0005-0000-0000-0000ED380000}"/>
    <cellStyle name="40% - Accent4 45 5" xfId="7293" xr:uid="{00000000-0005-0000-0000-0000EE380000}"/>
    <cellStyle name="40% - Accent4 45 5 2" xfId="18581" xr:uid="{00000000-0005-0000-0000-0000EF380000}"/>
    <cellStyle name="40% - Accent4 45 6" xfId="5299" xr:uid="{00000000-0005-0000-0000-0000F0380000}"/>
    <cellStyle name="40% - Accent4 45 6 2" xfId="16587" xr:uid="{00000000-0005-0000-0000-0000F1380000}"/>
    <cellStyle name="40% - Accent4 45 7" xfId="14593" xr:uid="{00000000-0005-0000-0000-0000F2380000}"/>
    <cellStyle name="40% - Accent4 45 8" xfId="13279" xr:uid="{00000000-0005-0000-0000-0000F3380000}"/>
    <cellStyle name="40% - Accent4 46" xfId="1344" xr:uid="{00000000-0005-0000-0000-0000F4380000}"/>
    <cellStyle name="40% - Accent4 46 2" xfId="4300" xr:uid="{00000000-0005-0000-0000-0000F5380000}"/>
    <cellStyle name="40% - Accent4 46 2 2" xfId="12279" xr:uid="{00000000-0005-0000-0000-0000F6380000}"/>
    <cellStyle name="40% - Accent4 46 2 2 2" xfId="23567" xr:uid="{00000000-0005-0000-0000-0000F7380000}"/>
    <cellStyle name="40% - Accent4 46 2 3" xfId="10285" xr:uid="{00000000-0005-0000-0000-0000F8380000}"/>
    <cellStyle name="40% - Accent4 46 2 3 2" xfId="21573" xr:uid="{00000000-0005-0000-0000-0000F9380000}"/>
    <cellStyle name="40% - Accent4 46 2 4" xfId="8291" xr:uid="{00000000-0005-0000-0000-0000FA380000}"/>
    <cellStyle name="40% - Accent4 46 2 4 2" xfId="19579" xr:uid="{00000000-0005-0000-0000-0000FB380000}"/>
    <cellStyle name="40% - Accent4 46 2 5" xfId="6297" xr:uid="{00000000-0005-0000-0000-0000FC380000}"/>
    <cellStyle name="40% - Accent4 46 2 5 2" xfId="17585" xr:uid="{00000000-0005-0000-0000-0000FD380000}"/>
    <cellStyle name="40% - Accent4 46 2 6" xfId="15591" xr:uid="{00000000-0005-0000-0000-0000FE380000}"/>
    <cellStyle name="40% - Accent4 46 3" xfId="11282" xr:uid="{00000000-0005-0000-0000-0000FF380000}"/>
    <cellStyle name="40% - Accent4 46 3 2" xfId="22570" xr:uid="{00000000-0005-0000-0000-000000390000}"/>
    <cellStyle name="40% - Accent4 46 4" xfId="9288" xr:uid="{00000000-0005-0000-0000-000001390000}"/>
    <cellStyle name="40% - Accent4 46 4 2" xfId="20576" xr:uid="{00000000-0005-0000-0000-000002390000}"/>
    <cellStyle name="40% - Accent4 46 5" xfId="7294" xr:uid="{00000000-0005-0000-0000-000003390000}"/>
    <cellStyle name="40% - Accent4 46 5 2" xfId="18582" xr:uid="{00000000-0005-0000-0000-000004390000}"/>
    <cellStyle name="40% - Accent4 46 6" xfId="5300" xr:uid="{00000000-0005-0000-0000-000005390000}"/>
    <cellStyle name="40% - Accent4 46 6 2" xfId="16588" xr:uid="{00000000-0005-0000-0000-000006390000}"/>
    <cellStyle name="40% - Accent4 46 7" xfId="14594" xr:uid="{00000000-0005-0000-0000-000007390000}"/>
    <cellStyle name="40% - Accent4 46 8" xfId="13280" xr:uid="{00000000-0005-0000-0000-000008390000}"/>
    <cellStyle name="40% - Accent4 47" xfId="1345" xr:uid="{00000000-0005-0000-0000-000009390000}"/>
    <cellStyle name="40% - Accent4 47 2" xfId="4301" xr:uid="{00000000-0005-0000-0000-00000A390000}"/>
    <cellStyle name="40% - Accent4 47 2 2" xfId="12280" xr:uid="{00000000-0005-0000-0000-00000B390000}"/>
    <cellStyle name="40% - Accent4 47 2 2 2" xfId="23568" xr:uid="{00000000-0005-0000-0000-00000C390000}"/>
    <cellStyle name="40% - Accent4 47 2 3" xfId="10286" xr:uid="{00000000-0005-0000-0000-00000D390000}"/>
    <cellStyle name="40% - Accent4 47 2 3 2" xfId="21574" xr:uid="{00000000-0005-0000-0000-00000E390000}"/>
    <cellStyle name="40% - Accent4 47 2 4" xfId="8292" xr:uid="{00000000-0005-0000-0000-00000F390000}"/>
    <cellStyle name="40% - Accent4 47 2 4 2" xfId="19580" xr:uid="{00000000-0005-0000-0000-000010390000}"/>
    <cellStyle name="40% - Accent4 47 2 5" xfId="6298" xr:uid="{00000000-0005-0000-0000-000011390000}"/>
    <cellStyle name="40% - Accent4 47 2 5 2" xfId="17586" xr:uid="{00000000-0005-0000-0000-000012390000}"/>
    <cellStyle name="40% - Accent4 47 2 6" xfId="15592" xr:uid="{00000000-0005-0000-0000-000013390000}"/>
    <cellStyle name="40% - Accent4 47 3" xfId="11283" xr:uid="{00000000-0005-0000-0000-000014390000}"/>
    <cellStyle name="40% - Accent4 47 3 2" xfId="22571" xr:uid="{00000000-0005-0000-0000-000015390000}"/>
    <cellStyle name="40% - Accent4 47 4" xfId="9289" xr:uid="{00000000-0005-0000-0000-000016390000}"/>
    <cellStyle name="40% - Accent4 47 4 2" xfId="20577" xr:uid="{00000000-0005-0000-0000-000017390000}"/>
    <cellStyle name="40% - Accent4 47 5" xfId="7295" xr:uid="{00000000-0005-0000-0000-000018390000}"/>
    <cellStyle name="40% - Accent4 47 5 2" xfId="18583" xr:uid="{00000000-0005-0000-0000-000019390000}"/>
    <cellStyle name="40% - Accent4 47 6" xfId="5301" xr:uid="{00000000-0005-0000-0000-00001A390000}"/>
    <cellStyle name="40% - Accent4 47 6 2" xfId="16589" xr:uid="{00000000-0005-0000-0000-00001B390000}"/>
    <cellStyle name="40% - Accent4 47 7" xfId="14595" xr:uid="{00000000-0005-0000-0000-00001C390000}"/>
    <cellStyle name="40% - Accent4 47 8" xfId="13281" xr:uid="{00000000-0005-0000-0000-00001D390000}"/>
    <cellStyle name="40% - Accent4 48" xfId="1346" xr:uid="{00000000-0005-0000-0000-00001E390000}"/>
    <cellStyle name="40% - Accent4 48 2" xfId="4302" xr:uid="{00000000-0005-0000-0000-00001F390000}"/>
    <cellStyle name="40% - Accent4 48 2 2" xfId="12281" xr:uid="{00000000-0005-0000-0000-000020390000}"/>
    <cellStyle name="40% - Accent4 48 2 2 2" xfId="23569" xr:uid="{00000000-0005-0000-0000-000021390000}"/>
    <cellStyle name="40% - Accent4 48 2 3" xfId="10287" xr:uid="{00000000-0005-0000-0000-000022390000}"/>
    <cellStyle name="40% - Accent4 48 2 3 2" xfId="21575" xr:uid="{00000000-0005-0000-0000-000023390000}"/>
    <cellStyle name="40% - Accent4 48 2 4" xfId="8293" xr:uid="{00000000-0005-0000-0000-000024390000}"/>
    <cellStyle name="40% - Accent4 48 2 4 2" xfId="19581" xr:uid="{00000000-0005-0000-0000-000025390000}"/>
    <cellStyle name="40% - Accent4 48 2 5" xfId="6299" xr:uid="{00000000-0005-0000-0000-000026390000}"/>
    <cellStyle name="40% - Accent4 48 2 5 2" xfId="17587" xr:uid="{00000000-0005-0000-0000-000027390000}"/>
    <cellStyle name="40% - Accent4 48 2 6" xfId="15593" xr:uid="{00000000-0005-0000-0000-000028390000}"/>
    <cellStyle name="40% - Accent4 48 3" xfId="11284" xr:uid="{00000000-0005-0000-0000-000029390000}"/>
    <cellStyle name="40% - Accent4 48 3 2" xfId="22572" xr:uid="{00000000-0005-0000-0000-00002A390000}"/>
    <cellStyle name="40% - Accent4 48 4" xfId="9290" xr:uid="{00000000-0005-0000-0000-00002B390000}"/>
    <cellStyle name="40% - Accent4 48 4 2" xfId="20578" xr:uid="{00000000-0005-0000-0000-00002C390000}"/>
    <cellStyle name="40% - Accent4 48 5" xfId="7296" xr:uid="{00000000-0005-0000-0000-00002D390000}"/>
    <cellStyle name="40% - Accent4 48 5 2" xfId="18584" xr:uid="{00000000-0005-0000-0000-00002E390000}"/>
    <cellStyle name="40% - Accent4 48 6" xfId="5302" xr:uid="{00000000-0005-0000-0000-00002F390000}"/>
    <cellStyle name="40% - Accent4 48 6 2" xfId="16590" xr:uid="{00000000-0005-0000-0000-000030390000}"/>
    <cellStyle name="40% - Accent4 48 7" xfId="14596" xr:uid="{00000000-0005-0000-0000-000031390000}"/>
    <cellStyle name="40% - Accent4 48 8" xfId="13282" xr:uid="{00000000-0005-0000-0000-000032390000}"/>
    <cellStyle name="40% - Accent4 49" xfId="1347" xr:uid="{00000000-0005-0000-0000-000033390000}"/>
    <cellStyle name="40% - Accent4 49 2" xfId="4303" xr:uid="{00000000-0005-0000-0000-000034390000}"/>
    <cellStyle name="40% - Accent4 49 2 2" xfId="12282" xr:uid="{00000000-0005-0000-0000-000035390000}"/>
    <cellStyle name="40% - Accent4 49 2 2 2" xfId="23570" xr:uid="{00000000-0005-0000-0000-000036390000}"/>
    <cellStyle name="40% - Accent4 49 2 3" xfId="10288" xr:uid="{00000000-0005-0000-0000-000037390000}"/>
    <cellStyle name="40% - Accent4 49 2 3 2" xfId="21576" xr:uid="{00000000-0005-0000-0000-000038390000}"/>
    <cellStyle name="40% - Accent4 49 2 4" xfId="8294" xr:uid="{00000000-0005-0000-0000-000039390000}"/>
    <cellStyle name="40% - Accent4 49 2 4 2" xfId="19582" xr:uid="{00000000-0005-0000-0000-00003A390000}"/>
    <cellStyle name="40% - Accent4 49 2 5" xfId="6300" xr:uid="{00000000-0005-0000-0000-00003B390000}"/>
    <cellStyle name="40% - Accent4 49 2 5 2" xfId="17588" xr:uid="{00000000-0005-0000-0000-00003C390000}"/>
    <cellStyle name="40% - Accent4 49 2 6" xfId="15594" xr:uid="{00000000-0005-0000-0000-00003D390000}"/>
    <cellStyle name="40% - Accent4 49 3" xfId="11285" xr:uid="{00000000-0005-0000-0000-00003E390000}"/>
    <cellStyle name="40% - Accent4 49 3 2" xfId="22573" xr:uid="{00000000-0005-0000-0000-00003F390000}"/>
    <cellStyle name="40% - Accent4 49 4" xfId="9291" xr:uid="{00000000-0005-0000-0000-000040390000}"/>
    <cellStyle name="40% - Accent4 49 4 2" xfId="20579" xr:uid="{00000000-0005-0000-0000-000041390000}"/>
    <cellStyle name="40% - Accent4 49 5" xfId="7297" xr:uid="{00000000-0005-0000-0000-000042390000}"/>
    <cellStyle name="40% - Accent4 49 5 2" xfId="18585" xr:uid="{00000000-0005-0000-0000-000043390000}"/>
    <cellStyle name="40% - Accent4 49 6" xfId="5303" xr:uid="{00000000-0005-0000-0000-000044390000}"/>
    <cellStyle name="40% - Accent4 49 6 2" xfId="16591" xr:uid="{00000000-0005-0000-0000-000045390000}"/>
    <cellStyle name="40% - Accent4 49 7" xfId="14597" xr:uid="{00000000-0005-0000-0000-000046390000}"/>
    <cellStyle name="40% - Accent4 49 8" xfId="13283" xr:uid="{00000000-0005-0000-0000-000047390000}"/>
    <cellStyle name="40% - Accent4 5" xfId="1348" xr:uid="{00000000-0005-0000-0000-000048390000}"/>
    <cellStyle name="40% - Accent4 5 10" xfId="24616" xr:uid="{00000000-0005-0000-0000-000049390000}"/>
    <cellStyle name="40% - Accent4 5 11" xfId="25006" xr:uid="{00000000-0005-0000-0000-00004A390000}"/>
    <cellStyle name="40% - Accent4 5 2" xfId="4304" xr:uid="{00000000-0005-0000-0000-00004B390000}"/>
    <cellStyle name="40% - Accent4 5 2 2" xfId="12283" xr:uid="{00000000-0005-0000-0000-00004C390000}"/>
    <cellStyle name="40% - Accent4 5 2 2 2" xfId="23571" xr:uid="{00000000-0005-0000-0000-00004D390000}"/>
    <cellStyle name="40% - Accent4 5 2 3" xfId="10289" xr:uid="{00000000-0005-0000-0000-00004E390000}"/>
    <cellStyle name="40% - Accent4 5 2 3 2" xfId="21577" xr:uid="{00000000-0005-0000-0000-00004F390000}"/>
    <cellStyle name="40% - Accent4 5 2 4" xfId="8295" xr:uid="{00000000-0005-0000-0000-000050390000}"/>
    <cellStyle name="40% - Accent4 5 2 4 2" xfId="19583" xr:uid="{00000000-0005-0000-0000-000051390000}"/>
    <cellStyle name="40% - Accent4 5 2 5" xfId="6301" xr:uid="{00000000-0005-0000-0000-000052390000}"/>
    <cellStyle name="40% - Accent4 5 2 5 2" xfId="17589" xr:uid="{00000000-0005-0000-0000-000053390000}"/>
    <cellStyle name="40% - Accent4 5 2 6" xfId="15595" xr:uid="{00000000-0005-0000-0000-000054390000}"/>
    <cellStyle name="40% - Accent4 5 2 7" xfId="24377" xr:uid="{00000000-0005-0000-0000-000055390000}"/>
    <cellStyle name="40% - Accent4 5 2 8" xfId="24841" xr:uid="{00000000-0005-0000-0000-000056390000}"/>
    <cellStyle name="40% - Accent4 5 2 9" xfId="25208" xr:uid="{00000000-0005-0000-0000-000057390000}"/>
    <cellStyle name="40% - Accent4 5 3" xfId="11286" xr:uid="{00000000-0005-0000-0000-000058390000}"/>
    <cellStyle name="40% - Accent4 5 3 2" xfId="22574" xr:uid="{00000000-0005-0000-0000-000059390000}"/>
    <cellStyle name="40% - Accent4 5 4" xfId="9292" xr:uid="{00000000-0005-0000-0000-00005A390000}"/>
    <cellStyle name="40% - Accent4 5 4 2" xfId="20580" xr:uid="{00000000-0005-0000-0000-00005B390000}"/>
    <cellStyle name="40% - Accent4 5 5" xfId="7298" xr:uid="{00000000-0005-0000-0000-00005C390000}"/>
    <cellStyle name="40% - Accent4 5 5 2" xfId="18586" xr:uid="{00000000-0005-0000-0000-00005D390000}"/>
    <cellStyle name="40% - Accent4 5 6" xfId="5304" xr:uid="{00000000-0005-0000-0000-00005E390000}"/>
    <cellStyle name="40% - Accent4 5 6 2" xfId="16592" xr:uid="{00000000-0005-0000-0000-00005F390000}"/>
    <cellStyle name="40% - Accent4 5 7" xfId="14598" xr:uid="{00000000-0005-0000-0000-000060390000}"/>
    <cellStyle name="40% - Accent4 5 8" xfId="13284" xr:uid="{00000000-0005-0000-0000-000061390000}"/>
    <cellStyle name="40% - Accent4 5 9" xfId="23989" xr:uid="{00000000-0005-0000-0000-000062390000}"/>
    <cellStyle name="40% - Accent4 50" xfId="1349" xr:uid="{00000000-0005-0000-0000-000063390000}"/>
    <cellStyle name="40% - Accent4 50 2" xfId="4305" xr:uid="{00000000-0005-0000-0000-000064390000}"/>
    <cellStyle name="40% - Accent4 50 2 2" xfId="12284" xr:uid="{00000000-0005-0000-0000-000065390000}"/>
    <cellStyle name="40% - Accent4 50 2 2 2" xfId="23572" xr:uid="{00000000-0005-0000-0000-000066390000}"/>
    <cellStyle name="40% - Accent4 50 2 3" xfId="10290" xr:uid="{00000000-0005-0000-0000-000067390000}"/>
    <cellStyle name="40% - Accent4 50 2 3 2" xfId="21578" xr:uid="{00000000-0005-0000-0000-000068390000}"/>
    <cellStyle name="40% - Accent4 50 2 4" xfId="8296" xr:uid="{00000000-0005-0000-0000-000069390000}"/>
    <cellStyle name="40% - Accent4 50 2 4 2" xfId="19584" xr:uid="{00000000-0005-0000-0000-00006A390000}"/>
    <cellStyle name="40% - Accent4 50 2 5" xfId="6302" xr:uid="{00000000-0005-0000-0000-00006B390000}"/>
    <cellStyle name="40% - Accent4 50 2 5 2" xfId="17590" xr:uid="{00000000-0005-0000-0000-00006C390000}"/>
    <cellStyle name="40% - Accent4 50 2 6" xfId="15596" xr:uid="{00000000-0005-0000-0000-00006D390000}"/>
    <cellStyle name="40% - Accent4 50 3" xfId="11287" xr:uid="{00000000-0005-0000-0000-00006E390000}"/>
    <cellStyle name="40% - Accent4 50 3 2" xfId="22575" xr:uid="{00000000-0005-0000-0000-00006F390000}"/>
    <cellStyle name="40% - Accent4 50 4" xfId="9293" xr:uid="{00000000-0005-0000-0000-000070390000}"/>
    <cellStyle name="40% - Accent4 50 4 2" xfId="20581" xr:uid="{00000000-0005-0000-0000-000071390000}"/>
    <cellStyle name="40% - Accent4 50 5" xfId="7299" xr:uid="{00000000-0005-0000-0000-000072390000}"/>
    <cellStyle name="40% - Accent4 50 5 2" xfId="18587" xr:uid="{00000000-0005-0000-0000-000073390000}"/>
    <cellStyle name="40% - Accent4 50 6" xfId="5305" xr:uid="{00000000-0005-0000-0000-000074390000}"/>
    <cellStyle name="40% - Accent4 50 6 2" xfId="16593" xr:uid="{00000000-0005-0000-0000-000075390000}"/>
    <cellStyle name="40% - Accent4 50 7" xfId="14599" xr:uid="{00000000-0005-0000-0000-000076390000}"/>
    <cellStyle name="40% - Accent4 50 8" xfId="13285" xr:uid="{00000000-0005-0000-0000-000077390000}"/>
    <cellStyle name="40% - Accent4 51" xfId="1350" xr:uid="{00000000-0005-0000-0000-000078390000}"/>
    <cellStyle name="40% - Accent4 51 2" xfId="4306" xr:uid="{00000000-0005-0000-0000-000079390000}"/>
    <cellStyle name="40% - Accent4 51 2 2" xfId="12285" xr:uid="{00000000-0005-0000-0000-00007A390000}"/>
    <cellStyle name="40% - Accent4 51 2 2 2" xfId="23573" xr:uid="{00000000-0005-0000-0000-00007B390000}"/>
    <cellStyle name="40% - Accent4 51 2 3" xfId="10291" xr:uid="{00000000-0005-0000-0000-00007C390000}"/>
    <cellStyle name="40% - Accent4 51 2 3 2" xfId="21579" xr:uid="{00000000-0005-0000-0000-00007D390000}"/>
    <cellStyle name="40% - Accent4 51 2 4" xfId="8297" xr:uid="{00000000-0005-0000-0000-00007E390000}"/>
    <cellStyle name="40% - Accent4 51 2 4 2" xfId="19585" xr:uid="{00000000-0005-0000-0000-00007F390000}"/>
    <cellStyle name="40% - Accent4 51 2 5" xfId="6303" xr:uid="{00000000-0005-0000-0000-000080390000}"/>
    <cellStyle name="40% - Accent4 51 2 5 2" xfId="17591" xr:uid="{00000000-0005-0000-0000-000081390000}"/>
    <cellStyle name="40% - Accent4 51 2 6" xfId="15597" xr:uid="{00000000-0005-0000-0000-000082390000}"/>
    <cellStyle name="40% - Accent4 51 3" xfId="11288" xr:uid="{00000000-0005-0000-0000-000083390000}"/>
    <cellStyle name="40% - Accent4 51 3 2" xfId="22576" xr:uid="{00000000-0005-0000-0000-000084390000}"/>
    <cellStyle name="40% - Accent4 51 4" xfId="9294" xr:uid="{00000000-0005-0000-0000-000085390000}"/>
    <cellStyle name="40% - Accent4 51 4 2" xfId="20582" xr:uid="{00000000-0005-0000-0000-000086390000}"/>
    <cellStyle name="40% - Accent4 51 5" xfId="7300" xr:uid="{00000000-0005-0000-0000-000087390000}"/>
    <cellStyle name="40% - Accent4 51 5 2" xfId="18588" xr:uid="{00000000-0005-0000-0000-000088390000}"/>
    <cellStyle name="40% - Accent4 51 6" xfId="5306" xr:uid="{00000000-0005-0000-0000-000089390000}"/>
    <cellStyle name="40% - Accent4 51 6 2" xfId="16594" xr:uid="{00000000-0005-0000-0000-00008A390000}"/>
    <cellStyle name="40% - Accent4 51 7" xfId="14600" xr:uid="{00000000-0005-0000-0000-00008B390000}"/>
    <cellStyle name="40% - Accent4 51 8" xfId="13286" xr:uid="{00000000-0005-0000-0000-00008C390000}"/>
    <cellStyle name="40% - Accent4 52" xfId="1351" xr:uid="{00000000-0005-0000-0000-00008D390000}"/>
    <cellStyle name="40% - Accent4 52 2" xfId="4307" xr:uid="{00000000-0005-0000-0000-00008E390000}"/>
    <cellStyle name="40% - Accent4 52 2 2" xfId="12286" xr:uid="{00000000-0005-0000-0000-00008F390000}"/>
    <cellStyle name="40% - Accent4 52 2 2 2" xfId="23574" xr:uid="{00000000-0005-0000-0000-000090390000}"/>
    <cellStyle name="40% - Accent4 52 2 3" xfId="10292" xr:uid="{00000000-0005-0000-0000-000091390000}"/>
    <cellStyle name="40% - Accent4 52 2 3 2" xfId="21580" xr:uid="{00000000-0005-0000-0000-000092390000}"/>
    <cellStyle name="40% - Accent4 52 2 4" xfId="8298" xr:uid="{00000000-0005-0000-0000-000093390000}"/>
    <cellStyle name="40% - Accent4 52 2 4 2" xfId="19586" xr:uid="{00000000-0005-0000-0000-000094390000}"/>
    <cellStyle name="40% - Accent4 52 2 5" xfId="6304" xr:uid="{00000000-0005-0000-0000-000095390000}"/>
    <cellStyle name="40% - Accent4 52 2 5 2" xfId="17592" xr:uid="{00000000-0005-0000-0000-000096390000}"/>
    <cellStyle name="40% - Accent4 52 2 6" xfId="15598" xr:uid="{00000000-0005-0000-0000-000097390000}"/>
    <cellStyle name="40% - Accent4 52 3" xfId="11289" xr:uid="{00000000-0005-0000-0000-000098390000}"/>
    <cellStyle name="40% - Accent4 52 3 2" xfId="22577" xr:uid="{00000000-0005-0000-0000-000099390000}"/>
    <cellStyle name="40% - Accent4 52 4" xfId="9295" xr:uid="{00000000-0005-0000-0000-00009A390000}"/>
    <cellStyle name="40% - Accent4 52 4 2" xfId="20583" xr:uid="{00000000-0005-0000-0000-00009B390000}"/>
    <cellStyle name="40% - Accent4 52 5" xfId="7301" xr:uid="{00000000-0005-0000-0000-00009C390000}"/>
    <cellStyle name="40% - Accent4 52 5 2" xfId="18589" xr:uid="{00000000-0005-0000-0000-00009D390000}"/>
    <cellStyle name="40% - Accent4 52 6" xfId="5307" xr:uid="{00000000-0005-0000-0000-00009E390000}"/>
    <cellStyle name="40% - Accent4 52 6 2" xfId="16595" xr:uid="{00000000-0005-0000-0000-00009F390000}"/>
    <cellStyle name="40% - Accent4 52 7" xfId="14601" xr:uid="{00000000-0005-0000-0000-0000A0390000}"/>
    <cellStyle name="40% - Accent4 52 8" xfId="13287" xr:uid="{00000000-0005-0000-0000-0000A1390000}"/>
    <cellStyle name="40% - Accent4 53" xfId="1352" xr:uid="{00000000-0005-0000-0000-0000A2390000}"/>
    <cellStyle name="40% - Accent4 53 2" xfId="4308" xr:uid="{00000000-0005-0000-0000-0000A3390000}"/>
    <cellStyle name="40% - Accent4 53 2 2" xfId="12287" xr:uid="{00000000-0005-0000-0000-0000A4390000}"/>
    <cellStyle name="40% - Accent4 53 2 2 2" xfId="23575" xr:uid="{00000000-0005-0000-0000-0000A5390000}"/>
    <cellStyle name="40% - Accent4 53 2 3" xfId="10293" xr:uid="{00000000-0005-0000-0000-0000A6390000}"/>
    <cellStyle name="40% - Accent4 53 2 3 2" xfId="21581" xr:uid="{00000000-0005-0000-0000-0000A7390000}"/>
    <cellStyle name="40% - Accent4 53 2 4" xfId="8299" xr:uid="{00000000-0005-0000-0000-0000A8390000}"/>
    <cellStyle name="40% - Accent4 53 2 4 2" xfId="19587" xr:uid="{00000000-0005-0000-0000-0000A9390000}"/>
    <cellStyle name="40% - Accent4 53 2 5" xfId="6305" xr:uid="{00000000-0005-0000-0000-0000AA390000}"/>
    <cellStyle name="40% - Accent4 53 2 5 2" xfId="17593" xr:uid="{00000000-0005-0000-0000-0000AB390000}"/>
    <cellStyle name="40% - Accent4 53 2 6" xfId="15599" xr:uid="{00000000-0005-0000-0000-0000AC390000}"/>
    <cellStyle name="40% - Accent4 53 3" xfId="11290" xr:uid="{00000000-0005-0000-0000-0000AD390000}"/>
    <cellStyle name="40% - Accent4 53 3 2" xfId="22578" xr:uid="{00000000-0005-0000-0000-0000AE390000}"/>
    <cellStyle name="40% - Accent4 53 4" xfId="9296" xr:uid="{00000000-0005-0000-0000-0000AF390000}"/>
    <cellStyle name="40% - Accent4 53 4 2" xfId="20584" xr:uid="{00000000-0005-0000-0000-0000B0390000}"/>
    <cellStyle name="40% - Accent4 53 5" xfId="7302" xr:uid="{00000000-0005-0000-0000-0000B1390000}"/>
    <cellStyle name="40% - Accent4 53 5 2" xfId="18590" xr:uid="{00000000-0005-0000-0000-0000B2390000}"/>
    <cellStyle name="40% - Accent4 53 6" xfId="5308" xr:uid="{00000000-0005-0000-0000-0000B3390000}"/>
    <cellStyle name="40% - Accent4 53 6 2" xfId="16596" xr:uid="{00000000-0005-0000-0000-0000B4390000}"/>
    <cellStyle name="40% - Accent4 53 7" xfId="14602" xr:uid="{00000000-0005-0000-0000-0000B5390000}"/>
    <cellStyle name="40% - Accent4 53 8" xfId="13288" xr:uid="{00000000-0005-0000-0000-0000B6390000}"/>
    <cellStyle name="40% - Accent4 54" xfId="1353" xr:uid="{00000000-0005-0000-0000-0000B7390000}"/>
    <cellStyle name="40% - Accent4 54 2" xfId="4309" xr:uid="{00000000-0005-0000-0000-0000B8390000}"/>
    <cellStyle name="40% - Accent4 54 2 2" xfId="12288" xr:uid="{00000000-0005-0000-0000-0000B9390000}"/>
    <cellStyle name="40% - Accent4 54 2 2 2" xfId="23576" xr:uid="{00000000-0005-0000-0000-0000BA390000}"/>
    <cellStyle name="40% - Accent4 54 2 3" xfId="10294" xr:uid="{00000000-0005-0000-0000-0000BB390000}"/>
    <cellStyle name="40% - Accent4 54 2 3 2" xfId="21582" xr:uid="{00000000-0005-0000-0000-0000BC390000}"/>
    <cellStyle name="40% - Accent4 54 2 4" xfId="8300" xr:uid="{00000000-0005-0000-0000-0000BD390000}"/>
    <cellStyle name="40% - Accent4 54 2 4 2" xfId="19588" xr:uid="{00000000-0005-0000-0000-0000BE390000}"/>
    <cellStyle name="40% - Accent4 54 2 5" xfId="6306" xr:uid="{00000000-0005-0000-0000-0000BF390000}"/>
    <cellStyle name="40% - Accent4 54 2 5 2" xfId="17594" xr:uid="{00000000-0005-0000-0000-0000C0390000}"/>
    <cellStyle name="40% - Accent4 54 2 6" xfId="15600" xr:uid="{00000000-0005-0000-0000-0000C1390000}"/>
    <cellStyle name="40% - Accent4 54 3" xfId="11291" xr:uid="{00000000-0005-0000-0000-0000C2390000}"/>
    <cellStyle name="40% - Accent4 54 3 2" xfId="22579" xr:uid="{00000000-0005-0000-0000-0000C3390000}"/>
    <cellStyle name="40% - Accent4 54 4" xfId="9297" xr:uid="{00000000-0005-0000-0000-0000C4390000}"/>
    <cellStyle name="40% - Accent4 54 4 2" xfId="20585" xr:uid="{00000000-0005-0000-0000-0000C5390000}"/>
    <cellStyle name="40% - Accent4 54 5" xfId="7303" xr:uid="{00000000-0005-0000-0000-0000C6390000}"/>
    <cellStyle name="40% - Accent4 54 5 2" xfId="18591" xr:uid="{00000000-0005-0000-0000-0000C7390000}"/>
    <cellStyle name="40% - Accent4 54 6" xfId="5309" xr:uid="{00000000-0005-0000-0000-0000C8390000}"/>
    <cellStyle name="40% - Accent4 54 6 2" xfId="16597" xr:uid="{00000000-0005-0000-0000-0000C9390000}"/>
    <cellStyle name="40% - Accent4 54 7" xfId="14603" xr:uid="{00000000-0005-0000-0000-0000CA390000}"/>
    <cellStyle name="40% - Accent4 54 8" xfId="13289" xr:uid="{00000000-0005-0000-0000-0000CB390000}"/>
    <cellStyle name="40% - Accent4 55" xfId="1354" xr:uid="{00000000-0005-0000-0000-0000CC390000}"/>
    <cellStyle name="40% - Accent4 55 2" xfId="4310" xr:uid="{00000000-0005-0000-0000-0000CD390000}"/>
    <cellStyle name="40% - Accent4 55 2 2" xfId="12289" xr:uid="{00000000-0005-0000-0000-0000CE390000}"/>
    <cellStyle name="40% - Accent4 55 2 2 2" xfId="23577" xr:uid="{00000000-0005-0000-0000-0000CF390000}"/>
    <cellStyle name="40% - Accent4 55 2 3" xfId="10295" xr:uid="{00000000-0005-0000-0000-0000D0390000}"/>
    <cellStyle name="40% - Accent4 55 2 3 2" xfId="21583" xr:uid="{00000000-0005-0000-0000-0000D1390000}"/>
    <cellStyle name="40% - Accent4 55 2 4" xfId="8301" xr:uid="{00000000-0005-0000-0000-0000D2390000}"/>
    <cellStyle name="40% - Accent4 55 2 4 2" xfId="19589" xr:uid="{00000000-0005-0000-0000-0000D3390000}"/>
    <cellStyle name="40% - Accent4 55 2 5" xfId="6307" xr:uid="{00000000-0005-0000-0000-0000D4390000}"/>
    <cellStyle name="40% - Accent4 55 2 5 2" xfId="17595" xr:uid="{00000000-0005-0000-0000-0000D5390000}"/>
    <cellStyle name="40% - Accent4 55 2 6" xfId="15601" xr:uid="{00000000-0005-0000-0000-0000D6390000}"/>
    <cellStyle name="40% - Accent4 55 3" xfId="11292" xr:uid="{00000000-0005-0000-0000-0000D7390000}"/>
    <cellStyle name="40% - Accent4 55 3 2" xfId="22580" xr:uid="{00000000-0005-0000-0000-0000D8390000}"/>
    <cellStyle name="40% - Accent4 55 4" xfId="9298" xr:uid="{00000000-0005-0000-0000-0000D9390000}"/>
    <cellStyle name="40% - Accent4 55 4 2" xfId="20586" xr:uid="{00000000-0005-0000-0000-0000DA390000}"/>
    <cellStyle name="40% - Accent4 55 5" xfId="7304" xr:uid="{00000000-0005-0000-0000-0000DB390000}"/>
    <cellStyle name="40% - Accent4 55 5 2" xfId="18592" xr:uid="{00000000-0005-0000-0000-0000DC390000}"/>
    <cellStyle name="40% - Accent4 55 6" xfId="5310" xr:uid="{00000000-0005-0000-0000-0000DD390000}"/>
    <cellStyle name="40% - Accent4 55 6 2" xfId="16598" xr:uid="{00000000-0005-0000-0000-0000DE390000}"/>
    <cellStyle name="40% - Accent4 55 7" xfId="14604" xr:uid="{00000000-0005-0000-0000-0000DF390000}"/>
    <cellStyle name="40% - Accent4 55 8" xfId="13290" xr:uid="{00000000-0005-0000-0000-0000E0390000}"/>
    <cellStyle name="40% - Accent4 56" xfId="1355" xr:uid="{00000000-0005-0000-0000-0000E1390000}"/>
    <cellStyle name="40% - Accent4 56 2" xfId="4311" xr:uid="{00000000-0005-0000-0000-0000E2390000}"/>
    <cellStyle name="40% - Accent4 56 2 2" xfId="12290" xr:uid="{00000000-0005-0000-0000-0000E3390000}"/>
    <cellStyle name="40% - Accent4 56 2 2 2" xfId="23578" xr:uid="{00000000-0005-0000-0000-0000E4390000}"/>
    <cellStyle name="40% - Accent4 56 2 3" xfId="10296" xr:uid="{00000000-0005-0000-0000-0000E5390000}"/>
    <cellStyle name="40% - Accent4 56 2 3 2" xfId="21584" xr:uid="{00000000-0005-0000-0000-0000E6390000}"/>
    <cellStyle name="40% - Accent4 56 2 4" xfId="8302" xr:uid="{00000000-0005-0000-0000-0000E7390000}"/>
    <cellStyle name="40% - Accent4 56 2 4 2" xfId="19590" xr:uid="{00000000-0005-0000-0000-0000E8390000}"/>
    <cellStyle name="40% - Accent4 56 2 5" xfId="6308" xr:uid="{00000000-0005-0000-0000-0000E9390000}"/>
    <cellStyle name="40% - Accent4 56 2 5 2" xfId="17596" xr:uid="{00000000-0005-0000-0000-0000EA390000}"/>
    <cellStyle name="40% - Accent4 56 2 6" xfId="15602" xr:uid="{00000000-0005-0000-0000-0000EB390000}"/>
    <cellStyle name="40% - Accent4 56 3" xfId="11293" xr:uid="{00000000-0005-0000-0000-0000EC390000}"/>
    <cellStyle name="40% - Accent4 56 3 2" xfId="22581" xr:uid="{00000000-0005-0000-0000-0000ED390000}"/>
    <cellStyle name="40% - Accent4 56 4" xfId="9299" xr:uid="{00000000-0005-0000-0000-0000EE390000}"/>
    <cellStyle name="40% - Accent4 56 4 2" xfId="20587" xr:uid="{00000000-0005-0000-0000-0000EF390000}"/>
    <cellStyle name="40% - Accent4 56 5" xfId="7305" xr:uid="{00000000-0005-0000-0000-0000F0390000}"/>
    <cellStyle name="40% - Accent4 56 5 2" xfId="18593" xr:uid="{00000000-0005-0000-0000-0000F1390000}"/>
    <cellStyle name="40% - Accent4 56 6" xfId="5311" xr:uid="{00000000-0005-0000-0000-0000F2390000}"/>
    <cellStyle name="40% - Accent4 56 6 2" xfId="16599" xr:uid="{00000000-0005-0000-0000-0000F3390000}"/>
    <cellStyle name="40% - Accent4 56 7" xfId="14605" xr:uid="{00000000-0005-0000-0000-0000F4390000}"/>
    <cellStyle name="40% - Accent4 56 8" xfId="13291" xr:uid="{00000000-0005-0000-0000-0000F5390000}"/>
    <cellStyle name="40% - Accent4 57" xfId="1356" xr:uid="{00000000-0005-0000-0000-0000F6390000}"/>
    <cellStyle name="40% - Accent4 57 2" xfId="4312" xr:uid="{00000000-0005-0000-0000-0000F7390000}"/>
    <cellStyle name="40% - Accent4 57 2 2" xfId="12291" xr:uid="{00000000-0005-0000-0000-0000F8390000}"/>
    <cellStyle name="40% - Accent4 57 2 2 2" xfId="23579" xr:uid="{00000000-0005-0000-0000-0000F9390000}"/>
    <cellStyle name="40% - Accent4 57 2 3" xfId="10297" xr:uid="{00000000-0005-0000-0000-0000FA390000}"/>
    <cellStyle name="40% - Accent4 57 2 3 2" xfId="21585" xr:uid="{00000000-0005-0000-0000-0000FB390000}"/>
    <cellStyle name="40% - Accent4 57 2 4" xfId="8303" xr:uid="{00000000-0005-0000-0000-0000FC390000}"/>
    <cellStyle name="40% - Accent4 57 2 4 2" xfId="19591" xr:uid="{00000000-0005-0000-0000-0000FD390000}"/>
    <cellStyle name="40% - Accent4 57 2 5" xfId="6309" xr:uid="{00000000-0005-0000-0000-0000FE390000}"/>
    <cellStyle name="40% - Accent4 57 2 5 2" xfId="17597" xr:uid="{00000000-0005-0000-0000-0000FF390000}"/>
    <cellStyle name="40% - Accent4 57 2 6" xfId="15603" xr:uid="{00000000-0005-0000-0000-0000003A0000}"/>
    <cellStyle name="40% - Accent4 57 3" xfId="11294" xr:uid="{00000000-0005-0000-0000-0000013A0000}"/>
    <cellStyle name="40% - Accent4 57 3 2" xfId="22582" xr:uid="{00000000-0005-0000-0000-0000023A0000}"/>
    <cellStyle name="40% - Accent4 57 4" xfId="9300" xr:uid="{00000000-0005-0000-0000-0000033A0000}"/>
    <cellStyle name="40% - Accent4 57 4 2" xfId="20588" xr:uid="{00000000-0005-0000-0000-0000043A0000}"/>
    <cellStyle name="40% - Accent4 57 5" xfId="7306" xr:uid="{00000000-0005-0000-0000-0000053A0000}"/>
    <cellStyle name="40% - Accent4 57 5 2" xfId="18594" xr:uid="{00000000-0005-0000-0000-0000063A0000}"/>
    <cellStyle name="40% - Accent4 57 6" xfId="5312" xr:uid="{00000000-0005-0000-0000-0000073A0000}"/>
    <cellStyle name="40% - Accent4 57 6 2" xfId="16600" xr:uid="{00000000-0005-0000-0000-0000083A0000}"/>
    <cellStyle name="40% - Accent4 57 7" xfId="14606" xr:uid="{00000000-0005-0000-0000-0000093A0000}"/>
    <cellStyle name="40% - Accent4 57 8" xfId="13292" xr:uid="{00000000-0005-0000-0000-00000A3A0000}"/>
    <cellStyle name="40% - Accent4 58" xfId="1357" xr:uid="{00000000-0005-0000-0000-00000B3A0000}"/>
    <cellStyle name="40% - Accent4 58 2" xfId="4313" xr:uid="{00000000-0005-0000-0000-00000C3A0000}"/>
    <cellStyle name="40% - Accent4 58 2 2" xfId="12292" xr:uid="{00000000-0005-0000-0000-00000D3A0000}"/>
    <cellStyle name="40% - Accent4 58 2 2 2" xfId="23580" xr:uid="{00000000-0005-0000-0000-00000E3A0000}"/>
    <cellStyle name="40% - Accent4 58 2 3" xfId="10298" xr:uid="{00000000-0005-0000-0000-00000F3A0000}"/>
    <cellStyle name="40% - Accent4 58 2 3 2" xfId="21586" xr:uid="{00000000-0005-0000-0000-0000103A0000}"/>
    <cellStyle name="40% - Accent4 58 2 4" xfId="8304" xr:uid="{00000000-0005-0000-0000-0000113A0000}"/>
    <cellStyle name="40% - Accent4 58 2 4 2" xfId="19592" xr:uid="{00000000-0005-0000-0000-0000123A0000}"/>
    <cellStyle name="40% - Accent4 58 2 5" xfId="6310" xr:uid="{00000000-0005-0000-0000-0000133A0000}"/>
    <cellStyle name="40% - Accent4 58 2 5 2" xfId="17598" xr:uid="{00000000-0005-0000-0000-0000143A0000}"/>
    <cellStyle name="40% - Accent4 58 2 6" xfId="15604" xr:uid="{00000000-0005-0000-0000-0000153A0000}"/>
    <cellStyle name="40% - Accent4 58 3" xfId="11295" xr:uid="{00000000-0005-0000-0000-0000163A0000}"/>
    <cellStyle name="40% - Accent4 58 3 2" xfId="22583" xr:uid="{00000000-0005-0000-0000-0000173A0000}"/>
    <cellStyle name="40% - Accent4 58 4" xfId="9301" xr:uid="{00000000-0005-0000-0000-0000183A0000}"/>
    <cellStyle name="40% - Accent4 58 4 2" xfId="20589" xr:uid="{00000000-0005-0000-0000-0000193A0000}"/>
    <cellStyle name="40% - Accent4 58 5" xfId="7307" xr:uid="{00000000-0005-0000-0000-00001A3A0000}"/>
    <cellStyle name="40% - Accent4 58 5 2" xfId="18595" xr:uid="{00000000-0005-0000-0000-00001B3A0000}"/>
    <cellStyle name="40% - Accent4 58 6" xfId="5313" xr:uid="{00000000-0005-0000-0000-00001C3A0000}"/>
    <cellStyle name="40% - Accent4 58 6 2" xfId="16601" xr:uid="{00000000-0005-0000-0000-00001D3A0000}"/>
    <cellStyle name="40% - Accent4 58 7" xfId="14607" xr:uid="{00000000-0005-0000-0000-00001E3A0000}"/>
    <cellStyle name="40% - Accent4 58 8" xfId="13293" xr:uid="{00000000-0005-0000-0000-00001F3A0000}"/>
    <cellStyle name="40% - Accent4 59" xfId="1358" xr:uid="{00000000-0005-0000-0000-0000203A0000}"/>
    <cellStyle name="40% - Accent4 59 2" xfId="4314" xr:uid="{00000000-0005-0000-0000-0000213A0000}"/>
    <cellStyle name="40% - Accent4 59 2 2" xfId="12293" xr:uid="{00000000-0005-0000-0000-0000223A0000}"/>
    <cellStyle name="40% - Accent4 59 2 2 2" xfId="23581" xr:uid="{00000000-0005-0000-0000-0000233A0000}"/>
    <cellStyle name="40% - Accent4 59 2 3" xfId="10299" xr:uid="{00000000-0005-0000-0000-0000243A0000}"/>
    <cellStyle name="40% - Accent4 59 2 3 2" xfId="21587" xr:uid="{00000000-0005-0000-0000-0000253A0000}"/>
    <cellStyle name="40% - Accent4 59 2 4" xfId="8305" xr:uid="{00000000-0005-0000-0000-0000263A0000}"/>
    <cellStyle name="40% - Accent4 59 2 4 2" xfId="19593" xr:uid="{00000000-0005-0000-0000-0000273A0000}"/>
    <cellStyle name="40% - Accent4 59 2 5" xfId="6311" xr:uid="{00000000-0005-0000-0000-0000283A0000}"/>
    <cellStyle name="40% - Accent4 59 2 5 2" xfId="17599" xr:uid="{00000000-0005-0000-0000-0000293A0000}"/>
    <cellStyle name="40% - Accent4 59 2 6" xfId="15605" xr:uid="{00000000-0005-0000-0000-00002A3A0000}"/>
    <cellStyle name="40% - Accent4 59 3" xfId="11296" xr:uid="{00000000-0005-0000-0000-00002B3A0000}"/>
    <cellStyle name="40% - Accent4 59 3 2" xfId="22584" xr:uid="{00000000-0005-0000-0000-00002C3A0000}"/>
    <cellStyle name="40% - Accent4 59 4" xfId="9302" xr:uid="{00000000-0005-0000-0000-00002D3A0000}"/>
    <cellStyle name="40% - Accent4 59 4 2" xfId="20590" xr:uid="{00000000-0005-0000-0000-00002E3A0000}"/>
    <cellStyle name="40% - Accent4 59 5" xfId="7308" xr:uid="{00000000-0005-0000-0000-00002F3A0000}"/>
    <cellStyle name="40% - Accent4 59 5 2" xfId="18596" xr:uid="{00000000-0005-0000-0000-0000303A0000}"/>
    <cellStyle name="40% - Accent4 59 6" xfId="5314" xr:uid="{00000000-0005-0000-0000-0000313A0000}"/>
    <cellStyle name="40% - Accent4 59 6 2" xfId="16602" xr:uid="{00000000-0005-0000-0000-0000323A0000}"/>
    <cellStyle name="40% - Accent4 59 7" xfId="14608" xr:uid="{00000000-0005-0000-0000-0000333A0000}"/>
    <cellStyle name="40% - Accent4 59 8" xfId="13294" xr:uid="{00000000-0005-0000-0000-0000343A0000}"/>
    <cellStyle name="40% - Accent4 6" xfId="1359" xr:uid="{00000000-0005-0000-0000-0000353A0000}"/>
    <cellStyle name="40% - Accent4 6 10" xfId="24617" xr:uid="{00000000-0005-0000-0000-0000363A0000}"/>
    <cellStyle name="40% - Accent4 6 11" xfId="25007" xr:uid="{00000000-0005-0000-0000-0000373A0000}"/>
    <cellStyle name="40% - Accent4 6 2" xfId="4315" xr:uid="{00000000-0005-0000-0000-0000383A0000}"/>
    <cellStyle name="40% - Accent4 6 2 2" xfId="12294" xr:uid="{00000000-0005-0000-0000-0000393A0000}"/>
    <cellStyle name="40% - Accent4 6 2 2 2" xfId="23582" xr:uid="{00000000-0005-0000-0000-00003A3A0000}"/>
    <cellStyle name="40% - Accent4 6 2 3" xfId="10300" xr:uid="{00000000-0005-0000-0000-00003B3A0000}"/>
    <cellStyle name="40% - Accent4 6 2 3 2" xfId="21588" xr:uid="{00000000-0005-0000-0000-00003C3A0000}"/>
    <cellStyle name="40% - Accent4 6 2 4" xfId="8306" xr:uid="{00000000-0005-0000-0000-00003D3A0000}"/>
    <cellStyle name="40% - Accent4 6 2 4 2" xfId="19594" xr:uid="{00000000-0005-0000-0000-00003E3A0000}"/>
    <cellStyle name="40% - Accent4 6 2 5" xfId="6312" xr:uid="{00000000-0005-0000-0000-00003F3A0000}"/>
    <cellStyle name="40% - Accent4 6 2 5 2" xfId="17600" xr:uid="{00000000-0005-0000-0000-0000403A0000}"/>
    <cellStyle name="40% - Accent4 6 2 6" xfId="15606" xr:uid="{00000000-0005-0000-0000-0000413A0000}"/>
    <cellStyle name="40% - Accent4 6 2 7" xfId="24378" xr:uid="{00000000-0005-0000-0000-0000423A0000}"/>
    <cellStyle name="40% - Accent4 6 2 8" xfId="24842" xr:uid="{00000000-0005-0000-0000-0000433A0000}"/>
    <cellStyle name="40% - Accent4 6 2 9" xfId="25209" xr:uid="{00000000-0005-0000-0000-0000443A0000}"/>
    <cellStyle name="40% - Accent4 6 3" xfId="11297" xr:uid="{00000000-0005-0000-0000-0000453A0000}"/>
    <cellStyle name="40% - Accent4 6 3 2" xfId="22585" xr:uid="{00000000-0005-0000-0000-0000463A0000}"/>
    <cellStyle name="40% - Accent4 6 4" xfId="9303" xr:uid="{00000000-0005-0000-0000-0000473A0000}"/>
    <cellStyle name="40% - Accent4 6 4 2" xfId="20591" xr:uid="{00000000-0005-0000-0000-0000483A0000}"/>
    <cellStyle name="40% - Accent4 6 5" xfId="7309" xr:uid="{00000000-0005-0000-0000-0000493A0000}"/>
    <cellStyle name="40% - Accent4 6 5 2" xfId="18597" xr:uid="{00000000-0005-0000-0000-00004A3A0000}"/>
    <cellStyle name="40% - Accent4 6 6" xfId="5315" xr:uid="{00000000-0005-0000-0000-00004B3A0000}"/>
    <cellStyle name="40% - Accent4 6 6 2" xfId="16603" xr:uid="{00000000-0005-0000-0000-00004C3A0000}"/>
    <cellStyle name="40% - Accent4 6 7" xfId="14609" xr:uid="{00000000-0005-0000-0000-00004D3A0000}"/>
    <cellStyle name="40% - Accent4 6 8" xfId="13295" xr:uid="{00000000-0005-0000-0000-00004E3A0000}"/>
    <cellStyle name="40% - Accent4 6 9" xfId="23990" xr:uid="{00000000-0005-0000-0000-00004F3A0000}"/>
    <cellStyle name="40% - Accent4 60" xfId="1360" xr:uid="{00000000-0005-0000-0000-0000503A0000}"/>
    <cellStyle name="40% - Accent4 60 2" xfId="4316" xr:uid="{00000000-0005-0000-0000-0000513A0000}"/>
    <cellStyle name="40% - Accent4 60 2 2" xfId="12295" xr:uid="{00000000-0005-0000-0000-0000523A0000}"/>
    <cellStyle name="40% - Accent4 60 2 2 2" xfId="23583" xr:uid="{00000000-0005-0000-0000-0000533A0000}"/>
    <cellStyle name="40% - Accent4 60 2 3" xfId="10301" xr:uid="{00000000-0005-0000-0000-0000543A0000}"/>
    <cellStyle name="40% - Accent4 60 2 3 2" xfId="21589" xr:uid="{00000000-0005-0000-0000-0000553A0000}"/>
    <cellStyle name="40% - Accent4 60 2 4" xfId="8307" xr:uid="{00000000-0005-0000-0000-0000563A0000}"/>
    <cellStyle name="40% - Accent4 60 2 4 2" xfId="19595" xr:uid="{00000000-0005-0000-0000-0000573A0000}"/>
    <cellStyle name="40% - Accent4 60 2 5" xfId="6313" xr:uid="{00000000-0005-0000-0000-0000583A0000}"/>
    <cellStyle name="40% - Accent4 60 2 5 2" xfId="17601" xr:uid="{00000000-0005-0000-0000-0000593A0000}"/>
    <cellStyle name="40% - Accent4 60 2 6" xfId="15607" xr:uid="{00000000-0005-0000-0000-00005A3A0000}"/>
    <cellStyle name="40% - Accent4 60 3" xfId="11298" xr:uid="{00000000-0005-0000-0000-00005B3A0000}"/>
    <cellStyle name="40% - Accent4 60 3 2" xfId="22586" xr:uid="{00000000-0005-0000-0000-00005C3A0000}"/>
    <cellStyle name="40% - Accent4 60 4" xfId="9304" xr:uid="{00000000-0005-0000-0000-00005D3A0000}"/>
    <cellStyle name="40% - Accent4 60 4 2" xfId="20592" xr:uid="{00000000-0005-0000-0000-00005E3A0000}"/>
    <cellStyle name="40% - Accent4 60 5" xfId="7310" xr:uid="{00000000-0005-0000-0000-00005F3A0000}"/>
    <cellStyle name="40% - Accent4 60 5 2" xfId="18598" xr:uid="{00000000-0005-0000-0000-0000603A0000}"/>
    <cellStyle name="40% - Accent4 60 6" xfId="5316" xr:uid="{00000000-0005-0000-0000-0000613A0000}"/>
    <cellStyle name="40% - Accent4 60 6 2" xfId="16604" xr:uid="{00000000-0005-0000-0000-0000623A0000}"/>
    <cellStyle name="40% - Accent4 60 7" xfId="14610" xr:uid="{00000000-0005-0000-0000-0000633A0000}"/>
    <cellStyle name="40% - Accent4 60 8" xfId="13296" xr:uid="{00000000-0005-0000-0000-0000643A0000}"/>
    <cellStyle name="40% - Accent4 61" xfId="1361" xr:uid="{00000000-0005-0000-0000-0000653A0000}"/>
    <cellStyle name="40% - Accent4 61 2" xfId="4317" xr:uid="{00000000-0005-0000-0000-0000663A0000}"/>
    <cellStyle name="40% - Accent4 61 2 2" xfId="12296" xr:uid="{00000000-0005-0000-0000-0000673A0000}"/>
    <cellStyle name="40% - Accent4 61 2 2 2" xfId="23584" xr:uid="{00000000-0005-0000-0000-0000683A0000}"/>
    <cellStyle name="40% - Accent4 61 2 3" xfId="10302" xr:uid="{00000000-0005-0000-0000-0000693A0000}"/>
    <cellStyle name="40% - Accent4 61 2 3 2" xfId="21590" xr:uid="{00000000-0005-0000-0000-00006A3A0000}"/>
    <cellStyle name="40% - Accent4 61 2 4" xfId="8308" xr:uid="{00000000-0005-0000-0000-00006B3A0000}"/>
    <cellStyle name="40% - Accent4 61 2 4 2" xfId="19596" xr:uid="{00000000-0005-0000-0000-00006C3A0000}"/>
    <cellStyle name="40% - Accent4 61 2 5" xfId="6314" xr:uid="{00000000-0005-0000-0000-00006D3A0000}"/>
    <cellStyle name="40% - Accent4 61 2 5 2" xfId="17602" xr:uid="{00000000-0005-0000-0000-00006E3A0000}"/>
    <cellStyle name="40% - Accent4 61 2 6" xfId="15608" xr:uid="{00000000-0005-0000-0000-00006F3A0000}"/>
    <cellStyle name="40% - Accent4 61 3" xfId="11299" xr:uid="{00000000-0005-0000-0000-0000703A0000}"/>
    <cellStyle name="40% - Accent4 61 3 2" xfId="22587" xr:uid="{00000000-0005-0000-0000-0000713A0000}"/>
    <cellStyle name="40% - Accent4 61 4" xfId="9305" xr:uid="{00000000-0005-0000-0000-0000723A0000}"/>
    <cellStyle name="40% - Accent4 61 4 2" xfId="20593" xr:uid="{00000000-0005-0000-0000-0000733A0000}"/>
    <cellStyle name="40% - Accent4 61 5" xfId="7311" xr:uid="{00000000-0005-0000-0000-0000743A0000}"/>
    <cellStyle name="40% - Accent4 61 5 2" xfId="18599" xr:uid="{00000000-0005-0000-0000-0000753A0000}"/>
    <cellStyle name="40% - Accent4 61 6" xfId="5317" xr:uid="{00000000-0005-0000-0000-0000763A0000}"/>
    <cellStyle name="40% - Accent4 61 6 2" xfId="16605" xr:uid="{00000000-0005-0000-0000-0000773A0000}"/>
    <cellStyle name="40% - Accent4 61 7" xfId="14611" xr:uid="{00000000-0005-0000-0000-0000783A0000}"/>
    <cellStyle name="40% - Accent4 61 8" xfId="13297" xr:uid="{00000000-0005-0000-0000-0000793A0000}"/>
    <cellStyle name="40% - Accent4 62" xfId="1362" xr:uid="{00000000-0005-0000-0000-00007A3A0000}"/>
    <cellStyle name="40% - Accent4 62 2" xfId="4318" xr:uid="{00000000-0005-0000-0000-00007B3A0000}"/>
    <cellStyle name="40% - Accent4 62 2 2" xfId="12297" xr:uid="{00000000-0005-0000-0000-00007C3A0000}"/>
    <cellStyle name="40% - Accent4 62 2 2 2" xfId="23585" xr:uid="{00000000-0005-0000-0000-00007D3A0000}"/>
    <cellStyle name="40% - Accent4 62 2 3" xfId="10303" xr:uid="{00000000-0005-0000-0000-00007E3A0000}"/>
    <cellStyle name="40% - Accent4 62 2 3 2" xfId="21591" xr:uid="{00000000-0005-0000-0000-00007F3A0000}"/>
    <cellStyle name="40% - Accent4 62 2 4" xfId="8309" xr:uid="{00000000-0005-0000-0000-0000803A0000}"/>
    <cellStyle name="40% - Accent4 62 2 4 2" xfId="19597" xr:uid="{00000000-0005-0000-0000-0000813A0000}"/>
    <cellStyle name="40% - Accent4 62 2 5" xfId="6315" xr:uid="{00000000-0005-0000-0000-0000823A0000}"/>
    <cellStyle name="40% - Accent4 62 2 5 2" xfId="17603" xr:uid="{00000000-0005-0000-0000-0000833A0000}"/>
    <cellStyle name="40% - Accent4 62 2 6" xfId="15609" xr:uid="{00000000-0005-0000-0000-0000843A0000}"/>
    <cellStyle name="40% - Accent4 62 3" xfId="11300" xr:uid="{00000000-0005-0000-0000-0000853A0000}"/>
    <cellStyle name="40% - Accent4 62 3 2" xfId="22588" xr:uid="{00000000-0005-0000-0000-0000863A0000}"/>
    <cellStyle name="40% - Accent4 62 4" xfId="9306" xr:uid="{00000000-0005-0000-0000-0000873A0000}"/>
    <cellStyle name="40% - Accent4 62 4 2" xfId="20594" xr:uid="{00000000-0005-0000-0000-0000883A0000}"/>
    <cellStyle name="40% - Accent4 62 5" xfId="7312" xr:uid="{00000000-0005-0000-0000-0000893A0000}"/>
    <cellStyle name="40% - Accent4 62 5 2" xfId="18600" xr:uid="{00000000-0005-0000-0000-00008A3A0000}"/>
    <cellStyle name="40% - Accent4 62 6" xfId="5318" xr:uid="{00000000-0005-0000-0000-00008B3A0000}"/>
    <cellStyle name="40% - Accent4 62 6 2" xfId="16606" xr:uid="{00000000-0005-0000-0000-00008C3A0000}"/>
    <cellStyle name="40% - Accent4 62 7" xfId="14612" xr:uid="{00000000-0005-0000-0000-00008D3A0000}"/>
    <cellStyle name="40% - Accent4 62 8" xfId="13298" xr:uid="{00000000-0005-0000-0000-00008E3A0000}"/>
    <cellStyle name="40% - Accent4 63" xfId="1363" xr:uid="{00000000-0005-0000-0000-00008F3A0000}"/>
    <cellStyle name="40% - Accent4 63 2" xfId="4319" xr:uid="{00000000-0005-0000-0000-0000903A0000}"/>
    <cellStyle name="40% - Accent4 63 2 2" xfId="12298" xr:uid="{00000000-0005-0000-0000-0000913A0000}"/>
    <cellStyle name="40% - Accent4 63 2 2 2" xfId="23586" xr:uid="{00000000-0005-0000-0000-0000923A0000}"/>
    <cellStyle name="40% - Accent4 63 2 3" xfId="10304" xr:uid="{00000000-0005-0000-0000-0000933A0000}"/>
    <cellStyle name="40% - Accent4 63 2 3 2" xfId="21592" xr:uid="{00000000-0005-0000-0000-0000943A0000}"/>
    <cellStyle name="40% - Accent4 63 2 4" xfId="8310" xr:uid="{00000000-0005-0000-0000-0000953A0000}"/>
    <cellStyle name="40% - Accent4 63 2 4 2" xfId="19598" xr:uid="{00000000-0005-0000-0000-0000963A0000}"/>
    <cellStyle name="40% - Accent4 63 2 5" xfId="6316" xr:uid="{00000000-0005-0000-0000-0000973A0000}"/>
    <cellStyle name="40% - Accent4 63 2 5 2" xfId="17604" xr:uid="{00000000-0005-0000-0000-0000983A0000}"/>
    <cellStyle name="40% - Accent4 63 2 6" xfId="15610" xr:uid="{00000000-0005-0000-0000-0000993A0000}"/>
    <cellStyle name="40% - Accent4 63 3" xfId="11301" xr:uid="{00000000-0005-0000-0000-00009A3A0000}"/>
    <cellStyle name="40% - Accent4 63 3 2" xfId="22589" xr:uid="{00000000-0005-0000-0000-00009B3A0000}"/>
    <cellStyle name="40% - Accent4 63 4" xfId="9307" xr:uid="{00000000-0005-0000-0000-00009C3A0000}"/>
    <cellStyle name="40% - Accent4 63 4 2" xfId="20595" xr:uid="{00000000-0005-0000-0000-00009D3A0000}"/>
    <cellStyle name="40% - Accent4 63 5" xfId="7313" xr:uid="{00000000-0005-0000-0000-00009E3A0000}"/>
    <cellStyle name="40% - Accent4 63 5 2" xfId="18601" xr:uid="{00000000-0005-0000-0000-00009F3A0000}"/>
    <cellStyle name="40% - Accent4 63 6" xfId="5319" xr:uid="{00000000-0005-0000-0000-0000A03A0000}"/>
    <cellStyle name="40% - Accent4 63 6 2" xfId="16607" xr:uid="{00000000-0005-0000-0000-0000A13A0000}"/>
    <cellStyle name="40% - Accent4 63 7" xfId="14613" xr:uid="{00000000-0005-0000-0000-0000A23A0000}"/>
    <cellStyle name="40% - Accent4 63 8" xfId="13299" xr:uid="{00000000-0005-0000-0000-0000A33A0000}"/>
    <cellStyle name="40% - Accent4 64" xfId="1364" xr:uid="{00000000-0005-0000-0000-0000A43A0000}"/>
    <cellStyle name="40% - Accent4 64 2" xfId="4320" xr:uid="{00000000-0005-0000-0000-0000A53A0000}"/>
    <cellStyle name="40% - Accent4 64 2 2" xfId="12299" xr:uid="{00000000-0005-0000-0000-0000A63A0000}"/>
    <cellStyle name="40% - Accent4 64 2 2 2" xfId="23587" xr:uid="{00000000-0005-0000-0000-0000A73A0000}"/>
    <cellStyle name="40% - Accent4 64 2 3" xfId="10305" xr:uid="{00000000-0005-0000-0000-0000A83A0000}"/>
    <cellStyle name="40% - Accent4 64 2 3 2" xfId="21593" xr:uid="{00000000-0005-0000-0000-0000A93A0000}"/>
    <cellStyle name="40% - Accent4 64 2 4" xfId="8311" xr:uid="{00000000-0005-0000-0000-0000AA3A0000}"/>
    <cellStyle name="40% - Accent4 64 2 4 2" xfId="19599" xr:uid="{00000000-0005-0000-0000-0000AB3A0000}"/>
    <cellStyle name="40% - Accent4 64 2 5" xfId="6317" xr:uid="{00000000-0005-0000-0000-0000AC3A0000}"/>
    <cellStyle name="40% - Accent4 64 2 5 2" xfId="17605" xr:uid="{00000000-0005-0000-0000-0000AD3A0000}"/>
    <cellStyle name="40% - Accent4 64 2 6" xfId="15611" xr:uid="{00000000-0005-0000-0000-0000AE3A0000}"/>
    <cellStyle name="40% - Accent4 64 3" xfId="11302" xr:uid="{00000000-0005-0000-0000-0000AF3A0000}"/>
    <cellStyle name="40% - Accent4 64 3 2" xfId="22590" xr:uid="{00000000-0005-0000-0000-0000B03A0000}"/>
    <cellStyle name="40% - Accent4 64 4" xfId="9308" xr:uid="{00000000-0005-0000-0000-0000B13A0000}"/>
    <cellStyle name="40% - Accent4 64 4 2" xfId="20596" xr:uid="{00000000-0005-0000-0000-0000B23A0000}"/>
    <cellStyle name="40% - Accent4 64 5" xfId="7314" xr:uid="{00000000-0005-0000-0000-0000B33A0000}"/>
    <cellStyle name="40% - Accent4 64 5 2" xfId="18602" xr:uid="{00000000-0005-0000-0000-0000B43A0000}"/>
    <cellStyle name="40% - Accent4 64 6" xfId="5320" xr:uid="{00000000-0005-0000-0000-0000B53A0000}"/>
    <cellStyle name="40% - Accent4 64 6 2" xfId="16608" xr:uid="{00000000-0005-0000-0000-0000B63A0000}"/>
    <cellStyle name="40% - Accent4 64 7" xfId="14614" xr:uid="{00000000-0005-0000-0000-0000B73A0000}"/>
    <cellStyle name="40% - Accent4 64 8" xfId="13300" xr:uid="{00000000-0005-0000-0000-0000B83A0000}"/>
    <cellStyle name="40% - Accent4 65" xfId="1365" xr:uid="{00000000-0005-0000-0000-0000B93A0000}"/>
    <cellStyle name="40% - Accent4 65 2" xfId="4321" xr:uid="{00000000-0005-0000-0000-0000BA3A0000}"/>
    <cellStyle name="40% - Accent4 65 2 2" xfId="12300" xr:uid="{00000000-0005-0000-0000-0000BB3A0000}"/>
    <cellStyle name="40% - Accent4 65 2 2 2" xfId="23588" xr:uid="{00000000-0005-0000-0000-0000BC3A0000}"/>
    <cellStyle name="40% - Accent4 65 2 3" xfId="10306" xr:uid="{00000000-0005-0000-0000-0000BD3A0000}"/>
    <cellStyle name="40% - Accent4 65 2 3 2" xfId="21594" xr:uid="{00000000-0005-0000-0000-0000BE3A0000}"/>
    <cellStyle name="40% - Accent4 65 2 4" xfId="8312" xr:uid="{00000000-0005-0000-0000-0000BF3A0000}"/>
    <cellStyle name="40% - Accent4 65 2 4 2" xfId="19600" xr:uid="{00000000-0005-0000-0000-0000C03A0000}"/>
    <cellStyle name="40% - Accent4 65 2 5" xfId="6318" xr:uid="{00000000-0005-0000-0000-0000C13A0000}"/>
    <cellStyle name="40% - Accent4 65 2 5 2" xfId="17606" xr:uid="{00000000-0005-0000-0000-0000C23A0000}"/>
    <cellStyle name="40% - Accent4 65 2 6" xfId="15612" xr:uid="{00000000-0005-0000-0000-0000C33A0000}"/>
    <cellStyle name="40% - Accent4 65 3" xfId="11303" xr:uid="{00000000-0005-0000-0000-0000C43A0000}"/>
    <cellStyle name="40% - Accent4 65 3 2" xfId="22591" xr:uid="{00000000-0005-0000-0000-0000C53A0000}"/>
    <cellStyle name="40% - Accent4 65 4" xfId="9309" xr:uid="{00000000-0005-0000-0000-0000C63A0000}"/>
    <cellStyle name="40% - Accent4 65 4 2" xfId="20597" xr:uid="{00000000-0005-0000-0000-0000C73A0000}"/>
    <cellStyle name="40% - Accent4 65 5" xfId="7315" xr:uid="{00000000-0005-0000-0000-0000C83A0000}"/>
    <cellStyle name="40% - Accent4 65 5 2" xfId="18603" xr:uid="{00000000-0005-0000-0000-0000C93A0000}"/>
    <cellStyle name="40% - Accent4 65 6" xfId="5321" xr:uid="{00000000-0005-0000-0000-0000CA3A0000}"/>
    <cellStyle name="40% - Accent4 65 6 2" xfId="16609" xr:uid="{00000000-0005-0000-0000-0000CB3A0000}"/>
    <cellStyle name="40% - Accent4 65 7" xfId="14615" xr:uid="{00000000-0005-0000-0000-0000CC3A0000}"/>
    <cellStyle name="40% - Accent4 65 8" xfId="13301" xr:uid="{00000000-0005-0000-0000-0000CD3A0000}"/>
    <cellStyle name="40% - Accent4 66" xfId="1366" xr:uid="{00000000-0005-0000-0000-0000CE3A0000}"/>
    <cellStyle name="40% - Accent4 66 2" xfId="4322" xr:uid="{00000000-0005-0000-0000-0000CF3A0000}"/>
    <cellStyle name="40% - Accent4 66 2 2" xfId="12301" xr:uid="{00000000-0005-0000-0000-0000D03A0000}"/>
    <cellStyle name="40% - Accent4 66 2 2 2" xfId="23589" xr:uid="{00000000-0005-0000-0000-0000D13A0000}"/>
    <cellStyle name="40% - Accent4 66 2 3" xfId="10307" xr:uid="{00000000-0005-0000-0000-0000D23A0000}"/>
    <cellStyle name="40% - Accent4 66 2 3 2" xfId="21595" xr:uid="{00000000-0005-0000-0000-0000D33A0000}"/>
    <cellStyle name="40% - Accent4 66 2 4" xfId="8313" xr:uid="{00000000-0005-0000-0000-0000D43A0000}"/>
    <cellStyle name="40% - Accent4 66 2 4 2" xfId="19601" xr:uid="{00000000-0005-0000-0000-0000D53A0000}"/>
    <cellStyle name="40% - Accent4 66 2 5" xfId="6319" xr:uid="{00000000-0005-0000-0000-0000D63A0000}"/>
    <cellStyle name="40% - Accent4 66 2 5 2" xfId="17607" xr:uid="{00000000-0005-0000-0000-0000D73A0000}"/>
    <cellStyle name="40% - Accent4 66 2 6" xfId="15613" xr:uid="{00000000-0005-0000-0000-0000D83A0000}"/>
    <cellStyle name="40% - Accent4 66 3" xfId="11304" xr:uid="{00000000-0005-0000-0000-0000D93A0000}"/>
    <cellStyle name="40% - Accent4 66 3 2" xfId="22592" xr:uid="{00000000-0005-0000-0000-0000DA3A0000}"/>
    <cellStyle name="40% - Accent4 66 4" xfId="9310" xr:uid="{00000000-0005-0000-0000-0000DB3A0000}"/>
    <cellStyle name="40% - Accent4 66 4 2" xfId="20598" xr:uid="{00000000-0005-0000-0000-0000DC3A0000}"/>
    <cellStyle name="40% - Accent4 66 5" xfId="7316" xr:uid="{00000000-0005-0000-0000-0000DD3A0000}"/>
    <cellStyle name="40% - Accent4 66 5 2" xfId="18604" xr:uid="{00000000-0005-0000-0000-0000DE3A0000}"/>
    <cellStyle name="40% - Accent4 66 6" xfId="5322" xr:uid="{00000000-0005-0000-0000-0000DF3A0000}"/>
    <cellStyle name="40% - Accent4 66 6 2" xfId="16610" xr:uid="{00000000-0005-0000-0000-0000E03A0000}"/>
    <cellStyle name="40% - Accent4 66 7" xfId="14616" xr:uid="{00000000-0005-0000-0000-0000E13A0000}"/>
    <cellStyle name="40% - Accent4 66 8" xfId="13302" xr:uid="{00000000-0005-0000-0000-0000E23A0000}"/>
    <cellStyle name="40% - Accent4 67" xfId="1367" xr:uid="{00000000-0005-0000-0000-0000E33A0000}"/>
    <cellStyle name="40% - Accent4 67 2" xfId="4323" xr:uid="{00000000-0005-0000-0000-0000E43A0000}"/>
    <cellStyle name="40% - Accent4 67 2 2" xfId="12302" xr:uid="{00000000-0005-0000-0000-0000E53A0000}"/>
    <cellStyle name="40% - Accent4 67 2 2 2" xfId="23590" xr:uid="{00000000-0005-0000-0000-0000E63A0000}"/>
    <cellStyle name="40% - Accent4 67 2 3" xfId="10308" xr:uid="{00000000-0005-0000-0000-0000E73A0000}"/>
    <cellStyle name="40% - Accent4 67 2 3 2" xfId="21596" xr:uid="{00000000-0005-0000-0000-0000E83A0000}"/>
    <cellStyle name="40% - Accent4 67 2 4" xfId="8314" xr:uid="{00000000-0005-0000-0000-0000E93A0000}"/>
    <cellStyle name="40% - Accent4 67 2 4 2" xfId="19602" xr:uid="{00000000-0005-0000-0000-0000EA3A0000}"/>
    <cellStyle name="40% - Accent4 67 2 5" xfId="6320" xr:uid="{00000000-0005-0000-0000-0000EB3A0000}"/>
    <cellStyle name="40% - Accent4 67 2 5 2" xfId="17608" xr:uid="{00000000-0005-0000-0000-0000EC3A0000}"/>
    <cellStyle name="40% - Accent4 67 2 6" xfId="15614" xr:uid="{00000000-0005-0000-0000-0000ED3A0000}"/>
    <cellStyle name="40% - Accent4 67 3" xfId="11305" xr:uid="{00000000-0005-0000-0000-0000EE3A0000}"/>
    <cellStyle name="40% - Accent4 67 3 2" xfId="22593" xr:uid="{00000000-0005-0000-0000-0000EF3A0000}"/>
    <cellStyle name="40% - Accent4 67 4" xfId="9311" xr:uid="{00000000-0005-0000-0000-0000F03A0000}"/>
    <cellStyle name="40% - Accent4 67 4 2" xfId="20599" xr:uid="{00000000-0005-0000-0000-0000F13A0000}"/>
    <cellStyle name="40% - Accent4 67 5" xfId="7317" xr:uid="{00000000-0005-0000-0000-0000F23A0000}"/>
    <cellStyle name="40% - Accent4 67 5 2" xfId="18605" xr:uid="{00000000-0005-0000-0000-0000F33A0000}"/>
    <cellStyle name="40% - Accent4 67 6" xfId="5323" xr:uid="{00000000-0005-0000-0000-0000F43A0000}"/>
    <cellStyle name="40% - Accent4 67 6 2" xfId="16611" xr:uid="{00000000-0005-0000-0000-0000F53A0000}"/>
    <cellStyle name="40% - Accent4 67 7" xfId="14617" xr:uid="{00000000-0005-0000-0000-0000F63A0000}"/>
    <cellStyle name="40% - Accent4 67 8" xfId="13303" xr:uid="{00000000-0005-0000-0000-0000F73A0000}"/>
    <cellStyle name="40% - Accent4 68" xfId="1368" xr:uid="{00000000-0005-0000-0000-0000F83A0000}"/>
    <cellStyle name="40% - Accent4 68 2" xfId="4324" xr:uid="{00000000-0005-0000-0000-0000F93A0000}"/>
    <cellStyle name="40% - Accent4 68 2 2" xfId="12303" xr:uid="{00000000-0005-0000-0000-0000FA3A0000}"/>
    <cellStyle name="40% - Accent4 68 2 2 2" xfId="23591" xr:uid="{00000000-0005-0000-0000-0000FB3A0000}"/>
    <cellStyle name="40% - Accent4 68 2 3" xfId="10309" xr:uid="{00000000-0005-0000-0000-0000FC3A0000}"/>
    <cellStyle name="40% - Accent4 68 2 3 2" xfId="21597" xr:uid="{00000000-0005-0000-0000-0000FD3A0000}"/>
    <cellStyle name="40% - Accent4 68 2 4" xfId="8315" xr:uid="{00000000-0005-0000-0000-0000FE3A0000}"/>
    <cellStyle name="40% - Accent4 68 2 4 2" xfId="19603" xr:uid="{00000000-0005-0000-0000-0000FF3A0000}"/>
    <cellStyle name="40% - Accent4 68 2 5" xfId="6321" xr:uid="{00000000-0005-0000-0000-0000003B0000}"/>
    <cellStyle name="40% - Accent4 68 2 5 2" xfId="17609" xr:uid="{00000000-0005-0000-0000-0000013B0000}"/>
    <cellStyle name="40% - Accent4 68 2 6" xfId="15615" xr:uid="{00000000-0005-0000-0000-0000023B0000}"/>
    <cellStyle name="40% - Accent4 68 3" xfId="11306" xr:uid="{00000000-0005-0000-0000-0000033B0000}"/>
    <cellStyle name="40% - Accent4 68 3 2" xfId="22594" xr:uid="{00000000-0005-0000-0000-0000043B0000}"/>
    <cellStyle name="40% - Accent4 68 4" xfId="9312" xr:uid="{00000000-0005-0000-0000-0000053B0000}"/>
    <cellStyle name="40% - Accent4 68 4 2" xfId="20600" xr:uid="{00000000-0005-0000-0000-0000063B0000}"/>
    <cellStyle name="40% - Accent4 68 5" xfId="7318" xr:uid="{00000000-0005-0000-0000-0000073B0000}"/>
    <cellStyle name="40% - Accent4 68 5 2" xfId="18606" xr:uid="{00000000-0005-0000-0000-0000083B0000}"/>
    <cellStyle name="40% - Accent4 68 6" xfId="5324" xr:uid="{00000000-0005-0000-0000-0000093B0000}"/>
    <cellStyle name="40% - Accent4 68 6 2" xfId="16612" xr:uid="{00000000-0005-0000-0000-00000A3B0000}"/>
    <cellStyle name="40% - Accent4 68 7" xfId="14618" xr:uid="{00000000-0005-0000-0000-00000B3B0000}"/>
    <cellStyle name="40% - Accent4 68 8" xfId="13304" xr:uid="{00000000-0005-0000-0000-00000C3B0000}"/>
    <cellStyle name="40% - Accent4 69" xfId="1369" xr:uid="{00000000-0005-0000-0000-00000D3B0000}"/>
    <cellStyle name="40% - Accent4 69 2" xfId="4325" xr:uid="{00000000-0005-0000-0000-00000E3B0000}"/>
    <cellStyle name="40% - Accent4 69 2 2" xfId="12304" xr:uid="{00000000-0005-0000-0000-00000F3B0000}"/>
    <cellStyle name="40% - Accent4 69 2 2 2" xfId="23592" xr:uid="{00000000-0005-0000-0000-0000103B0000}"/>
    <cellStyle name="40% - Accent4 69 2 3" xfId="10310" xr:uid="{00000000-0005-0000-0000-0000113B0000}"/>
    <cellStyle name="40% - Accent4 69 2 3 2" xfId="21598" xr:uid="{00000000-0005-0000-0000-0000123B0000}"/>
    <cellStyle name="40% - Accent4 69 2 4" xfId="8316" xr:uid="{00000000-0005-0000-0000-0000133B0000}"/>
    <cellStyle name="40% - Accent4 69 2 4 2" xfId="19604" xr:uid="{00000000-0005-0000-0000-0000143B0000}"/>
    <cellStyle name="40% - Accent4 69 2 5" xfId="6322" xr:uid="{00000000-0005-0000-0000-0000153B0000}"/>
    <cellStyle name="40% - Accent4 69 2 5 2" xfId="17610" xr:uid="{00000000-0005-0000-0000-0000163B0000}"/>
    <cellStyle name="40% - Accent4 69 2 6" xfId="15616" xr:uid="{00000000-0005-0000-0000-0000173B0000}"/>
    <cellStyle name="40% - Accent4 69 3" xfId="11307" xr:uid="{00000000-0005-0000-0000-0000183B0000}"/>
    <cellStyle name="40% - Accent4 69 3 2" xfId="22595" xr:uid="{00000000-0005-0000-0000-0000193B0000}"/>
    <cellStyle name="40% - Accent4 69 4" xfId="9313" xr:uid="{00000000-0005-0000-0000-00001A3B0000}"/>
    <cellStyle name="40% - Accent4 69 4 2" xfId="20601" xr:uid="{00000000-0005-0000-0000-00001B3B0000}"/>
    <cellStyle name="40% - Accent4 69 5" xfId="7319" xr:uid="{00000000-0005-0000-0000-00001C3B0000}"/>
    <cellStyle name="40% - Accent4 69 5 2" xfId="18607" xr:uid="{00000000-0005-0000-0000-00001D3B0000}"/>
    <cellStyle name="40% - Accent4 69 6" xfId="5325" xr:uid="{00000000-0005-0000-0000-00001E3B0000}"/>
    <cellStyle name="40% - Accent4 69 6 2" xfId="16613" xr:uid="{00000000-0005-0000-0000-00001F3B0000}"/>
    <cellStyle name="40% - Accent4 69 7" xfId="14619" xr:uid="{00000000-0005-0000-0000-0000203B0000}"/>
    <cellStyle name="40% - Accent4 69 8" xfId="13305" xr:uid="{00000000-0005-0000-0000-0000213B0000}"/>
    <cellStyle name="40% - Accent4 7" xfId="1370" xr:uid="{00000000-0005-0000-0000-0000223B0000}"/>
    <cellStyle name="40% - Accent4 7 10" xfId="24618" xr:uid="{00000000-0005-0000-0000-0000233B0000}"/>
    <cellStyle name="40% - Accent4 7 11" xfId="25008" xr:uid="{00000000-0005-0000-0000-0000243B0000}"/>
    <cellStyle name="40% - Accent4 7 2" xfId="4326" xr:uid="{00000000-0005-0000-0000-0000253B0000}"/>
    <cellStyle name="40% - Accent4 7 2 2" xfId="12305" xr:uid="{00000000-0005-0000-0000-0000263B0000}"/>
    <cellStyle name="40% - Accent4 7 2 2 2" xfId="23593" xr:uid="{00000000-0005-0000-0000-0000273B0000}"/>
    <cellStyle name="40% - Accent4 7 2 3" xfId="10311" xr:uid="{00000000-0005-0000-0000-0000283B0000}"/>
    <cellStyle name="40% - Accent4 7 2 3 2" xfId="21599" xr:uid="{00000000-0005-0000-0000-0000293B0000}"/>
    <cellStyle name="40% - Accent4 7 2 4" xfId="8317" xr:uid="{00000000-0005-0000-0000-00002A3B0000}"/>
    <cellStyle name="40% - Accent4 7 2 4 2" xfId="19605" xr:uid="{00000000-0005-0000-0000-00002B3B0000}"/>
    <cellStyle name="40% - Accent4 7 2 5" xfId="6323" xr:uid="{00000000-0005-0000-0000-00002C3B0000}"/>
    <cellStyle name="40% - Accent4 7 2 5 2" xfId="17611" xr:uid="{00000000-0005-0000-0000-00002D3B0000}"/>
    <cellStyle name="40% - Accent4 7 2 6" xfId="15617" xr:uid="{00000000-0005-0000-0000-00002E3B0000}"/>
    <cellStyle name="40% - Accent4 7 2 7" xfId="24379" xr:uid="{00000000-0005-0000-0000-00002F3B0000}"/>
    <cellStyle name="40% - Accent4 7 2 8" xfId="24843" xr:uid="{00000000-0005-0000-0000-0000303B0000}"/>
    <cellStyle name="40% - Accent4 7 2 9" xfId="25210" xr:uid="{00000000-0005-0000-0000-0000313B0000}"/>
    <cellStyle name="40% - Accent4 7 3" xfId="11308" xr:uid="{00000000-0005-0000-0000-0000323B0000}"/>
    <cellStyle name="40% - Accent4 7 3 2" xfId="22596" xr:uid="{00000000-0005-0000-0000-0000333B0000}"/>
    <cellStyle name="40% - Accent4 7 4" xfId="9314" xr:uid="{00000000-0005-0000-0000-0000343B0000}"/>
    <cellStyle name="40% - Accent4 7 4 2" xfId="20602" xr:uid="{00000000-0005-0000-0000-0000353B0000}"/>
    <cellStyle name="40% - Accent4 7 5" xfId="7320" xr:uid="{00000000-0005-0000-0000-0000363B0000}"/>
    <cellStyle name="40% - Accent4 7 5 2" xfId="18608" xr:uid="{00000000-0005-0000-0000-0000373B0000}"/>
    <cellStyle name="40% - Accent4 7 6" xfId="5326" xr:uid="{00000000-0005-0000-0000-0000383B0000}"/>
    <cellStyle name="40% - Accent4 7 6 2" xfId="16614" xr:uid="{00000000-0005-0000-0000-0000393B0000}"/>
    <cellStyle name="40% - Accent4 7 7" xfId="14620" xr:uid="{00000000-0005-0000-0000-00003A3B0000}"/>
    <cellStyle name="40% - Accent4 7 8" xfId="13306" xr:uid="{00000000-0005-0000-0000-00003B3B0000}"/>
    <cellStyle name="40% - Accent4 7 9" xfId="23991" xr:uid="{00000000-0005-0000-0000-00003C3B0000}"/>
    <cellStyle name="40% - Accent4 70" xfId="1371" xr:uid="{00000000-0005-0000-0000-00003D3B0000}"/>
    <cellStyle name="40% - Accent4 70 2" xfId="4327" xr:uid="{00000000-0005-0000-0000-00003E3B0000}"/>
    <cellStyle name="40% - Accent4 70 2 2" xfId="12306" xr:uid="{00000000-0005-0000-0000-00003F3B0000}"/>
    <cellStyle name="40% - Accent4 70 2 2 2" xfId="23594" xr:uid="{00000000-0005-0000-0000-0000403B0000}"/>
    <cellStyle name="40% - Accent4 70 2 3" xfId="10312" xr:uid="{00000000-0005-0000-0000-0000413B0000}"/>
    <cellStyle name="40% - Accent4 70 2 3 2" xfId="21600" xr:uid="{00000000-0005-0000-0000-0000423B0000}"/>
    <cellStyle name="40% - Accent4 70 2 4" xfId="8318" xr:uid="{00000000-0005-0000-0000-0000433B0000}"/>
    <cellStyle name="40% - Accent4 70 2 4 2" xfId="19606" xr:uid="{00000000-0005-0000-0000-0000443B0000}"/>
    <cellStyle name="40% - Accent4 70 2 5" xfId="6324" xr:uid="{00000000-0005-0000-0000-0000453B0000}"/>
    <cellStyle name="40% - Accent4 70 2 5 2" xfId="17612" xr:uid="{00000000-0005-0000-0000-0000463B0000}"/>
    <cellStyle name="40% - Accent4 70 2 6" xfId="15618" xr:uid="{00000000-0005-0000-0000-0000473B0000}"/>
    <cellStyle name="40% - Accent4 70 3" xfId="11309" xr:uid="{00000000-0005-0000-0000-0000483B0000}"/>
    <cellStyle name="40% - Accent4 70 3 2" xfId="22597" xr:uid="{00000000-0005-0000-0000-0000493B0000}"/>
    <cellStyle name="40% - Accent4 70 4" xfId="9315" xr:uid="{00000000-0005-0000-0000-00004A3B0000}"/>
    <cellStyle name="40% - Accent4 70 4 2" xfId="20603" xr:uid="{00000000-0005-0000-0000-00004B3B0000}"/>
    <cellStyle name="40% - Accent4 70 5" xfId="7321" xr:uid="{00000000-0005-0000-0000-00004C3B0000}"/>
    <cellStyle name="40% - Accent4 70 5 2" xfId="18609" xr:uid="{00000000-0005-0000-0000-00004D3B0000}"/>
    <cellStyle name="40% - Accent4 70 6" xfId="5327" xr:uid="{00000000-0005-0000-0000-00004E3B0000}"/>
    <cellStyle name="40% - Accent4 70 6 2" xfId="16615" xr:uid="{00000000-0005-0000-0000-00004F3B0000}"/>
    <cellStyle name="40% - Accent4 70 7" xfId="14621" xr:uid="{00000000-0005-0000-0000-0000503B0000}"/>
    <cellStyle name="40% - Accent4 70 8" xfId="13307" xr:uid="{00000000-0005-0000-0000-0000513B0000}"/>
    <cellStyle name="40% - Accent4 71" xfId="1372" xr:uid="{00000000-0005-0000-0000-0000523B0000}"/>
    <cellStyle name="40% - Accent4 71 2" xfId="4328" xr:uid="{00000000-0005-0000-0000-0000533B0000}"/>
    <cellStyle name="40% - Accent4 71 2 2" xfId="12307" xr:uid="{00000000-0005-0000-0000-0000543B0000}"/>
    <cellStyle name="40% - Accent4 71 2 2 2" xfId="23595" xr:uid="{00000000-0005-0000-0000-0000553B0000}"/>
    <cellStyle name="40% - Accent4 71 2 3" xfId="10313" xr:uid="{00000000-0005-0000-0000-0000563B0000}"/>
    <cellStyle name="40% - Accent4 71 2 3 2" xfId="21601" xr:uid="{00000000-0005-0000-0000-0000573B0000}"/>
    <cellStyle name="40% - Accent4 71 2 4" xfId="8319" xr:uid="{00000000-0005-0000-0000-0000583B0000}"/>
    <cellStyle name="40% - Accent4 71 2 4 2" xfId="19607" xr:uid="{00000000-0005-0000-0000-0000593B0000}"/>
    <cellStyle name="40% - Accent4 71 2 5" xfId="6325" xr:uid="{00000000-0005-0000-0000-00005A3B0000}"/>
    <cellStyle name="40% - Accent4 71 2 5 2" xfId="17613" xr:uid="{00000000-0005-0000-0000-00005B3B0000}"/>
    <cellStyle name="40% - Accent4 71 2 6" xfId="15619" xr:uid="{00000000-0005-0000-0000-00005C3B0000}"/>
    <cellStyle name="40% - Accent4 71 3" xfId="11310" xr:uid="{00000000-0005-0000-0000-00005D3B0000}"/>
    <cellStyle name="40% - Accent4 71 3 2" xfId="22598" xr:uid="{00000000-0005-0000-0000-00005E3B0000}"/>
    <cellStyle name="40% - Accent4 71 4" xfId="9316" xr:uid="{00000000-0005-0000-0000-00005F3B0000}"/>
    <cellStyle name="40% - Accent4 71 4 2" xfId="20604" xr:uid="{00000000-0005-0000-0000-0000603B0000}"/>
    <cellStyle name="40% - Accent4 71 5" xfId="7322" xr:uid="{00000000-0005-0000-0000-0000613B0000}"/>
    <cellStyle name="40% - Accent4 71 5 2" xfId="18610" xr:uid="{00000000-0005-0000-0000-0000623B0000}"/>
    <cellStyle name="40% - Accent4 71 6" xfId="5328" xr:uid="{00000000-0005-0000-0000-0000633B0000}"/>
    <cellStyle name="40% - Accent4 71 6 2" xfId="16616" xr:uid="{00000000-0005-0000-0000-0000643B0000}"/>
    <cellStyle name="40% - Accent4 71 7" xfId="14622" xr:uid="{00000000-0005-0000-0000-0000653B0000}"/>
    <cellStyle name="40% - Accent4 71 8" xfId="13308" xr:uid="{00000000-0005-0000-0000-0000663B0000}"/>
    <cellStyle name="40% - Accent4 72" xfId="1373" xr:uid="{00000000-0005-0000-0000-0000673B0000}"/>
    <cellStyle name="40% - Accent4 72 2" xfId="4329" xr:uid="{00000000-0005-0000-0000-0000683B0000}"/>
    <cellStyle name="40% - Accent4 72 2 2" xfId="12308" xr:uid="{00000000-0005-0000-0000-0000693B0000}"/>
    <cellStyle name="40% - Accent4 72 2 2 2" xfId="23596" xr:uid="{00000000-0005-0000-0000-00006A3B0000}"/>
    <cellStyle name="40% - Accent4 72 2 3" xfId="10314" xr:uid="{00000000-0005-0000-0000-00006B3B0000}"/>
    <cellStyle name="40% - Accent4 72 2 3 2" xfId="21602" xr:uid="{00000000-0005-0000-0000-00006C3B0000}"/>
    <cellStyle name="40% - Accent4 72 2 4" xfId="8320" xr:uid="{00000000-0005-0000-0000-00006D3B0000}"/>
    <cellStyle name="40% - Accent4 72 2 4 2" xfId="19608" xr:uid="{00000000-0005-0000-0000-00006E3B0000}"/>
    <cellStyle name="40% - Accent4 72 2 5" xfId="6326" xr:uid="{00000000-0005-0000-0000-00006F3B0000}"/>
    <cellStyle name="40% - Accent4 72 2 5 2" xfId="17614" xr:uid="{00000000-0005-0000-0000-0000703B0000}"/>
    <cellStyle name="40% - Accent4 72 2 6" xfId="15620" xr:uid="{00000000-0005-0000-0000-0000713B0000}"/>
    <cellStyle name="40% - Accent4 72 3" xfId="11311" xr:uid="{00000000-0005-0000-0000-0000723B0000}"/>
    <cellStyle name="40% - Accent4 72 3 2" xfId="22599" xr:uid="{00000000-0005-0000-0000-0000733B0000}"/>
    <cellStyle name="40% - Accent4 72 4" xfId="9317" xr:uid="{00000000-0005-0000-0000-0000743B0000}"/>
    <cellStyle name="40% - Accent4 72 4 2" xfId="20605" xr:uid="{00000000-0005-0000-0000-0000753B0000}"/>
    <cellStyle name="40% - Accent4 72 5" xfId="7323" xr:uid="{00000000-0005-0000-0000-0000763B0000}"/>
    <cellStyle name="40% - Accent4 72 5 2" xfId="18611" xr:uid="{00000000-0005-0000-0000-0000773B0000}"/>
    <cellStyle name="40% - Accent4 72 6" xfId="5329" xr:uid="{00000000-0005-0000-0000-0000783B0000}"/>
    <cellStyle name="40% - Accent4 72 6 2" xfId="16617" xr:uid="{00000000-0005-0000-0000-0000793B0000}"/>
    <cellStyle name="40% - Accent4 72 7" xfId="14623" xr:uid="{00000000-0005-0000-0000-00007A3B0000}"/>
    <cellStyle name="40% - Accent4 72 8" xfId="13309" xr:uid="{00000000-0005-0000-0000-00007B3B0000}"/>
    <cellStyle name="40% - Accent4 8" xfId="1374" xr:uid="{00000000-0005-0000-0000-00007C3B0000}"/>
    <cellStyle name="40% - Accent4 8 2" xfId="4330" xr:uid="{00000000-0005-0000-0000-00007D3B0000}"/>
    <cellStyle name="40% - Accent4 8 2 2" xfId="12309" xr:uid="{00000000-0005-0000-0000-00007E3B0000}"/>
    <cellStyle name="40% - Accent4 8 2 2 2" xfId="23597" xr:uid="{00000000-0005-0000-0000-00007F3B0000}"/>
    <cellStyle name="40% - Accent4 8 2 3" xfId="10315" xr:uid="{00000000-0005-0000-0000-0000803B0000}"/>
    <cellStyle name="40% - Accent4 8 2 3 2" xfId="21603" xr:uid="{00000000-0005-0000-0000-0000813B0000}"/>
    <cellStyle name="40% - Accent4 8 2 4" xfId="8321" xr:uid="{00000000-0005-0000-0000-0000823B0000}"/>
    <cellStyle name="40% - Accent4 8 2 4 2" xfId="19609" xr:uid="{00000000-0005-0000-0000-0000833B0000}"/>
    <cellStyle name="40% - Accent4 8 2 5" xfId="6327" xr:uid="{00000000-0005-0000-0000-0000843B0000}"/>
    <cellStyle name="40% - Accent4 8 2 5 2" xfId="17615" xr:uid="{00000000-0005-0000-0000-0000853B0000}"/>
    <cellStyle name="40% - Accent4 8 2 6" xfId="15621" xr:uid="{00000000-0005-0000-0000-0000863B0000}"/>
    <cellStyle name="40% - Accent4 8 3" xfId="11312" xr:uid="{00000000-0005-0000-0000-0000873B0000}"/>
    <cellStyle name="40% - Accent4 8 3 2" xfId="22600" xr:uid="{00000000-0005-0000-0000-0000883B0000}"/>
    <cellStyle name="40% - Accent4 8 4" xfId="9318" xr:uid="{00000000-0005-0000-0000-0000893B0000}"/>
    <cellStyle name="40% - Accent4 8 4 2" xfId="20606" xr:uid="{00000000-0005-0000-0000-00008A3B0000}"/>
    <cellStyle name="40% - Accent4 8 5" xfId="7324" xr:uid="{00000000-0005-0000-0000-00008B3B0000}"/>
    <cellStyle name="40% - Accent4 8 5 2" xfId="18612" xr:uid="{00000000-0005-0000-0000-00008C3B0000}"/>
    <cellStyle name="40% - Accent4 8 6" xfId="5330" xr:uid="{00000000-0005-0000-0000-00008D3B0000}"/>
    <cellStyle name="40% - Accent4 8 6 2" xfId="16618" xr:uid="{00000000-0005-0000-0000-00008E3B0000}"/>
    <cellStyle name="40% - Accent4 8 7" xfId="14624" xr:uid="{00000000-0005-0000-0000-00008F3B0000}"/>
    <cellStyle name="40% - Accent4 8 8" xfId="13310" xr:uid="{00000000-0005-0000-0000-0000903B0000}"/>
    <cellStyle name="40% - Accent4 9" xfId="1375" xr:uid="{00000000-0005-0000-0000-0000913B0000}"/>
    <cellStyle name="40% - Accent4 9 2" xfId="4331" xr:uid="{00000000-0005-0000-0000-0000923B0000}"/>
    <cellStyle name="40% - Accent4 9 2 2" xfId="12310" xr:uid="{00000000-0005-0000-0000-0000933B0000}"/>
    <cellStyle name="40% - Accent4 9 2 2 2" xfId="23598" xr:uid="{00000000-0005-0000-0000-0000943B0000}"/>
    <cellStyle name="40% - Accent4 9 2 3" xfId="10316" xr:uid="{00000000-0005-0000-0000-0000953B0000}"/>
    <cellStyle name="40% - Accent4 9 2 3 2" xfId="21604" xr:uid="{00000000-0005-0000-0000-0000963B0000}"/>
    <cellStyle name="40% - Accent4 9 2 4" xfId="8322" xr:uid="{00000000-0005-0000-0000-0000973B0000}"/>
    <cellStyle name="40% - Accent4 9 2 4 2" xfId="19610" xr:uid="{00000000-0005-0000-0000-0000983B0000}"/>
    <cellStyle name="40% - Accent4 9 2 5" xfId="6328" xr:uid="{00000000-0005-0000-0000-0000993B0000}"/>
    <cellStyle name="40% - Accent4 9 2 5 2" xfId="17616" xr:uid="{00000000-0005-0000-0000-00009A3B0000}"/>
    <cellStyle name="40% - Accent4 9 2 6" xfId="15622" xr:uid="{00000000-0005-0000-0000-00009B3B0000}"/>
    <cellStyle name="40% - Accent4 9 3" xfId="11313" xr:uid="{00000000-0005-0000-0000-00009C3B0000}"/>
    <cellStyle name="40% - Accent4 9 3 2" xfId="22601" xr:uid="{00000000-0005-0000-0000-00009D3B0000}"/>
    <cellStyle name="40% - Accent4 9 4" xfId="9319" xr:uid="{00000000-0005-0000-0000-00009E3B0000}"/>
    <cellStyle name="40% - Accent4 9 4 2" xfId="20607" xr:uid="{00000000-0005-0000-0000-00009F3B0000}"/>
    <cellStyle name="40% - Accent4 9 5" xfId="7325" xr:uid="{00000000-0005-0000-0000-0000A03B0000}"/>
    <cellStyle name="40% - Accent4 9 5 2" xfId="18613" xr:uid="{00000000-0005-0000-0000-0000A13B0000}"/>
    <cellStyle name="40% - Accent4 9 6" xfId="5331" xr:uid="{00000000-0005-0000-0000-0000A23B0000}"/>
    <cellStyle name="40% - Accent4 9 6 2" xfId="16619" xr:uid="{00000000-0005-0000-0000-0000A33B0000}"/>
    <cellStyle name="40% - Accent4 9 7" xfId="14625" xr:uid="{00000000-0005-0000-0000-0000A43B0000}"/>
    <cellStyle name="40% - Accent4 9 8" xfId="13311" xr:uid="{00000000-0005-0000-0000-0000A53B0000}"/>
    <cellStyle name="40% - Accent5 10" xfId="1376" xr:uid="{00000000-0005-0000-0000-0000A63B0000}"/>
    <cellStyle name="40% - Accent5 10 2" xfId="4332" xr:uid="{00000000-0005-0000-0000-0000A73B0000}"/>
    <cellStyle name="40% - Accent5 10 2 2" xfId="12311" xr:uid="{00000000-0005-0000-0000-0000A83B0000}"/>
    <cellStyle name="40% - Accent5 10 2 2 2" xfId="23599" xr:uid="{00000000-0005-0000-0000-0000A93B0000}"/>
    <cellStyle name="40% - Accent5 10 2 3" xfId="10317" xr:uid="{00000000-0005-0000-0000-0000AA3B0000}"/>
    <cellStyle name="40% - Accent5 10 2 3 2" xfId="21605" xr:uid="{00000000-0005-0000-0000-0000AB3B0000}"/>
    <cellStyle name="40% - Accent5 10 2 4" xfId="8323" xr:uid="{00000000-0005-0000-0000-0000AC3B0000}"/>
    <cellStyle name="40% - Accent5 10 2 4 2" xfId="19611" xr:uid="{00000000-0005-0000-0000-0000AD3B0000}"/>
    <cellStyle name="40% - Accent5 10 2 5" xfId="6329" xr:uid="{00000000-0005-0000-0000-0000AE3B0000}"/>
    <cellStyle name="40% - Accent5 10 2 5 2" xfId="17617" xr:uid="{00000000-0005-0000-0000-0000AF3B0000}"/>
    <cellStyle name="40% - Accent5 10 2 6" xfId="15623" xr:uid="{00000000-0005-0000-0000-0000B03B0000}"/>
    <cellStyle name="40% - Accent5 10 3" xfId="11314" xr:uid="{00000000-0005-0000-0000-0000B13B0000}"/>
    <cellStyle name="40% - Accent5 10 3 2" xfId="22602" xr:uid="{00000000-0005-0000-0000-0000B23B0000}"/>
    <cellStyle name="40% - Accent5 10 4" xfId="9320" xr:uid="{00000000-0005-0000-0000-0000B33B0000}"/>
    <cellStyle name="40% - Accent5 10 4 2" xfId="20608" xr:uid="{00000000-0005-0000-0000-0000B43B0000}"/>
    <cellStyle name="40% - Accent5 10 5" xfId="7326" xr:uid="{00000000-0005-0000-0000-0000B53B0000}"/>
    <cellStyle name="40% - Accent5 10 5 2" xfId="18614" xr:uid="{00000000-0005-0000-0000-0000B63B0000}"/>
    <cellStyle name="40% - Accent5 10 6" xfId="5332" xr:uid="{00000000-0005-0000-0000-0000B73B0000}"/>
    <cellStyle name="40% - Accent5 10 6 2" xfId="16620" xr:uid="{00000000-0005-0000-0000-0000B83B0000}"/>
    <cellStyle name="40% - Accent5 10 7" xfId="14626" xr:uid="{00000000-0005-0000-0000-0000B93B0000}"/>
    <cellStyle name="40% - Accent5 10 8" xfId="13312" xr:uid="{00000000-0005-0000-0000-0000BA3B0000}"/>
    <cellStyle name="40% - Accent5 11" xfId="1377" xr:uid="{00000000-0005-0000-0000-0000BB3B0000}"/>
    <cellStyle name="40% - Accent5 11 2" xfId="4333" xr:uid="{00000000-0005-0000-0000-0000BC3B0000}"/>
    <cellStyle name="40% - Accent5 11 2 2" xfId="12312" xr:uid="{00000000-0005-0000-0000-0000BD3B0000}"/>
    <cellStyle name="40% - Accent5 11 2 2 2" xfId="23600" xr:uid="{00000000-0005-0000-0000-0000BE3B0000}"/>
    <cellStyle name="40% - Accent5 11 2 3" xfId="10318" xr:uid="{00000000-0005-0000-0000-0000BF3B0000}"/>
    <cellStyle name="40% - Accent5 11 2 3 2" xfId="21606" xr:uid="{00000000-0005-0000-0000-0000C03B0000}"/>
    <cellStyle name="40% - Accent5 11 2 4" xfId="8324" xr:uid="{00000000-0005-0000-0000-0000C13B0000}"/>
    <cellStyle name="40% - Accent5 11 2 4 2" xfId="19612" xr:uid="{00000000-0005-0000-0000-0000C23B0000}"/>
    <cellStyle name="40% - Accent5 11 2 5" xfId="6330" xr:uid="{00000000-0005-0000-0000-0000C33B0000}"/>
    <cellStyle name="40% - Accent5 11 2 5 2" xfId="17618" xr:uid="{00000000-0005-0000-0000-0000C43B0000}"/>
    <cellStyle name="40% - Accent5 11 2 6" xfId="15624" xr:uid="{00000000-0005-0000-0000-0000C53B0000}"/>
    <cellStyle name="40% - Accent5 11 3" xfId="11315" xr:uid="{00000000-0005-0000-0000-0000C63B0000}"/>
    <cellStyle name="40% - Accent5 11 3 2" xfId="22603" xr:uid="{00000000-0005-0000-0000-0000C73B0000}"/>
    <cellStyle name="40% - Accent5 11 4" xfId="9321" xr:uid="{00000000-0005-0000-0000-0000C83B0000}"/>
    <cellStyle name="40% - Accent5 11 4 2" xfId="20609" xr:uid="{00000000-0005-0000-0000-0000C93B0000}"/>
    <cellStyle name="40% - Accent5 11 5" xfId="7327" xr:uid="{00000000-0005-0000-0000-0000CA3B0000}"/>
    <cellStyle name="40% - Accent5 11 5 2" xfId="18615" xr:uid="{00000000-0005-0000-0000-0000CB3B0000}"/>
    <cellStyle name="40% - Accent5 11 6" xfId="5333" xr:uid="{00000000-0005-0000-0000-0000CC3B0000}"/>
    <cellStyle name="40% - Accent5 11 6 2" xfId="16621" xr:uid="{00000000-0005-0000-0000-0000CD3B0000}"/>
    <cellStyle name="40% - Accent5 11 7" xfId="14627" xr:uid="{00000000-0005-0000-0000-0000CE3B0000}"/>
    <cellStyle name="40% - Accent5 11 8" xfId="13313" xr:uid="{00000000-0005-0000-0000-0000CF3B0000}"/>
    <cellStyle name="40% - Accent5 12" xfId="1378" xr:uid="{00000000-0005-0000-0000-0000D03B0000}"/>
    <cellStyle name="40% - Accent5 12 2" xfId="4334" xr:uid="{00000000-0005-0000-0000-0000D13B0000}"/>
    <cellStyle name="40% - Accent5 12 2 2" xfId="12313" xr:uid="{00000000-0005-0000-0000-0000D23B0000}"/>
    <cellStyle name="40% - Accent5 12 2 2 2" xfId="23601" xr:uid="{00000000-0005-0000-0000-0000D33B0000}"/>
    <cellStyle name="40% - Accent5 12 2 3" xfId="10319" xr:uid="{00000000-0005-0000-0000-0000D43B0000}"/>
    <cellStyle name="40% - Accent5 12 2 3 2" xfId="21607" xr:uid="{00000000-0005-0000-0000-0000D53B0000}"/>
    <cellStyle name="40% - Accent5 12 2 4" xfId="8325" xr:uid="{00000000-0005-0000-0000-0000D63B0000}"/>
    <cellStyle name="40% - Accent5 12 2 4 2" xfId="19613" xr:uid="{00000000-0005-0000-0000-0000D73B0000}"/>
    <cellStyle name="40% - Accent5 12 2 5" xfId="6331" xr:uid="{00000000-0005-0000-0000-0000D83B0000}"/>
    <cellStyle name="40% - Accent5 12 2 5 2" xfId="17619" xr:uid="{00000000-0005-0000-0000-0000D93B0000}"/>
    <cellStyle name="40% - Accent5 12 2 6" xfId="15625" xr:uid="{00000000-0005-0000-0000-0000DA3B0000}"/>
    <cellStyle name="40% - Accent5 12 3" xfId="11316" xr:uid="{00000000-0005-0000-0000-0000DB3B0000}"/>
    <cellStyle name="40% - Accent5 12 3 2" xfId="22604" xr:uid="{00000000-0005-0000-0000-0000DC3B0000}"/>
    <cellStyle name="40% - Accent5 12 4" xfId="9322" xr:uid="{00000000-0005-0000-0000-0000DD3B0000}"/>
    <cellStyle name="40% - Accent5 12 4 2" xfId="20610" xr:uid="{00000000-0005-0000-0000-0000DE3B0000}"/>
    <cellStyle name="40% - Accent5 12 5" xfId="7328" xr:uid="{00000000-0005-0000-0000-0000DF3B0000}"/>
    <cellStyle name="40% - Accent5 12 5 2" xfId="18616" xr:uid="{00000000-0005-0000-0000-0000E03B0000}"/>
    <cellStyle name="40% - Accent5 12 6" xfId="5334" xr:uid="{00000000-0005-0000-0000-0000E13B0000}"/>
    <cellStyle name="40% - Accent5 12 6 2" xfId="16622" xr:uid="{00000000-0005-0000-0000-0000E23B0000}"/>
    <cellStyle name="40% - Accent5 12 7" xfId="14628" xr:uid="{00000000-0005-0000-0000-0000E33B0000}"/>
    <cellStyle name="40% - Accent5 12 8" xfId="13314" xr:uid="{00000000-0005-0000-0000-0000E43B0000}"/>
    <cellStyle name="40% - Accent5 13" xfId="1379" xr:uid="{00000000-0005-0000-0000-0000E53B0000}"/>
    <cellStyle name="40% - Accent5 13 2" xfId="4335" xr:uid="{00000000-0005-0000-0000-0000E63B0000}"/>
    <cellStyle name="40% - Accent5 13 2 2" xfId="12314" xr:uid="{00000000-0005-0000-0000-0000E73B0000}"/>
    <cellStyle name="40% - Accent5 13 2 2 2" xfId="23602" xr:uid="{00000000-0005-0000-0000-0000E83B0000}"/>
    <cellStyle name="40% - Accent5 13 2 3" xfId="10320" xr:uid="{00000000-0005-0000-0000-0000E93B0000}"/>
    <cellStyle name="40% - Accent5 13 2 3 2" xfId="21608" xr:uid="{00000000-0005-0000-0000-0000EA3B0000}"/>
    <cellStyle name="40% - Accent5 13 2 4" xfId="8326" xr:uid="{00000000-0005-0000-0000-0000EB3B0000}"/>
    <cellStyle name="40% - Accent5 13 2 4 2" xfId="19614" xr:uid="{00000000-0005-0000-0000-0000EC3B0000}"/>
    <cellStyle name="40% - Accent5 13 2 5" xfId="6332" xr:uid="{00000000-0005-0000-0000-0000ED3B0000}"/>
    <cellStyle name="40% - Accent5 13 2 5 2" xfId="17620" xr:uid="{00000000-0005-0000-0000-0000EE3B0000}"/>
    <cellStyle name="40% - Accent5 13 2 6" xfId="15626" xr:uid="{00000000-0005-0000-0000-0000EF3B0000}"/>
    <cellStyle name="40% - Accent5 13 3" xfId="11317" xr:uid="{00000000-0005-0000-0000-0000F03B0000}"/>
    <cellStyle name="40% - Accent5 13 3 2" xfId="22605" xr:uid="{00000000-0005-0000-0000-0000F13B0000}"/>
    <cellStyle name="40% - Accent5 13 4" xfId="9323" xr:uid="{00000000-0005-0000-0000-0000F23B0000}"/>
    <cellStyle name="40% - Accent5 13 4 2" xfId="20611" xr:uid="{00000000-0005-0000-0000-0000F33B0000}"/>
    <cellStyle name="40% - Accent5 13 5" xfId="7329" xr:uid="{00000000-0005-0000-0000-0000F43B0000}"/>
    <cellStyle name="40% - Accent5 13 5 2" xfId="18617" xr:uid="{00000000-0005-0000-0000-0000F53B0000}"/>
    <cellStyle name="40% - Accent5 13 6" xfId="5335" xr:uid="{00000000-0005-0000-0000-0000F63B0000}"/>
    <cellStyle name="40% - Accent5 13 6 2" xfId="16623" xr:uid="{00000000-0005-0000-0000-0000F73B0000}"/>
    <cellStyle name="40% - Accent5 13 7" xfId="14629" xr:uid="{00000000-0005-0000-0000-0000F83B0000}"/>
    <cellStyle name="40% - Accent5 13 8" xfId="13315" xr:uid="{00000000-0005-0000-0000-0000F93B0000}"/>
    <cellStyle name="40% - Accent5 14" xfId="1380" xr:uid="{00000000-0005-0000-0000-0000FA3B0000}"/>
    <cellStyle name="40% - Accent5 14 2" xfId="4336" xr:uid="{00000000-0005-0000-0000-0000FB3B0000}"/>
    <cellStyle name="40% - Accent5 14 2 2" xfId="12315" xr:uid="{00000000-0005-0000-0000-0000FC3B0000}"/>
    <cellStyle name="40% - Accent5 14 2 2 2" xfId="23603" xr:uid="{00000000-0005-0000-0000-0000FD3B0000}"/>
    <cellStyle name="40% - Accent5 14 2 3" xfId="10321" xr:uid="{00000000-0005-0000-0000-0000FE3B0000}"/>
    <cellStyle name="40% - Accent5 14 2 3 2" xfId="21609" xr:uid="{00000000-0005-0000-0000-0000FF3B0000}"/>
    <cellStyle name="40% - Accent5 14 2 4" xfId="8327" xr:uid="{00000000-0005-0000-0000-0000003C0000}"/>
    <cellStyle name="40% - Accent5 14 2 4 2" xfId="19615" xr:uid="{00000000-0005-0000-0000-0000013C0000}"/>
    <cellStyle name="40% - Accent5 14 2 5" xfId="6333" xr:uid="{00000000-0005-0000-0000-0000023C0000}"/>
    <cellStyle name="40% - Accent5 14 2 5 2" xfId="17621" xr:uid="{00000000-0005-0000-0000-0000033C0000}"/>
    <cellStyle name="40% - Accent5 14 2 6" xfId="15627" xr:uid="{00000000-0005-0000-0000-0000043C0000}"/>
    <cellStyle name="40% - Accent5 14 3" xfId="11318" xr:uid="{00000000-0005-0000-0000-0000053C0000}"/>
    <cellStyle name="40% - Accent5 14 3 2" xfId="22606" xr:uid="{00000000-0005-0000-0000-0000063C0000}"/>
    <cellStyle name="40% - Accent5 14 4" xfId="9324" xr:uid="{00000000-0005-0000-0000-0000073C0000}"/>
    <cellStyle name="40% - Accent5 14 4 2" xfId="20612" xr:uid="{00000000-0005-0000-0000-0000083C0000}"/>
    <cellStyle name="40% - Accent5 14 5" xfId="7330" xr:uid="{00000000-0005-0000-0000-0000093C0000}"/>
    <cellStyle name="40% - Accent5 14 5 2" xfId="18618" xr:uid="{00000000-0005-0000-0000-00000A3C0000}"/>
    <cellStyle name="40% - Accent5 14 6" xfId="5336" xr:uid="{00000000-0005-0000-0000-00000B3C0000}"/>
    <cellStyle name="40% - Accent5 14 6 2" xfId="16624" xr:uid="{00000000-0005-0000-0000-00000C3C0000}"/>
    <cellStyle name="40% - Accent5 14 7" xfId="14630" xr:uid="{00000000-0005-0000-0000-00000D3C0000}"/>
    <cellStyle name="40% - Accent5 14 8" xfId="13316" xr:uid="{00000000-0005-0000-0000-00000E3C0000}"/>
    <cellStyle name="40% - Accent5 15" xfId="1381" xr:uid="{00000000-0005-0000-0000-00000F3C0000}"/>
    <cellStyle name="40% - Accent5 15 2" xfId="4337" xr:uid="{00000000-0005-0000-0000-0000103C0000}"/>
    <cellStyle name="40% - Accent5 15 2 2" xfId="12316" xr:uid="{00000000-0005-0000-0000-0000113C0000}"/>
    <cellStyle name="40% - Accent5 15 2 2 2" xfId="23604" xr:uid="{00000000-0005-0000-0000-0000123C0000}"/>
    <cellStyle name="40% - Accent5 15 2 3" xfId="10322" xr:uid="{00000000-0005-0000-0000-0000133C0000}"/>
    <cellStyle name="40% - Accent5 15 2 3 2" xfId="21610" xr:uid="{00000000-0005-0000-0000-0000143C0000}"/>
    <cellStyle name="40% - Accent5 15 2 4" xfId="8328" xr:uid="{00000000-0005-0000-0000-0000153C0000}"/>
    <cellStyle name="40% - Accent5 15 2 4 2" xfId="19616" xr:uid="{00000000-0005-0000-0000-0000163C0000}"/>
    <cellStyle name="40% - Accent5 15 2 5" xfId="6334" xr:uid="{00000000-0005-0000-0000-0000173C0000}"/>
    <cellStyle name="40% - Accent5 15 2 5 2" xfId="17622" xr:uid="{00000000-0005-0000-0000-0000183C0000}"/>
    <cellStyle name="40% - Accent5 15 2 6" xfId="15628" xr:uid="{00000000-0005-0000-0000-0000193C0000}"/>
    <cellStyle name="40% - Accent5 15 3" xfId="11319" xr:uid="{00000000-0005-0000-0000-00001A3C0000}"/>
    <cellStyle name="40% - Accent5 15 3 2" xfId="22607" xr:uid="{00000000-0005-0000-0000-00001B3C0000}"/>
    <cellStyle name="40% - Accent5 15 4" xfId="9325" xr:uid="{00000000-0005-0000-0000-00001C3C0000}"/>
    <cellStyle name="40% - Accent5 15 4 2" xfId="20613" xr:uid="{00000000-0005-0000-0000-00001D3C0000}"/>
    <cellStyle name="40% - Accent5 15 5" xfId="7331" xr:uid="{00000000-0005-0000-0000-00001E3C0000}"/>
    <cellStyle name="40% - Accent5 15 5 2" xfId="18619" xr:uid="{00000000-0005-0000-0000-00001F3C0000}"/>
    <cellStyle name="40% - Accent5 15 6" xfId="5337" xr:uid="{00000000-0005-0000-0000-0000203C0000}"/>
    <cellStyle name="40% - Accent5 15 6 2" xfId="16625" xr:uid="{00000000-0005-0000-0000-0000213C0000}"/>
    <cellStyle name="40% - Accent5 15 7" xfId="14631" xr:uid="{00000000-0005-0000-0000-0000223C0000}"/>
    <cellStyle name="40% - Accent5 15 8" xfId="13317" xr:uid="{00000000-0005-0000-0000-0000233C0000}"/>
    <cellStyle name="40% - Accent5 16" xfId="1382" xr:uid="{00000000-0005-0000-0000-0000243C0000}"/>
    <cellStyle name="40% - Accent5 16 2" xfId="4338" xr:uid="{00000000-0005-0000-0000-0000253C0000}"/>
    <cellStyle name="40% - Accent5 16 2 2" xfId="12317" xr:uid="{00000000-0005-0000-0000-0000263C0000}"/>
    <cellStyle name="40% - Accent5 16 2 2 2" xfId="23605" xr:uid="{00000000-0005-0000-0000-0000273C0000}"/>
    <cellStyle name="40% - Accent5 16 2 3" xfId="10323" xr:uid="{00000000-0005-0000-0000-0000283C0000}"/>
    <cellStyle name="40% - Accent5 16 2 3 2" xfId="21611" xr:uid="{00000000-0005-0000-0000-0000293C0000}"/>
    <cellStyle name="40% - Accent5 16 2 4" xfId="8329" xr:uid="{00000000-0005-0000-0000-00002A3C0000}"/>
    <cellStyle name="40% - Accent5 16 2 4 2" xfId="19617" xr:uid="{00000000-0005-0000-0000-00002B3C0000}"/>
    <cellStyle name="40% - Accent5 16 2 5" xfId="6335" xr:uid="{00000000-0005-0000-0000-00002C3C0000}"/>
    <cellStyle name="40% - Accent5 16 2 5 2" xfId="17623" xr:uid="{00000000-0005-0000-0000-00002D3C0000}"/>
    <cellStyle name="40% - Accent5 16 2 6" xfId="15629" xr:uid="{00000000-0005-0000-0000-00002E3C0000}"/>
    <cellStyle name="40% - Accent5 16 3" xfId="11320" xr:uid="{00000000-0005-0000-0000-00002F3C0000}"/>
    <cellStyle name="40% - Accent5 16 3 2" xfId="22608" xr:uid="{00000000-0005-0000-0000-0000303C0000}"/>
    <cellStyle name="40% - Accent5 16 4" xfId="9326" xr:uid="{00000000-0005-0000-0000-0000313C0000}"/>
    <cellStyle name="40% - Accent5 16 4 2" xfId="20614" xr:uid="{00000000-0005-0000-0000-0000323C0000}"/>
    <cellStyle name="40% - Accent5 16 5" xfId="7332" xr:uid="{00000000-0005-0000-0000-0000333C0000}"/>
    <cellStyle name="40% - Accent5 16 5 2" xfId="18620" xr:uid="{00000000-0005-0000-0000-0000343C0000}"/>
    <cellStyle name="40% - Accent5 16 6" xfId="5338" xr:uid="{00000000-0005-0000-0000-0000353C0000}"/>
    <cellStyle name="40% - Accent5 16 6 2" xfId="16626" xr:uid="{00000000-0005-0000-0000-0000363C0000}"/>
    <cellStyle name="40% - Accent5 16 7" xfId="14632" xr:uid="{00000000-0005-0000-0000-0000373C0000}"/>
    <cellStyle name="40% - Accent5 16 8" xfId="13318" xr:uid="{00000000-0005-0000-0000-0000383C0000}"/>
    <cellStyle name="40% - Accent5 17" xfId="1383" xr:uid="{00000000-0005-0000-0000-0000393C0000}"/>
    <cellStyle name="40% - Accent5 17 2" xfId="4339" xr:uid="{00000000-0005-0000-0000-00003A3C0000}"/>
    <cellStyle name="40% - Accent5 17 2 2" xfId="12318" xr:uid="{00000000-0005-0000-0000-00003B3C0000}"/>
    <cellStyle name="40% - Accent5 17 2 2 2" xfId="23606" xr:uid="{00000000-0005-0000-0000-00003C3C0000}"/>
    <cellStyle name="40% - Accent5 17 2 3" xfId="10324" xr:uid="{00000000-0005-0000-0000-00003D3C0000}"/>
    <cellStyle name="40% - Accent5 17 2 3 2" xfId="21612" xr:uid="{00000000-0005-0000-0000-00003E3C0000}"/>
    <cellStyle name="40% - Accent5 17 2 4" xfId="8330" xr:uid="{00000000-0005-0000-0000-00003F3C0000}"/>
    <cellStyle name="40% - Accent5 17 2 4 2" xfId="19618" xr:uid="{00000000-0005-0000-0000-0000403C0000}"/>
    <cellStyle name="40% - Accent5 17 2 5" xfId="6336" xr:uid="{00000000-0005-0000-0000-0000413C0000}"/>
    <cellStyle name="40% - Accent5 17 2 5 2" xfId="17624" xr:uid="{00000000-0005-0000-0000-0000423C0000}"/>
    <cellStyle name="40% - Accent5 17 2 6" xfId="15630" xr:uid="{00000000-0005-0000-0000-0000433C0000}"/>
    <cellStyle name="40% - Accent5 17 3" xfId="11321" xr:uid="{00000000-0005-0000-0000-0000443C0000}"/>
    <cellStyle name="40% - Accent5 17 3 2" xfId="22609" xr:uid="{00000000-0005-0000-0000-0000453C0000}"/>
    <cellStyle name="40% - Accent5 17 4" xfId="9327" xr:uid="{00000000-0005-0000-0000-0000463C0000}"/>
    <cellStyle name="40% - Accent5 17 4 2" xfId="20615" xr:uid="{00000000-0005-0000-0000-0000473C0000}"/>
    <cellStyle name="40% - Accent5 17 5" xfId="7333" xr:uid="{00000000-0005-0000-0000-0000483C0000}"/>
    <cellStyle name="40% - Accent5 17 5 2" xfId="18621" xr:uid="{00000000-0005-0000-0000-0000493C0000}"/>
    <cellStyle name="40% - Accent5 17 6" xfId="5339" xr:uid="{00000000-0005-0000-0000-00004A3C0000}"/>
    <cellStyle name="40% - Accent5 17 6 2" xfId="16627" xr:uid="{00000000-0005-0000-0000-00004B3C0000}"/>
    <cellStyle name="40% - Accent5 17 7" xfId="14633" xr:uid="{00000000-0005-0000-0000-00004C3C0000}"/>
    <cellStyle name="40% - Accent5 17 8" xfId="13319" xr:uid="{00000000-0005-0000-0000-00004D3C0000}"/>
    <cellStyle name="40% - Accent5 18" xfId="1384" xr:uid="{00000000-0005-0000-0000-00004E3C0000}"/>
    <cellStyle name="40% - Accent5 18 2" xfId="4340" xr:uid="{00000000-0005-0000-0000-00004F3C0000}"/>
    <cellStyle name="40% - Accent5 18 2 2" xfId="12319" xr:uid="{00000000-0005-0000-0000-0000503C0000}"/>
    <cellStyle name="40% - Accent5 18 2 2 2" xfId="23607" xr:uid="{00000000-0005-0000-0000-0000513C0000}"/>
    <cellStyle name="40% - Accent5 18 2 3" xfId="10325" xr:uid="{00000000-0005-0000-0000-0000523C0000}"/>
    <cellStyle name="40% - Accent5 18 2 3 2" xfId="21613" xr:uid="{00000000-0005-0000-0000-0000533C0000}"/>
    <cellStyle name="40% - Accent5 18 2 4" xfId="8331" xr:uid="{00000000-0005-0000-0000-0000543C0000}"/>
    <cellStyle name="40% - Accent5 18 2 4 2" xfId="19619" xr:uid="{00000000-0005-0000-0000-0000553C0000}"/>
    <cellStyle name="40% - Accent5 18 2 5" xfId="6337" xr:uid="{00000000-0005-0000-0000-0000563C0000}"/>
    <cellStyle name="40% - Accent5 18 2 5 2" xfId="17625" xr:uid="{00000000-0005-0000-0000-0000573C0000}"/>
    <cellStyle name="40% - Accent5 18 2 6" xfId="15631" xr:uid="{00000000-0005-0000-0000-0000583C0000}"/>
    <cellStyle name="40% - Accent5 18 3" xfId="11322" xr:uid="{00000000-0005-0000-0000-0000593C0000}"/>
    <cellStyle name="40% - Accent5 18 3 2" xfId="22610" xr:uid="{00000000-0005-0000-0000-00005A3C0000}"/>
    <cellStyle name="40% - Accent5 18 4" xfId="9328" xr:uid="{00000000-0005-0000-0000-00005B3C0000}"/>
    <cellStyle name="40% - Accent5 18 4 2" xfId="20616" xr:uid="{00000000-0005-0000-0000-00005C3C0000}"/>
    <cellStyle name="40% - Accent5 18 5" xfId="7334" xr:uid="{00000000-0005-0000-0000-00005D3C0000}"/>
    <cellStyle name="40% - Accent5 18 5 2" xfId="18622" xr:uid="{00000000-0005-0000-0000-00005E3C0000}"/>
    <cellStyle name="40% - Accent5 18 6" xfId="5340" xr:uid="{00000000-0005-0000-0000-00005F3C0000}"/>
    <cellStyle name="40% - Accent5 18 6 2" xfId="16628" xr:uid="{00000000-0005-0000-0000-0000603C0000}"/>
    <cellStyle name="40% - Accent5 18 7" xfId="14634" xr:uid="{00000000-0005-0000-0000-0000613C0000}"/>
    <cellStyle name="40% - Accent5 18 8" xfId="13320" xr:uid="{00000000-0005-0000-0000-0000623C0000}"/>
    <cellStyle name="40% - Accent5 19" xfId="1385" xr:uid="{00000000-0005-0000-0000-0000633C0000}"/>
    <cellStyle name="40% - Accent5 19 2" xfId="4341" xr:uid="{00000000-0005-0000-0000-0000643C0000}"/>
    <cellStyle name="40% - Accent5 19 2 2" xfId="12320" xr:uid="{00000000-0005-0000-0000-0000653C0000}"/>
    <cellStyle name="40% - Accent5 19 2 2 2" xfId="23608" xr:uid="{00000000-0005-0000-0000-0000663C0000}"/>
    <cellStyle name="40% - Accent5 19 2 3" xfId="10326" xr:uid="{00000000-0005-0000-0000-0000673C0000}"/>
    <cellStyle name="40% - Accent5 19 2 3 2" xfId="21614" xr:uid="{00000000-0005-0000-0000-0000683C0000}"/>
    <cellStyle name="40% - Accent5 19 2 4" xfId="8332" xr:uid="{00000000-0005-0000-0000-0000693C0000}"/>
    <cellStyle name="40% - Accent5 19 2 4 2" xfId="19620" xr:uid="{00000000-0005-0000-0000-00006A3C0000}"/>
    <cellStyle name="40% - Accent5 19 2 5" xfId="6338" xr:uid="{00000000-0005-0000-0000-00006B3C0000}"/>
    <cellStyle name="40% - Accent5 19 2 5 2" xfId="17626" xr:uid="{00000000-0005-0000-0000-00006C3C0000}"/>
    <cellStyle name="40% - Accent5 19 2 6" xfId="15632" xr:uid="{00000000-0005-0000-0000-00006D3C0000}"/>
    <cellStyle name="40% - Accent5 19 3" xfId="11323" xr:uid="{00000000-0005-0000-0000-00006E3C0000}"/>
    <cellStyle name="40% - Accent5 19 3 2" xfId="22611" xr:uid="{00000000-0005-0000-0000-00006F3C0000}"/>
    <cellStyle name="40% - Accent5 19 4" xfId="9329" xr:uid="{00000000-0005-0000-0000-0000703C0000}"/>
    <cellStyle name="40% - Accent5 19 4 2" xfId="20617" xr:uid="{00000000-0005-0000-0000-0000713C0000}"/>
    <cellStyle name="40% - Accent5 19 5" xfId="7335" xr:uid="{00000000-0005-0000-0000-0000723C0000}"/>
    <cellStyle name="40% - Accent5 19 5 2" xfId="18623" xr:uid="{00000000-0005-0000-0000-0000733C0000}"/>
    <cellStyle name="40% - Accent5 19 6" xfId="5341" xr:uid="{00000000-0005-0000-0000-0000743C0000}"/>
    <cellStyle name="40% - Accent5 19 6 2" xfId="16629" xr:uid="{00000000-0005-0000-0000-0000753C0000}"/>
    <cellStyle name="40% - Accent5 19 7" xfId="14635" xr:uid="{00000000-0005-0000-0000-0000763C0000}"/>
    <cellStyle name="40% - Accent5 19 8" xfId="13321" xr:uid="{00000000-0005-0000-0000-0000773C0000}"/>
    <cellStyle name="40% - Accent5 2" xfId="1386" xr:uid="{00000000-0005-0000-0000-0000783C0000}"/>
    <cellStyle name="40% - Accent5 2 10" xfId="24619" xr:uid="{00000000-0005-0000-0000-0000793C0000}"/>
    <cellStyle name="40% - Accent5 2 11" xfId="25009" xr:uid="{00000000-0005-0000-0000-00007A3C0000}"/>
    <cellStyle name="40% - Accent5 2 2" xfId="4342" xr:uid="{00000000-0005-0000-0000-00007B3C0000}"/>
    <cellStyle name="40% - Accent5 2 2 2" xfId="12321" xr:uid="{00000000-0005-0000-0000-00007C3C0000}"/>
    <cellStyle name="40% - Accent5 2 2 2 2" xfId="23609" xr:uid="{00000000-0005-0000-0000-00007D3C0000}"/>
    <cellStyle name="40% - Accent5 2 2 3" xfId="10327" xr:uid="{00000000-0005-0000-0000-00007E3C0000}"/>
    <cellStyle name="40% - Accent5 2 2 3 2" xfId="21615" xr:uid="{00000000-0005-0000-0000-00007F3C0000}"/>
    <cellStyle name="40% - Accent5 2 2 4" xfId="8333" xr:uid="{00000000-0005-0000-0000-0000803C0000}"/>
    <cellStyle name="40% - Accent5 2 2 4 2" xfId="19621" xr:uid="{00000000-0005-0000-0000-0000813C0000}"/>
    <cellStyle name="40% - Accent5 2 2 5" xfId="6339" xr:uid="{00000000-0005-0000-0000-0000823C0000}"/>
    <cellStyle name="40% - Accent5 2 2 5 2" xfId="17627" xr:uid="{00000000-0005-0000-0000-0000833C0000}"/>
    <cellStyle name="40% - Accent5 2 2 6" xfId="15633" xr:uid="{00000000-0005-0000-0000-0000843C0000}"/>
    <cellStyle name="40% - Accent5 2 2 7" xfId="24380" xr:uid="{00000000-0005-0000-0000-0000853C0000}"/>
    <cellStyle name="40% - Accent5 2 2 8" xfId="24844" xr:uid="{00000000-0005-0000-0000-0000863C0000}"/>
    <cellStyle name="40% - Accent5 2 2 9" xfId="25211" xr:uid="{00000000-0005-0000-0000-0000873C0000}"/>
    <cellStyle name="40% - Accent5 2 3" xfId="11324" xr:uid="{00000000-0005-0000-0000-0000883C0000}"/>
    <cellStyle name="40% - Accent5 2 3 2" xfId="22612" xr:uid="{00000000-0005-0000-0000-0000893C0000}"/>
    <cellStyle name="40% - Accent5 2 4" xfId="9330" xr:uid="{00000000-0005-0000-0000-00008A3C0000}"/>
    <cellStyle name="40% - Accent5 2 4 2" xfId="20618" xr:uid="{00000000-0005-0000-0000-00008B3C0000}"/>
    <cellStyle name="40% - Accent5 2 5" xfId="7336" xr:uid="{00000000-0005-0000-0000-00008C3C0000}"/>
    <cellStyle name="40% - Accent5 2 5 2" xfId="18624" xr:uid="{00000000-0005-0000-0000-00008D3C0000}"/>
    <cellStyle name="40% - Accent5 2 6" xfId="5342" xr:uid="{00000000-0005-0000-0000-00008E3C0000}"/>
    <cellStyle name="40% - Accent5 2 6 2" xfId="16630" xr:uid="{00000000-0005-0000-0000-00008F3C0000}"/>
    <cellStyle name="40% - Accent5 2 7" xfId="14636" xr:uid="{00000000-0005-0000-0000-0000903C0000}"/>
    <cellStyle name="40% - Accent5 2 8" xfId="13322" xr:uid="{00000000-0005-0000-0000-0000913C0000}"/>
    <cellStyle name="40% - Accent5 2 9" xfId="23992" xr:uid="{00000000-0005-0000-0000-0000923C0000}"/>
    <cellStyle name="40% - Accent5 20" xfId="1387" xr:uid="{00000000-0005-0000-0000-0000933C0000}"/>
    <cellStyle name="40% - Accent5 20 2" xfId="4343" xr:uid="{00000000-0005-0000-0000-0000943C0000}"/>
    <cellStyle name="40% - Accent5 20 2 2" xfId="12322" xr:uid="{00000000-0005-0000-0000-0000953C0000}"/>
    <cellStyle name="40% - Accent5 20 2 2 2" xfId="23610" xr:uid="{00000000-0005-0000-0000-0000963C0000}"/>
    <cellStyle name="40% - Accent5 20 2 3" xfId="10328" xr:uid="{00000000-0005-0000-0000-0000973C0000}"/>
    <cellStyle name="40% - Accent5 20 2 3 2" xfId="21616" xr:uid="{00000000-0005-0000-0000-0000983C0000}"/>
    <cellStyle name="40% - Accent5 20 2 4" xfId="8334" xr:uid="{00000000-0005-0000-0000-0000993C0000}"/>
    <cellStyle name="40% - Accent5 20 2 4 2" xfId="19622" xr:uid="{00000000-0005-0000-0000-00009A3C0000}"/>
    <cellStyle name="40% - Accent5 20 2 5" xfId="6340" xr:uid="{00000000-0005-0000-0000-00009B3C0000}"/>
    <cellStyle name="40% - Accent5 20 2 5 2" xfId="17628" xr:uid="{00000000-0005-0000-0000-00009C3C0000}"/>
    <cellStyle name="40% - Accent5 20 2 6" xfId="15634" xr:uid="{00000000-0005-0000-0000-00009D3C0000}"/>
    <cellStyle name="40% - Accent5 20 3" xfId="11325" xr:uid="{00000000-0005-0000-0000-00009E3C0000}"/>
    <cellStyle name="40% - Accent5 20 3 2" xfId="22613" xr:uid="{00000000-0005-0000-0000-00009F3C0000}"/>
    <cellStyle name="40% - Accent5 20 4" xfId="9331" xr:uid="{00000000-0005-0000-0000-0000A03C0000}"/>
    <cellStyle name="40% - Accent5 20 4 2" xfId="20619" xr:uid="{00000000-0005-0000-0000-0000A13C0000}"/>
    <cellStyle name="40% - Accent5 20 5" xfId="7337" xr:uid="{00000000-0005-0000-0000-0000A23C0000}"/>
    <cellStyle name="40% - Accent5 20 5 2" xfId="18625" xr:uid="{00000000-0005-0000-0000-0000A33C0000}"/>
    <cellStyle name="40% - Accent5 20 6" xfId="5343" xr:uid="{00000000-0005-0000-0000-0000A43C0000}"/>
    <cellStyle name="40% - Accent5 20 6 2" xfId="16631" xr:uid="{00000000-0005-0000-0000-0000A53C0000}"/>
    <cellStyle name="40% - Accent5 20 7" xfId="14637" xr:uid="{00000000-0005-0000-0000-0000A63C0000}"/>
    <cellStyle name="40% - Accent5 20 8" xfId="13323" xr:uid="{00000000-0005-0000-0000-0000A73C0000}"/>
    <cellStyle name="40% - Accent5 21" xfId="1388" xr:uid="{00000000-0005-0000-0000-0000A83C0000}"/>
    <cellStyle name="40% - Accent5 21 2" xfId="4344" xr:uid="{00000000-0005-0000-0000-0000A93C0000}"/>
    <cellStyle name="40% - Accent5 21 2 2" xfId="12323" xr:uid="{00000000-0005-0000-0000-0000AA3C0000}"/>
    <cellStyle name="40% - Accent5 21 2 2 2" xfId="23611" xr:uid="{00000000-0005-0000-0000-0000AB3C0000}"/>
    <cellStyle name="40% - Accent5 21 2 3" xfId="10329" xr:uid="{00000000-0005-0000-0000-0000AC3C0000}"/>
    <cellStyle name="40% - Accent5 21 2 3 2" xfId="21617" xr:uid="{00000000-0005-0000-0000-0000AD3C0000}"/>
    <cellStyle name="40% - Accent5 21 2 4" xfId="8335" xr:uid="{00000000-0005-0000-0000-0000AE3C0000}"/>
    <cellStyle name="40% - Accent5 21 2 4 2" xfId="19623" xr:uid="{00000000-0005-0000-0000-0000AF3C0000}"/>
    <cellStyle name="40% - Accent5 21 2 5" xfId="6341" xr:uid="{00000000-0005-0000-0000-0000B03C0000}"/>
    <cellStyle name="40% - Accent5 21 2 5 2" xfId="17629" xr:uid="{00000000-0005-0000-0000-0000B13C0000}"/>
    <cellStyle name="40% - Accent5 21 2 6" xfId="15635" xr:uid="{00000000-0005-0000-0000-0000B23C0000}"/>
    <cellStyle name="40% - Accent5 21 3" xfId="11326" xr:uid="{00000000-0005-0000-0000-0000B33C0000}"/>
    <cellStyle name="40% - Accent5 21 3 2" xfId="22614" xr:uid="{00000000-0005-0000-0000-0000B43C0000}"/>
    <cellStyle name="40% - Accent5 21 4" xfId="9332" xr:uid="{00000000-0005-0000-0000-0000B53C0000}"/>
    <cellStyle name="40% - Accent5 21 4 2" xfId="20620" xr:uid="{00000000-0005-0000-0000-0000B63C0000}"/>
    <cellStyle name="40% - Accent5 21 5" xfId="7338" xr:uid="{00000000-0005-0000-0000-0000B73C0000}"/>
    <cellStyle name="40% - Accent5 21 5 2" xfId="18626" xr:uid="{00000000-0005-0000-0000-0000B83C0000}"/>
    <cellStyle name="40% - Accent5 21 6" xfId="5344" xr:uid="{00000000-0005-0000-0000-0000B93C0000}"/>
    <cellStyle name="40% - Accent5 21 6 2" xfId="16632" xr:uid="{00000000-0005-0000-0000-0000BA3C0000}"/>
    <cellStyle name="40% - Accent5 21 7" xfId="14638" xr:uid="{00000000-0005-0000-0000-0000BB3C0000}"/>
    <cellStyle name="40% - Accent5 21 8" xfId="13324" xr:uid="{00000000-0005-0000-0000-0000BC3C0000}"/>
    <cellStyle name="40% - Accent5 22" xfId="1389" xr:uid="{00000000-0005-0000-0000-0000BD3C0000}"/>
    <cellStyle name="40% - Accent5 22 2" xfId="4345" xr:uid="{00000000-0005-0000-0000-0000BE3C0000}"/>
    <cellStyle name="40% - Accent5 22 2 2" xfId="12324" xr:uid="{00000000-0005-0000-0000-0000BF3C0000}"/>
    <cellStyle name="40% - Accent5 22 2 2 2" xfId="23612" xr:uid="{00000000-0005-0000-0000-0000C03C0000}"/>
    <cellStyle name="40% - Accent5 22 2 3" xfId="10330" xr:uid="{00000000-0005-0000-0000-0000C13C0000}"/>
    <cellStyle name="40% - Accent5 22 2 3 2" xfId="21618" xr:uid="{00000000-0005-0000-0000-0000C23C0000}"/>
    <cellStyle name="40% - Accent5 22 2 4" xfId="8336" xr:uid="{00000000-0005-0000-0000-0000C33C0000}"/>
    <cellStyle name="40% - Accent5 22 2 4 2" xfId="19624" xr:uid="{00000000-0005-0000-0000-0000C43C0000}"/>
    <cellStyle name="40% - Accent5 22 2 5" xfId="6342" xr:uid="{00000000-0005-0000-0000-0000C53C0000}"/>
    <cellStyle name="40% - Accent5 22 2 5 2" xfId="17630" xr:uid="{00000000-0005-0000-0000-0000C63C0000}"/>
    <cellStyle name="40% - Accent5 22 2 6" xfId="15636" xr:uid="{00000000-0005-0000-0000-0000C73C0000}"/>
    <cellStyle name="40% - Accent5 22 3" xfId="11327" xr:uid="{00000000-0005-0000-0000-0000C83C0000}"/>
    <cellStyle name="40% - Accent5 22 3 2" xfId="22615" xr:uid="{00000000-0005-0000-0000-0000C93C0000}"/>
    <cellStyle name="40% - Accent5 22 4" xfId="9333" xr:uid="{00000000-0005-0000-0000-0000CA3C0000}"/>
    <cellStyle name="40% - Accent5 22 4 2" xfId="20621" xr:uid="{00000000-0005-0000-0000-0000CB3C0000}"/>
    <cellStyle name="40% - Accent5 22 5" xfId="7339" xr:uid="{00000000-0005-0000-0000-0000CC3C0000}"/>
    <cellStyle name="40% - Accent5 22 5 2" xfId="18627" xr:uid="{00000000-0005-0000-0000-0000CD3C0000}"/>
    <cellStyle name="40% - Accent5 22 6" xfId="5345" xr:uid="{00000000-0005-0000-0000-0000CE3C0000}"/>
    <cellStyle name="40% - Accent5 22 6 2" xfId="16633" xr:uid="{00000000-0005-0000-0000-0000CF3C0000}"/>
    <cellStyle name="40% - Accent5 22 7" xfId="14639" xr:uid="{00000000-0005-0000-0000-0000D03C0000}"/>
    <cellStyle name="40% - Accent5 22 8" xfId="13325" xr:uid="{00000000-0005-0000-0000-0000D13C0000}"/>
    <cellStyle name="40% - Accent5 23" xfId="1390" xr:uid="{00000000-0005-0000-0000-0000D23C0000}"/>
    <cellStyle name="40% - Accent5 23 2" xfId="4346" xr:uid="{00000000-0005-0000-0000-0000D33C0000}"/>
    <cellStyle name="40% - Accent5 23 2 2" xfId="12325" xr:uid="{00000000-0005-0000-0000-0000D43C0000}"/>
    <cellStyle name="40% - Accent5 23 2 2 2" xfId="23613" xr:uid="{00000000-0005-0000-0000-0000D53C0000}"/>
    <cellStyle name="40% - Accent5 23 2 3" xfId="10331" xr:uid="{00000000-0005-0000-0000-0000D63C0000}"/>
    <cellStyle name="40% - Accent5 23 2 3 2" xfId="21619" xr:uid="{00000000-0005-0000-0000-0000D73C0000}"/>
    <cellStyle name="40% - Accent5 23 2 4" xfId="8337" xr:uid="{00000000-0005-0000-0000-0000D83C0000}"/>
    <cellStyle name="40% - Accent5 23 2 4 2" xfId="19625" xr:uid="{00000000-0005-0000-0000-0000D93C0000}"/>
    <cellStyle name="40% - Accent5 23 2 5" xfId="6343" xr:uid="{00000000-0005-0000-0000-0000DA3C0000}"/>
    <cellStyle name="40% - Accent5 23 2 5 2" xfId="17631" xr:uid="{00000000-0005-0000-0000-0000DB3C0000}"/>
    <cellStyle name="40% - Accent5 23 2 6" xfId="15637" xr:uid="{00000000-0005-0000-0000-0000DC3C0000}"/>
    <cellStyle name="40% - Accent5 23 3" xfId="11328" xr:uid="{00000000-0005-0000-0000-0000DD3C0000}"/>
    <cellStyle name="40% - Accent5 23 3 2" xfId="22616" xr:uid="{00000000-0005-0000-0000-0000DE3C0000}"/>
    <cellStyle name="40% - Accent5 23 4" xfId="9334" xr:uid="{00000000-0005-0000-0000-0000DF3C0000}"/>
    <cellStyle name="40% - Accent5 23 4 2" xfId="20622" xr:uid="{00000000-0005-0000-0000-0000E03C0000}"/>
    <cellStyle name="40% - Accent5 23 5" xfId="7340" xr:uid="{00000000-0005-0000-0000-0000E13C0000}"/>
    <cellStyle name="40% - Accent5 23 5 2" xfId="18628" xr:uid="{00000000-0005-0000-0000-0000E23C0000}"/>
    <cellStyle name="40% - Accent5 23 6" xfId="5346" xr:uid="{00000000-0005-0000-0000-0000E33C0000}"/>
    <cellStyle name="40% - Accent5 23 6 2" xfId="16634" xr:uid="{00000000-0005-0000-0000-0000E43C0000}"/>
    <cellStyle name="40% - Accent5 23 7" xfId="14640" xr:uid="{00000000-0005-0000-0000-0000E53C0000}"/>
    <cellStyle name="40% - Accent5 23 8" xfId="13326" xr:uid="{00000000-0005-0000-0000-0000E63C0000}"/>
    <cellStyle name="40% - Accent5 24" xfId="1391" xr:uid="{00000000-0005-0000-0000-0000E73C0000}"/>
    <cellStyle name="40% - Accent5 24 2" xfId="4347" xr:uid="{00000000-0005-0000-0000-0000E83C0000}"/>
    <cellStyle name="40% - Accent5 24 2 2" xfId="12326" xr:uid="{00000000-0005-0000-0000-0000E93C0000}"/>
    <cellStyle name="40% - Accent5 24 2 2 2" xfId="23614" xr:uid="{00000000-0005-0000-0000-0000EA3C0000}"/>
    <cellStyle name="40% - Accent5 24 2 3" xfId="10332" xr:uid="{00000000-0005-0000-0000-0000EB3C0000}"/>
    <cellStyle name="40% - Accent5 24 2 3 2" xfId="21620" xr:uid="{00000000-0005-0000-0000-0000EC3C0000}"/>
    <cellStyle name="40% - Accent5 24 2 4" xfId="8338" xr:uid="{00000000-0005-0000-0000-0000ED3C0000}"/>
    <cellStyle name="40% - Accent5 24 2 4 2" xfId="19626" xr:uid="{00000000-0005-0000-0000-0000EE3C0000}"/>
    <cellStyle name="40% - Accent5 24 2 5" xfId="6344" xr:uid="{00000000-0005-0000-0000-0000EF3C0000}"/>
    <cellStyle name="40% - Accent5 24 2 5 2" xfId="17632" xr:uid="{00000000-0005-0000-0000-0000F03C0000}"/>
    <cellStyle name="40% - Accent5 24 2 6" xfId="15638" xr:uid="{00000000-0005-0000-0000-0000F13C0000}"/>
    <cellStyle name="40% - Accent5 24 3" xfId="11329" xr:uid="{00000000-0005-0000-0000-0000F23C0000}"/>
    <cellStyle name="40% - Accent5 24 3 2" xfId="22617" xr:uid="{00000000-0005-0000-0000-0000F33C0000}"/>
    <cellStyle name="40% - Accent5 24 4" xfId="9335" xr:uid="{00000000-0005-0000-0000-0000F43C0000}"/>
    <cellStyle name="40% - Accent5 24 4 2" xfId="20623" xr:uid="{00000000-0005-0000-0000-0000F53C0000}"/>
    <cellStyle name="40% - Accent5 24 5" xfId="7341" xr:uid="{00000000-0005-0000-0000-0000F63C0000}"/>
    <cellStyle name="40% - Accent5 24 5 2" xfId="18629" xr:uid="{00000000-0005-0000-0000-0000F73C0000}"/>
    <cellStyle name="40% - Accent5 24 6" xfId="5347" xr:uid="{00000000-0005-0000-0000-0000F83C0000}"/>
    <cellStyle name="40% - Accent5 24 6 2" xfId="16635" xr:uid="{00000000-0005-0000-0000-0000F93C0000}"/>
    <cellStyle name="40% - Accent5 24 7" xfId="14641" xr:uid="{00000000-0005-0000-0000-0000FA3C0000}"/>
    <cellStyle name="40% - Accent5 24 8" xfId="13327" xr:uid="{00000000-0005-0000-0000-0000FB3C0000}"/>
    <cellStyle name="40% - Accent5 25" xfId="1392" xr:uid="{00000000-0005-0000-0000-0000FC3C0000}"/>
    <cellStyle name="40% - Accent5 25 2" xfId="4348" xr:uid="{00000000-0005-0000-0000-0000FD3C0000}"/>
    <cellStyle name="40% - Accent5 25 2 2" xfId="12327" xr:uid="{00000000-0005-0000-0000-0000FE3C0000}"/>
    <cellStyle name="40% - Accent5 25 2 2 2" xfId="23615" xr:uid="{00000000-0005-0000-0000-0000FF3C0000}"/>
    <cellStyle name="40% - Accent5 25 2 3" xfId="10333" xr:uid="{00000000-0005-0000-0000-0000003D0000}"/>
    <cellStyle name="40% - Accent5 25 2 3 2" xfId="21621" xr:uid="{00000000-0005-0000-0000-0000013D0000}"/>
    <cellStyle name="40% - Accent5 25 2 4" xfId="8339" xr:uid="{00000000-0005-0000-0000-0000023D0000}"/>
    <cellStyle name="40% - Accent5 25 2 4 2" xfId="19627" xr:uid="{00000000-0005-0000-0000-0000033D0000}"/>
    <cellStyle name="40% - Accent5 25 2 5" xfId="6345" xr:uid="{00000000-0005-0000-0000-0000043D0000}"/>
    <cellStyle name="40% - Accent5 25 2 5 2" xfId="17633" xr:uid="{00000000-0005-0000-0000-0000053D0000}"/>
    <cellStyle name="40% - Accent5 25 2 6" xfId="15639" xr:uid="{00000000-0005-0000-0000-0000063D0000}"/>
    <cellStyle name="40% - Accent5 25 3" xfId="11330" xr:uid="{00000000-0005-0000-0000-0000073D0000}"/>
    <cellStyle name="40% - Accent5 25 3 2" xfId="22618" xr:uid="{00000000-0005-0000-0000-0000083D0000}"/>
    <cellStyle name="40% - Accent5 25 4" xfId="9336" xr:uid="{00000000-0005-0000-0000-0000093D0000}"/>
    <cellStyle name="40% - Accent5 25 4 2" xfId="20624" xr:uid="{00000000-0005-0000-0000-00000A3D0000}"/>
    <cellStyle name="40% - Accent5 25 5" xfId="7342" xr:uid="{00000000-0005-0000-0000-00000B3D0000}"/>
    <cellStyle name="40% - Accent5 25 5 2" xfId="18630" xr:uid="{00000000-0005-0000-0000-00000C3D0000}"/>
    <cellStyle name="40% - Accent5 25 6" xfId="5348" xr:uid="{00000000-0005-0000-0000-00000D3D0000}"/>
    <cellStyle name="40% - Accent5 25 6 2" xfId="16636" xr:uid="{00000000-0005-0000-0000-00000E3D0000}"/>
    <cellStyle name="40% - Accent5 25 7" xfId="14642" xr:uid="{00000000-0005-0000-0000-00000F3D0000}"/>
    <cellStyle name="40% - Accent5 25 8" xfId="13328" xr:uid="{00000000-0005-0000-0000-0000103D0000}"/>
    <cellStyle name="40% - Accent5 26" xfId="1393" xr:uid="{00000000-0005-0000-0000-0000113D0000}"/>
    <cellStyle name="40% - Accent5 26 2" xfId="4349" xr:uid="{00000000-0005-0000-0000-0000123D0000}"/>
    <cellStyle name="40% - Accent5 26 2 2" xfId="12328" xr:uid="{00000000-0005-0000-0000-0000133D0000}"/>
    <cellStyle name="40% - Accent5 26 2 2 2" xfId="23616" xr:uid="{00000000-0005-0000-0000-0000143D0000}"/>
    <cellStyle name="40% - Accent5 26 2 3" xfId="10334" xr:uid="{00000000-0005-0000-0000-0000153D0000}"/>
    <cellStyle name="40% - Accent5 26 2 3 2" xfId="21622" xr:uid="{00000000-0005-0000-0000-0000163D0000}"/>
    <cellStyle name="40% - Accent5 26 2 4" xfId="8340" xr:uid="{00000000-0005-0000-0000-0000173D0000}"/>
    <cellStyle name="40% - Accent5 26 2 4 2" xfId="19628" xr:uid="{00000000-0005-0000-0000-0000183D0000}"/>
    <cellStyle name="40% - Accent5 26 2 5" xfId="6346" xr:uid="{00000000-0005-0000-0000-0000193D0000}"/>
    <cellStyle name="40% - Accent5 26 2 5 2" xfId="17634" xr:uid="{00000000-0005-0000-0000-00001A3D0000}"/>
    <cellStyle name="40% - Accent5 26 2 6" xfId="15640" xr:uid="{00000000-0005-0000-0000-00001B3D0000}"/>
    <cellStyle name="40% - Accent5 26 3" xfId="11331" xr:uid="{00000000-0005-0000-0000-00001C3D0000}"/>
    <cellStyle name="40% - Accent5 26 3 2" xfId="22619" xr:uid="{00000000-0005-0000-0000-00001D3D0000}"/>
    <cellStyle name="40% - Accent5 26 4" xfId="9337" xr:uid="{00000000-0005-0000-0000-00001E3D0000}"/>
    <cellStyle name="40% - Accent5 26 4 2" xfId="20625" xr:uid="{00000000-0005-0000-0000-00001F3D0000}"/>
    <cellStyle name="40% - Accent5 26 5" xfId="7343" xr:uid="{00000000-0005-0000-0000-0000203D0000}"/>
    <cellStyle name="40% - Accent5 26 5 2" xfId="18631" xr:uid="{00000000-0005-0000-0000-0000213D0000}"/>
    <cellStyle name="40% - Accent5 26 6" xfId="5349" xr:uid="{00000000-0005-0000-0000-0000223D0000}"/>
    <cellStyle name="40% - Accent5 26 6 2" xfId="16637" xr:uid="{00000000-0005-0000-0000-0000233D0000}"/>
    <cellStyle name="40% - Accent5 26 7" xfId="14643" xr:uid="{00000000-0005-0000-0000-0000243D0000}"/>
    <cellStyle name="40% - Accent5 26 8" xfId="13329" xr:uid="{00000000-0005-0000-0000-0000253D0000}"/>
    <cellStyle name="40% - Accent5 27" xfId="1394" xr:uid="{00000000-0005-0000-0000-0000263D0000}"/>
    <cellStyle name="40% - Accent5 27 2" xfId="4350" xr:uid="{00000000-0005-0000-0000-0000273D0000}"/>
    <cellStyle name="40% - Accent5 27 2 2" xfId="12329" xr:uid="{00000000-0005-0000-0000-0000283D0000}"/>
    <cellStyle name="40% - Accent5 27 2 2 2" xfId="23617" xr:uid="{00000000-0005-0000-0000-0000293D0000}"/>
    <cellStyle name="40% - Accent5 27 2 3" xfId="10335" xr:uid="{00000000-0005-0000-0000-00002A3D0000}"/>
    <cellStyle name="40% - Accent5 27 2 3 2" xfId="21623" xr:uid="{00000000-0005-0000-0000-00002B3D0000}"/>
    <cellStyle name="40% - Accent5 27 2 4" xfId="8341" xr:uid="{00000000-0005-0000-0000-00002C3D0000}"/>
    <cellStyle name="40% - Accent5 27 2 4 2" xfId="19629" xr:uid="{00000000-0005-0000-0000-00002D3D0000}"/>
    <cellStyle name="40% - Accent5 27 2 5" xfId="6347" xr:uid="{00000000-0005-0000-0000-00002E3D0000}"/>
    <cellStyle name="40% - Accent5 27 2 5 2" xfId="17635" xr:uid="{00000000-0005-0000-0000-00002F3D0000}"/>
    <cellStyle name="40% - Accent5 27 2 6" xfId="15641" xr:uid="{00000000-0005-0000-0000-0000303D0000}"/>
    <cellStyle name="40% - Accent5 27 3" xfId="11332" xr:uid="{00000000-0005-0000-0000-0000313D0000}"/>
    <cellStyle name="40% - Accent5 27 3 2" xfId="22620" xr:uid="{00000000-0005-0000-0000-0000323D0000}"/>
    <cellStyle name="40% - Accent5 27 4" xfId="9338" xr:uid="{00000000-0005-0000-0000-0000333D0000}"/>
    <cellStyle name="40% - Accent5 27 4 2" xfId="20626" xr:uid="{00000000-0005-0000-0000-0000343D0000}"/>
    <cellStyle name="40% - Accent5 27 5" xfId="7344" xr:uid="{00000000-0005-0000-0000-0000353D0000}"/>
    <cellStyle name="40% - Accent5 27 5 2" xfId="18632" xr:uid="{00000000-0005-0000-0000-0000363D0000}"/>
    <cellStyle name="40% - Accent5 27 6" xfId="5350" xr:uid="{00000000-0005-0000-0000-0000373D0000}"/>
    <cellStyle name="40% - Accent5 27 6 2" xfId="16638" xr:uid="{00000000-0005-0000-0000-0000383D0000}"/>
    <cellStyle name="40% - Accent5 27 7" xfId="14644" xr:uid="{00000000-0005-0000-0000-0000393D0000}"/>
    <cellStyle name="40% - Accent5 27 8" xfId="13330" xr:uid="{00000000-0005-0000-0000-00003A3D0000}"/>
    <cellStyle name="40% - Accent5 28" xfId="1395" xr:uid="{00000000-0005-0000-0000-00003B3D0000}"/>
    <cellStyle name="40% - Accent5 28 2" xfId="4351" xr:uid="{00000000-0005-0000-0000-00003C3D0000}"/>
    <cellStyle name="40% - Accent5 28 2 2" xfId="12330" xr:uid="{00000000-0005-0000-0000-00003D3D0000}"/>
    <cellStyle name="40% - Accent5 28 2 2 2" xfId="23618" xr:uid="{00000000-0005-0000-0000-00003E3D0000}"/>
    <cellStyle name="40% - Accent5 28 2 3" xfId="10336" xr:uid="{00000000-0005-0000-0000-00003F3D0000}"/>
    <cellStyle name="40% - Accent5 28 2 3 2" xfId="21624" xr:uid="{00000000-0005-0000-0000-0000403D0000}"/>
    <cellStyle name="40% - Accent5 28 2 4" xfId="8342" xr:uid="{00000000-0005-0000-0000-0000413D0000}"/>
    <cellStyle name="40% - Accent5 28 2 4 2" xfId="19630" xr:uid="{00000000-0005-0000-0000-0000423D0000}"/>
    <cellStyle name="40% - Accent5 28 2 5" xfId="6348" xr:uid="{00000000-0005-0000-0000-0000433D0000}"/>
    <cellStyle name="40% - Accent5 28 2 5 2" xfId="17636" xr:uid="{00000000-0005-0000-0000-0000443D0000}"/>
    <cellStyle name="40% - Accent5 28 2 6" xfId="15642" xr:uid="{00000000-0005-0000-0000-0000453D0000}"/>
    <cellStyle name="40% - Accent5 28 3" xfId="11333" xr:uid="{00000000-0005-0000-0000-0000463D0000}"/>
    <cellStyle name="40% - Accent5 28 3 2" xfId="22621" xr:uid="{00000000-0005-0000-0000-0000473D0000}"/>
    <cellStyle name="40% - Accent5 28 4" xfId="9339" xr:uid="{00000000-0005-0000-0000-0000483D0000}"/>
    <cellStyle name="40% - Accent5 28 4 2" xfId="20627" xr:uid="{00000000-0005-0000-0000-0000493D0000}"/>
    <cellStyle name="40% - Accent5 28 5" xfId="7345" xr:uid="{00000000-0005-0000-0000-00004A3D0000}"/>
    <cellStyle name="40% - Accent5 28 5 2" xfId="18633" xr:uid="{00000000-0005-0000-0000-00004B3D0000}"/>
    <cellStyle name="40% - Accent5 28 6" xfId="5351" xr:uid="{00000000-0005-0000-0000-00004C3D0000}"/>
    <cellStyle name="40% - Accent5 28 6 2" xfId="16639" xr:uid="{00000000-0005-0000-0000-00004D3D0000}"/>
    <cellStyle name="40% - Accent5 28 7" xfId="14645" xr:uid="{00000000-0005-0000-0000-00004E3D0000}"/>
    <cellStyle name="40% - Accent5 28 8" xfId="13331" xr:uid="{00000000-0005-0000-0000-00004F3D0000}"/>
    <cellStyle name="40% - Accent5 29" xfId="1396" xr:uid="{00000000-0005-0000-0000-0000503D0000}"/>
    <cellStyle name="40% - Accent5 29 2" xfId="4352" xr:uid="{00000000-0005-0000-0000-0000513D0000}"/>
    <cellStyle name="40% - Accent5 29 2 2" xfId="12331" xr:uid="{00000000-0005-0000-0000-0000523D0000}"/>
    <cellStyle name="40% - Accent5 29 2 2 2" xfId="23619" xr:uid="{00000000-0005-0000-0000-0000533D0000}"/>
    <cellStyle name="40% - Accent5 29 2 3" xfId="10337" xr:uid="{00000000-0005-0000-0000-0000543D0000}"/>
    <cellStyle name="40% - Accent5 29 2 3 2" xfId="21625" xr:uid="{00000000-0005-0000-0000-0000553D0000}"/>
    <cellStyle name="40% - Accent5 29 2 4" xfId="8343" xr:uid="{00000000-0005-0000-0000-0000563D0000}"/>
    <cellStyle name="40% - Accent5 29 2 4 2" xfId="19631" xr:uid="{00000000-0005-0000-0000-0000573D0000}"/>
    <cellStyle name="40% - Accent5 29 2 5" xfId="6349" xr:uid="{00000000-0005-0000-0000-0000583D0000}"/>
    <cellStyle name="40% - Accent5 29 2 5 2" xfId="17637" xr:uid="{00000000-0005-0000-0000-0000593D0000}"/>
    <cellStyle name="40% - Accent5 29 2 6" xfId="15643" xr:uid="{00000000-0005-0000-0000-00005A3D0000}"/>
    <cellStyle name="40% - Accent5 29 3" xfId="11334" xr:uid="{00000000-0005-0000-0000-00005B3D0000}"/>
    <cellStyle name="40% - Accent5 29 3 2" xfId="22622" xr:uid="{00000000-0005-0000-0000-00005C3D0000}"/>
    <cellStyle name="40% - Accent5 29 4" xfId="9340" xr:uid="{00000000-0005-0000-0000-00005D3D0000}"/>
    <cellStyle name="40% - Accent5 29 4 2" xfId="20628" xr:uid="{00000000-0005-0000-0000-00005E3D0000}"/>
    <cellStyle name="40% - Accent5 29 5" xfId="7346" xr:uid="{00000000-0005-0000-0000-00005F3D0000}"/>
    <cellStyle name="40% - Accent5 29 5 2" xfId="18634" xr:uid="{00000000-0005-0000-0000-0000603D0000}"/>
    <cellStyle name="40% - Accent5 29 6" xfId="5352" xr:uid="{00000000-0005-0000-0000-0000613D0000}"/>
    <cellStyle name="40% - Accent5 29 6 2" xfId="16640" xr:uid="{00000000-0005-0000-0000-0000623D0000}"/>
    <cellStyle name="40% - Accent5 29 7" xfId="14646" xr:uid="{00000000-0005-0000-0000-0000633D0000}"/>
    <cellStyle name="40% - Accent5 29 8" xfId="13332" xr:uid="{00000000-0005-0000-0000-0000643D0000}"/>
    <cellStyle name="40% - Accent5 3" xfId="1397" xr:uid="{00000000-0005-0000-0000-0000653D0000}"/>
    <cellStyle name="40% - Accent5 3 10" xfId="24620" xr:uid="{00000000-0005-0000-0000-0000663D0000}"/>
    <cellStyle name="40% - Accent5 3 11" xfId="25010" xr:uid="{00000000-0005-0000-0000-0000673D0000}"/>
    <cellStyle name="40% - Accent5 3 2" xfId="4353" xr:uid="{00000000-0005-0000-0000-0000683D0000}"/>
    <cellStyle name="40% - Accent5 3 2 2" xfId="12332" xr:uid="{00000000-0005-0000-0000-0000693D0000}"/>
    <cellStyle name="40% - Accent5 3 2 2 2" xfId="23620" xr:uid="{00000000-0005-0000-0000-00006A3D0000}"/>
    <cellStyle name="40% - Accent5 3 2 3" xfId="10338" xr:uid="{00000000-0005-0000-0000-00006B3D0000}"/>
    <cellStyle name="40% - Accent5 3 2 3 2" xfId="21626" xr:uid="{00000000-0005-0000-0000-00006C3D0000}"/>
    <cellStyle name="40% - Accent5 3 2 4" xfId="8344" xr:uid="{00000000-0005-0000-0000-00006D3D0000}"/>
    <cellStyle name="40% - Accent5 3 2 4 2" xfId="19632" xr:uid="{00000000-0005-0000-0000-00006E3D0000}"/>
    <cellStyle name="40% - Accent5 3 2 5" xfId="6350" xr:uid="{00000000-0005-0000-0000-00006F3D0000}"/>
    <cellStyle name="40% - Accent5 3 2 5 2" xfId="17638" xr:uid="{00000000-0005-0000-0000-0000703D0000}"/>
    <cellStyle name="40% - Accent5 3 2 6" xfId="15644" xr:uid="{00000000-0005-0000-0000-0000713D0000}"/>
    <cellStyle name="40% - Accent5 3 2 7" xfId="24381" xr:uid="{00000000-0005-0000-0000-0000723D0000}"/>
    <cellStyle name="40% - Accent5 3 2 8" xfId="24845" xr:uid="{00000000-0005-0000-0000-0000733D0000}"/>
    <cellStyle name="40% - Accent5 3 2 9" xfId="25212" xr:uid="{00000000-0005-0000-0000-0000743D0000}"/>
    <cellStyle name="40% - Accent5 3 3" xfId="11335" xr:uid="{00000000-0005-0000-0000-0000753D0000}"/>
    <cellStyle name="40% - Accent5 3 3 2" xfId="22623" xr:uid="{00000000-0005-0000-0000-0000763D0000}"/>
    <cellStyle name="40% - Accent5 3 4" xfId="9341" xr:uid="{00000000-0005-0000-0000-0000773D0000}"/>
    <cellStyle name="40% - Accent5 3 4 2" xfId="20629" xr:uid="{00000000-0005-0000-0000-0000783D0000}"/>
    <cellStyle name="40% - Accent5 3 5" xfId="7347" xr:uid="{00000000-0005-0000-0000-0000793D0000}"/>
    <cellStyle name="40% - Accent5 3 5 2" xfId="18635" xr:uid="{00000000-0005-0000-0000-00007A3D0000}"/>
    <cellStyle name="40% - Accent5 3 6" xfId="5353" xr:uid="{00000000-0005-0000-0000-00007B3D0000}"/>
    <cellStyle name="40% - Accent5 3 6 2" xfId="16641" xr:uid="{00000000-0005-0000-0000-00007C3D0000}"/>
    <cellStyle name="40% - Accent5 3 7" xfId="14647" xr:uid="{00000000-0005-0000-0000-00007D3D0000}"/>
    <cellStyle name="40% - Accent5 3 8" xfId="13333" xr:uid="{00000000-0005-0000-0000-00007E3D0000}"/>
    <cellStyle name="40% - Accent5 3 9" xfId="23993" xr:uid="{00000000-0005-0000-0000-00007F3D0000}"/>
    <cellStyle name="40% - Accent5 30" xfId="1398" xr:uid="{00000000-0005-0000-0000-0000803D0000}"/>
    <cellStyle name="40% - Accent5 30 2" xfId="4354" xr:uid="{00000000-0005-0000-0000-0000813D0000}"/>
    <cellStyle name="40% - Accent5 30 2 2" xfId="12333" xr:uid="{00000000-0005-0000-0000-0000823D0000}"/>
    <cellStyle name="40% - Accent5 30 2 2 2" xfId="23621" xr:uid="{00000000-0005-0000-0000-0000833D0000}"/>
    <cellStyle name="40% - Accent5 30 2 3" xfId="10339" xr:uid="{00000000-0005-0000-0000-0000843D0000}"/>
    <cellStyle name="40% - Accent5 30 2 3 2" xfId="21627" xr:uid="{00000000-0005-0000-0000-0000853D0000}"/>
    <cellStyle name="40% - Accent5 30 2 4" xfId="8345" xr:uid="{00000000-0005-0000-0000-0000863D0000}"/>
    <cellStyle name="40% - Accent5 30 2 4 2" xfId="19633" xr:uid="{00000000-0005-0000-0000-0000873D0000}"/>
    <cellStyle name="40% - Accent5 30 2 5" xfId="6351" xr:uid="{00000000-0005-0000-0000-0000883D0000}"/>
    <cellStyle name="40% - Accent5 30 2 5 2" xfId="17639" xr:uid="{00000000-0005-0000-0000-0000893D0000}"/>
    <cellStyle name="40% - Accent5 30 2 6" xfId="15645" xr:uid="{00000000-0005-0000-0000-00008A3D0000}"/>
    <cellStyle name="40% - Accent5 30 3" xfId="11336" xr:uid="{00000000-0005-0000-0000-00008B3D0000}"/>
    <cellStyle name="40% - Accent5 30 3 2" xfId="22624" xr:uid="{00000000-0005-0000-0000-00008C3D0000}"/>
    <cellStyle name="40% - Accent5 30 4" xfId="9342" xr:uid="{00000000-0005-0000-0000-00008D3D0000}"/>
    <cellStyle name="40% - Accent5 30 4 2" xfId="20630" xr:uid="{00000000-0005-0000-0000-00008E3D0000}"/>
    <cellStyle name="40% - Accent5 30 5" xfId="7348" xr:uid="{00000000-0005-0000-0000-00008F3D0000}"/>
    <cellStyle name="40% - Accent5 30 5 2" xfId="18636" xr:uid="{00000000-0005-0000-0000-0000903D0000}"/>
    <cellStyle name="40% - Accent5 30 6" xfId="5354" xr:uid="{00000000-0005-0000-0000-0000913D0000}"/>
    <cellStyle name="40% - Accent5 30 6 2" xfId="16642" xr:uid="{00000000-0005-0000-0000-0000923D0000}"/>
    <cellStyle name="40% - Accent5 30 7" xfId="14648" xr:uid="{00000000-0005-0000-0000-0000933D0000}"/>
    <cellStyle name="40% - Accent5 30 8" xfId="13334" xr:uid="{00000000-0005-0000-0000-0000943D0000}"/>
    <cellStyle name="40% - Accent5 31" xfId="1399" xr:uid="{00000000-0005-0000-0000-0000953D0000}"/>
    <cellStyle name="40% - Accent5 31 2" xfId="4355" xr:uid="{00000000-0005-0000-0000-0000963D0000}"/>
    <cellStyle name="40% - Accent5 31 2 2" xfId="12334" xr:uid="{00000000-0005-0000-0000-0000973D0000}"/>
    <cellStyle name="40% - Accent5 31 2 2 2" xfId="23622" xr:uid="{00000000-0005-0000-0000-0000983D0000}"/>
    <cellStyle name="40% - Accent5 31 2 3" xfId="10340" xr:uid="{00000000-0005-0000-0000-0000993D0000}"/>
    <cellStyle name="40% - Accent5 31 2 3 2" xfId="21628" xr:uid="{00000000-0005-0000-0000-00009A3D0000}"/>
    <cellStyle name="40% - Accent5 31 2 4" xfId="8346" xr:uid="{00000000-0005-0000-0000-00009B3D0000}"/>
    <cellStyle name="40% - Accent5 31 2 4 2" xfId="19634" xr:uid="{00000000-0005-0000-0000-00009C3D0000}"/>
    <cellStyle name="40% - Accent5 31 2 5" xfId="6352" xr:uid="{00000000-0005-0000-0000-00009D3D0000}"/>
    <cellStyle name="40% - Accent5 31 2 5 2" xfId="17640" xr:uid="{00000000-0005-0000-0000-00009E3D0000}"/>
    <cellStyle name="40% - Accent5 31 2 6" xfId="15646" xr:uid="{00000000-0005-0000-0000-00009F3D0000}"/>
    <cellStyle name="40% - Accent5 31 3" xfId="11337" xr:uid="{00000000-0005-0000-0000-0000A03D0000}"/>
    <cellStyle name="40% - Accent5 31 3 2" xfId="22625" xr:uid="{00000000-0005-0000-0000-0000A13D0000}"/>
    <cellStyle name="40% - Accent5 31 4" xfId="9343" xr:uid="{00000000-0005-0000-0000-0000A23D0000}"/>
    <cellStyle name="40% - Accent5 31 4 2" xfId="20631" xr:uid="{00000000-0005-0000-0000-0000A33D0000}"/>
    <cellStyle name="40% - Accent5 31 5" xfId="7349" xr:uid="{00000000-0005-0000-0000-0000A43D0000}"/>
    <cellStyle name="40% - Accent5 31 5 2" xfId="18637" xr:uid="{00000000-0005-0000-0000-0000A53D0000}"/>
    <cellStyle name="40% - Accent5 31 6" xfId="5355" xr:uid="{00000000-0005-0000-0000-0000A63D0000}"/>
    <cellStyle name="40% - Accent5 31 6 2" xfId="16643" xr:uid="{00000000-0005-0000-0000-0000A73D0000}"/>
    <cellStyle name="40% - Accent5 31 7" xfId="14649" xr:uid="{00000000-0005-0000-0000-0000A83D0000}"/>
    <cellStyle name="40% - Accent5 31 8" xfId="13335" xr:uid="{00000000-0005-0000-0000-0000A93D0000}"/>
    <cellStyle name="40% - Accent5 32" xfId="1400" xr:uid="{00000000-0005-0000-0000-0000AA3D0000}"/>
    <cellStyle name="40% - Accent5 32 2" xfId="4356" xr:uid="{00000000-0005-0000-0000-0000AB3D0000}"/>
    <cellStyle name="40% - Accent5 32 2 2" xfId="12335" xr:uid="{00000000-0005-0000-0000-0000AC3D0000}"/>
    <cellStyle name="40% - Accent5 32 2 2 2" xfId="23623" xr:uid="{00000000-0005-0000-0000-0000AD3D0000}"/>
    <cellStyle name="40% - Accent5 32 2 3" xfId="10341" xr:uid="{00000000-0005-0000-0000-0000AE3D0000}"/>
    <cellStyle name="40% - Accent5 32 2 3 2" xfId="21629" xr:uid="{00000000-0005-0000-0000-0000AF3D0000}"/>
    <cellStyle name="40% - Accent5 32 2 4" xfId="8347" xr:uid="{00000000-0005-0000-0000-0000B03D0000}"/>
    <cellStyle name="40% - Accent5 32 2 4 2" xfId="19635" xr:uid="{00000000-0005-0000-0000-0000B13D0000}"/>
    <cellStyle name="40% - Accent5 32 2 5" xfId="6353" xr:uid="{00000000-0005-0000-0000-0000B23D0000}"/>
    <cellStyle name="40% - Accent5 32 2 5 2" xfId="17641" xr:uid="{00000000-0005-0000-0000-0000B33D0000}"/>
    <cellStyle name="40% - Accent5 32 2 6" xfId="15647" xr:uid="{00000000-0005-0000-0000-0000B43D0000}"/>
    <cellStyle name="40% - Accent5 32 3" xfId="11338" xr:uid="{00000000-0005-0000-0000-0000B53D0000}"/>
    <cellStyle name="40% - Accent5 32 3 2" xfId="22626" xr:uid="{00000000-0005-0000-0000-0000B63D0000}"/>
    <cellStyle name="40% - Accent5 32 4" xfId="9344" xr:uid="{00000000-0005-0000-0000-0000B73D0000}"/>
    <cellStyle name="40% - Accent5 32 4 2" xfId="20632" xr:uid="{00000000-0005-0000-0000-0000B83D0000}"/>
    <cellStyle name="40% - Accent5 32 5" xfId="7350" xr:uid="{00000000-0005-0000-0000-0000B93D0000}"/>
    <cellStyle name="40% - Accent5 32 5 2" xfId="18638" xr:uid="{00000000-0005-0000-0000-0000BA3D0000}"/>
    <cellStyle name="40% - Accent5 32 6" xfId="5356" xr:uid="{00000000-0005-0000-0000-0000BB3D0000}"/>
    <cellStyle name="40% - Accent5 32 6 2" xfId="16644" xr:uid="{00000000-0005-0000-0000-0000BC3D0000}"/>
    <cellStyle name="40% - Accent5 32 7" xfId="14650" xr:uid="{00000000-0005-0000-0000-0000BD3D0000}"/>
    <cellStyle name="40% - Accent5 32 8" xfId="13336" xr:uid="{00000000-0005-0000-0000-0000BE3D0000}"/>
    <cellStyle name="40% - Accent5 33" xfId="1401" xr:uid="{00000000-0005-0000-0000-0000BF3D0000}"/>
    <cellStyle name="40% - Accent5 33 2" xfId="4357" xr:uid="{00000000-0005-0000-0000-0000C03D0000}"/>
    <cellStyle name="40% - Accent5 33 2 2" xfId="12336" xr:uid="{00000000-0005-0000-0000-0000C13D0000}"/>
    <cellStyle name="40% - Accent5 33 2 2 2" xfId="23624" xr:uid="{00000000-0005-0000-0000-0000C23D0000}"/>
    <cellStyle name="40% - Accent5 33 2 3" xfId="10342" xr:uid="{00000000-0005-0000-0000-0000C33D0000}"/>
    <cellStyle name="40% - Accent5 33 2 3 2" xfId="21630" xr:uid="{00000000-0005-0000-0000-0000C43D0000}"/>
    <cellStyle name="40% - Accent5 33 2 4" xfId="8348" xr:uid="{00000000-0005-0000-0000-0000C53D0000}"/>
    <cellStyle name="40% - Accent5 33 2 4 2" xfId="19636" xr:uid="{00000000-0005-0000-0000-0000C63D0000}"/>
    <cellStyle name="40% - Accent5 33 2 5" xfId="6354" xr:uid="{00000000-0005-0000-0000-0000C73D0000}"/>
    <cellStyle name="40% - Accent5 33 2 5 2" xfId="17642" xr:uid="{00000000-0005-0000-0000-0000C83D0000}"/>
    <cellStyle name="40% - Accent5 33 2 6" xfId="15648" xr:uid="{00000000-0005-0000-0000-0000C93D0000}"/>
    <cellStyle name="40% - Accent5 33 3" xfId="11339" xr:uid="{00000000-0005-0000-0000-0000CA3D0000}"/>
    <cellStyle name="40% - Accent5 33 3 2" xfId="22627" xr:uid="{00000000-0005-0000-0000-0000CB3D0000}"/>
    <cellStyle name="40% - Accent5 33 4" xfId="9345" xr:uid="{00000000-0005-0000-0000-0000CC3D0000}"/>
    <cellStyle name="40% - Accent5 33 4 2" xfId="20633" xr:uid="{00000000-0005-0000-0000-0000CD3D0000}"/>
    <cellStyle name="40% - Accent5 33 5" xfId="7351" xr:uid="{00000000-0005-0000-0000-0000CE3D0000}"/>
    <cellStyle name="40% - Accent5 33 5 2" xfId="18639" xr:uid="{00000000-0005-0000-0000-0000CF3D0000}"/>
    <cellStyle name="40% - Accent5 33 6" xfId="5357" xr:uid="{00000000-0005-0000-0000-0000D03D0000}"/>
    <cellStyle name="40% - Accent5 33 6 2" xfId="16645" xr:uid="{00000000-0005-0000-0000-0000D13D0000}"/>
    <cellStyle name="40% - Accent5 33 7" xfId="14651" xr:uid="{00000000-0005-0000-0000-0000D23D0000}"/>
    <cellStyle name="40% - Accent5 33 8" xfId="13337" xr:uid="{00000000-0005-0000-0000-0000D33D0000}"/>
    <cellStyle name="40% - Accent5 34" xfId="1402" xr:uid="{00000000-0005-0000-0000-0000D43D0000}"/>
    <cellStyle name="40% - Accent5 34 2" xfId="4358" xr:uid="{00000000-0005-0000-0000-0000D53D0000}"/>
    <cellStyle name="40% - Accent5 34 2 2" xfId="12337" xr:uid="{00000000-0005-0000-0000-0000D63D0000}"/>
    <cellStyle name="40% - Accent5 34 2 2 2" xfId="23625" xr:uid="{00000000-0005-0000-0000-0000D73D0000}"/>
    <cellStyle name="40% - Accent5 34 2 3" xfId="10343" xr:uid="{00000000-0005-0000-0000-0000D83D0000}"/>
    <cellStyle name="40% - Accent5 34 2 3 2" xfId="21631" xr:uid="{00000000-0005-0000-0000-0000D93D0000}"/>
    <cellStyle name="40% - Accent5 34 2 4" xfId="8349" xr:uid="{00000000-0005-0000-0000-0000DA3D0000}"/>
    <cellStyle name="40% - Accent5 34 2 4 2" xfId="19637" xr:uid="{00000000-0005-0000-0000-0000DB3D0000}"/>
    <cellStyle name="40% - Accent5 34 2 5" xfId="6355" xr:uid="{00000000-0005-0000-0000-0000DC3D0000}"/>
    <cellStyle name="40% - Accent5 34 2 5 2" xfId="17643" xr:uid="{00000000-0005-0000-0000-0000DD3D0000}"/>
    <cellStyle name="40% - Accent5 34 2 6" xfId="15649" xr:uid="{00000000-0005-0000-0000-0000DE3D0000}"/>
    <cellStyle name="40% - Accent5 34 3" xfId="11340" xr:uid="{00000000-0005-0000-0000-0000DF3D0000}"/>
    <cellStyle name="40% - Accent5 34 3 2" xfId="22628" xr:uid="{00000000-0005-0000-0000-0000E03D0000}"/>
    <cellStyle name="40% - Accent5 34 4" xfId="9346" xr:uid="{00000000-0005-0000-0000-0000E13D0000}"/>
    <cellStyle name="40% - Accent5 34 4 2" xfId="20634" xr:uid="{00000000-0005-0000-0000-0000E23D0000}"/>
    <cellStyle name="40% - Accent5 34 5" xfId="7352" xr:uid="{00000000-0005-0000-0000-0000E33D0000}"/>
    <cellStyle name="40% - Accent5 34 5 2" xfId="18640" xr:uid="{00000000-0005-0000-0000-0000E43D0000}"/>
    <cellStyle name="40% - Accent5 34 6" xfId="5358" xr:uid="{00000000-0005-0000-0000-0000E53D0000}"/>
    <cellStyle name="40% - Accent5 34 6 2" xfId="16646" xr:uid="{00000000-0005-0000-0000-0000E63D0000}"/>
    <cellStyle name="40% - Accent5 34 7" xfId="14652" xr:uid="{00000000-0005-0000-0000-0000E73D0000}"/>
    <cellStyle name="40% - Accent5 34 8" xfId="13338" xr:uid="{00000000-0005-0000-0000-0000E83D0000}"/>
    <cellStyle name="40% - Accent5 35" xfId="1403" xr:uid="{00000000-0005-0000-0000-0000E93D0000}"/>
    <cellStyle name="40% - Accent5 35 2" xfId="4359" xr:uid="{00000000-0005-0000-0000-0000EA3D0000}"/>
    <cellStyle name="40% - Accent5 35 2 2" xfId="12338" xr:uid="{00000000-0005-0000-0000-0000EB3D0000}"/>
    <cellStyle name="40% - Accent5 35 2 2 2" xfId="23626" xr:uid="{00000000-0005-0000-0000-0000EC3D0000}"/>
    <cellStyle name="40% - Accent5 35 2 3" xfId="10344" xr:uid="{00000000-0005-0000-0000-0000ED3D0000}"/>
    <cellStyle name="40% - Accent5 35 2 3 2" xfId="21632" xr:uid="{00000000-0005-0000-0000-0000EE3D0000}"/>
    <cellStyle name="40% - Accent5 35 2 4" xfId="8350" xr:uid="{00000000-0005-0000-0000-0000EF3D0000}"/>
    <cellStyle name="40% - Accent5 35 2 4 2" xfId="19638" xr:uid="{00000000-0005-0000-0000-0000F03D0000}"/>
    <cellStyle name="40% - Accent5 35 2 5" xfId="6356" xr:uid="{00000000-0005-0000-0000-0000F13D0000}"/>
    <cellStyle name="40% - Accent5 35 2 5 2" xfId="17644" xr:uid="{00000000-0005-0000-0000-0000F23D0000}"/>
    <cellStyle name="40% - Accent5 35 2 6" xfId="15650" xr:uid="{00000000-0005-0000-0000-0000F33D0000}"/>
    <cellStyle name="40% - Accent5 35 3" xfId="11341" xr:uid="{00000000-0005-0000-0000-0000F43D0000}"/>
    <cellStyle name="40% - Accent5 35 3 2" xfId="22629" xr:uid="{00000000-0005-0000-0000-0000F53D0000}"/>
    <cellStyle name="40% - Accent5 35 4" xfId="9347" xr:uid="{00000000-0005-0000-0000-0000F63D0000}"/>
    <cellStyle name="40% - Accent5 35 4 2" xfId="20635" xr:uid="{00000000-0005-0000-0000-0000F73D0000}"/>
    <cellStyle name="40% - Accent5 35 5" xfId="7353" xr:uid="{00000000-0005-0000-0000-0000F83D0000}"/>
    <cellStyle name="40% - Accent5 35 5 2" xfId="18641" xr:uid="{00000000-0005-0000-0000-0000F93D0000}"/>
    <cellStyle name="40% - Accent5 35 6" xfId="5359" xr:uid="{00000000-0005-0000-0000-0000FA3D0000}"/>
    <cellStyle name="40% - Accent5 35 6 2" xfId="16647" xr:uid="{00000000-0005-0000-0000-0000FB3D0000}"/>
    <cellStyle name="40% - Accent5 35 7" xfId="14653" xr:uid="{00000000-0005-0000-0000-0000FC3D0000}"/>
    <cellStyle name="40% - Accent5 35 8" xfId="13339" xr:uid="{00000000-0005-0000-0000-0000FD3D0000}"/>
    <cellStyle name="40% - Accent5 36" xfId="1404" xr:uid="{00000000-0005-0000-0000-0000FE3D0000}"/>
    <cellStyle name="40% - Accent5 36 2" xfId="4360" xr:uid="{00000000-0005-0000-0000-0000FF3D0000}"/>
    <cellStyle name="40% - Accent5 36 2 2" xfId="12339" xr:uid="{00000000-0005-0000-0000-0000003E0000}"/>
    <cellStyle name="40% - Accent5 36 2 2 2" xfId="23627" xr:uid="{00000000-0005-0000-0000-0000013E0000}"/>
    <cellStyle name="40% - Accent5 36 2 3" xfId="10345" xr:uid="{00000000-0005-0000-0000-0000023E0000}"/>
    <cellStyle name="40% - Accent5 36 2 3 2" xfId="21633" xr:uid="{00000000-0005-0000-0000-0000033E0000}"/>
    <cellStyle name="40% - Accent5 36 2 4" xfId="8351" xr:uid="{00000000-0005-0000-0000-0000043E0000}"/>
    <cellStyle name="40% - Accent5 36 2 4 2" xfId="19639" xr:uid="{00000000-0005-0000-0000-0000053E0000}"/>
    <cellStyle name="40% - Accent5 36 2 5" xfId="6357" xr:uid="{00000000-0005-0000-0000-0000063E0000}"/>
    <cellStyle name="40% - Accent5 36 2 5 2" xfId="17645" xr:uid="{00000000-0005-0000-0000-0000073E0000}"/>
    <cellStyle name="40% - Accent5 36 2 6" xfId="15651" xr:uid="{00000000-0005-0000-0000-0000083E0000}"/>
    <cellStyle name="40% - Accent5 36 3" xfId="11342" xr:uid="{00000000-0005-0000-0000-0000093E0000}"/>
    <cellStyle name="40% - Accent5 36 3 2" xfId="22630" xr:uid="{00000000-0005-0000-0000-00000A3E0000}"/>
    <cellStyle name="40% - Accent5 36 4" xfId="9348" xr:uid="{00000000-0005-0000-0000-00000B3E0000}"/>
    <cellStyle name="40% - Accent5 36 4 2" xfId="20636" xr:uid="{00000000-0005-0000-0000-00000C3E0000}"/>
    <cellStyle name="40% - Accent5 36 5" xfId="7354" xr:uid="{00000000-0005-0000-0000-00000D3E0000}"/>
    <cellStyle name="40% - Accent5 36 5 2" xfId="18642" xr:uid="{00000000-0005-0000-0000-00000E3E0000}"/>
    <cellStyle name="40% - Accent5 36 6" xfId="5360" xr:uid="{00000000-0005-0000-0000-00000F3E0000}"/>
    <cellStyle name="40% - Accent5 36 6 2" xfId="16648" xr:uid="{00000000-0005-0000-0000-0000103E0000}"/>
    <cellStyle name="40% - Accent5 36 7" xfId="14654" xr:uid="{00000000-0005-0000-0000-0000113E0000}"/>
    <cellStyle name="40% - Accent5 36 8" xfId="13340" xr:uid="{00000000-0005-0000-0000-0000123E0000}"/>
    <cellStyle name="40% - Accent5 37" xfId="1405" xr:uid="{00000000-0005-0000-0000-0000133E0000}"/>
    <cellStyle name="40% - Accent5 37 2" xfId="4361" xr:uid="{00000000-0005-0000-0000-0000143E0000}"/>
    <cellStyle name="40% - Accent5 37 2 2" xfId="12340" xr:uid="{00000000-0005-0000-0000-0000153E0000}"/>
    <cellStyle name="40% - Accent5 37 2 2 2" xfId="23628" xr:uid="{00000000-0005-0000-0000-0000163E0000}"/>
    <cellStyle name="40% - Accent5 37 2 3" xfId="10346" xr:uid="{00000000-0005-0000-0000-0000173E0000}"/>
    <cellStyle name="40% - Accent5 37 2 3 2" xfId="21634" xr:uid="{00000000-0005-0000-0000-0000183E0000}"/>
    <cellStyle name="40% - Accent5 37 2 4" xfId="8352" xr:uid="{00000000-0005-0000-0000-0000193E0000}"/>
    <cellStyle name="40% - Accent5 37 2 4 2" xfId="19640" xr:uid="{00000000-0005-0000-0000-00001A3E0000}"/>
    <cellStyle name="40% - Accent5 37 2 5" xfId="6358" xr:uid="{00000000-0005-0000-0000-00001B3E0000}"/>
    <cellStyle name="40% - Accent5 37 2 5 2" xfId="17646" xr:uid="{00000000-0005-0000-0000-00001C3E0000}"/>
    <cellStyle name="40% - Accent5 37 2 6" xfId="15652" xr:uid="{00000000-0005-0000-0000-00001D3E0000}"/>
    <cellStyle name="40% - Accent5 37 3" xfId="11343" xr:uid="{00000000-0005-0000-0000-00001E3E0000}"/>
    <cellStyle name="40% - Accent5 37 3 2" xfId="22631" xr:uid="{00000000-0005-0000-0000-00001F3E0000}"/>
    <cellStyle name="40% - Accent5 37 4" xfId="9349" xr:uid="{00000000-0005-0000-0000-0000203E0000}"/>
    <cellStyle name="40% - Accent5 37 4 2" xfId="20637" xr:uid="{00000000-0005-0000-0000-0000213E0000}"/>
    <cellStyle name="40% - Accent5 37 5" xfId="7355" xr:uid="{00000000-0005-0000-0000-0000223E0000}"/>
    <cellStyle name="40% - Accent5 37 5 2" xfId="18643" xr:uid="{00000000-0005-0000-0000-0000233E0000}"/>
    <cellStyle name="40% - Accent5 37 6" xfId="5361" xr:uid="{00000000-0005-0000-0000-0000243E0000}"/>
    <cellStyle name="40% - Accent5 37 6 2" xfId="16649" xr:uid="{00000000-0005-0000-0000-0000253E0000}"/>
    <cellStyle name="40% - Accent5 37 7" xfId="14655" xr:uid="{00000000-0005-0000-0000-0000263E0000}"/>
    <cellStyle name="40% - Accent5 37 8" xfId="13341" xr:uid="{00000000-0005-0000-0000-0000273E0000}"/>
    <cellStyle name="40% - Accent5 38" xfId="1406" xr:uid="{00000000-0005-0000-0000-0000283E0000}"/>
    <cellStyle name="40% - Accent5 38 2" xfId="4362" xr:uid="{00000000-0005-0000-0000-0000293E0000}"/>
    <cellStyle name="40% - Accent5 38 2 2" xfId="12341" xr:uid="{00000000-0005-0000-0000-00002A3E0000}"/>
    <cellStyle name="40% - Accent5 38 2 2 2" xfId="23629" xr:uid="{00000000-0005-0000-0000-00002B3E0000}"/>
    <cellStyle name="40% - Accent5 38 2 3" xfId="10347" xr:uid="{00000000-0005-0000-0000-00002C3E0000}"/>
    <cellStyle name="40% - Accent5 38 2 3 2" xfId="21635" xr:uid="{00000000-0005-0000-0000-00002D3E0000}"/>
    <cellStyle name="40% - Accent5 38 2 4" xfId="8353" xr:uid="{00000000-0005-0000-0000-00002E3E0000}"/>
    <cellStyle name="40% - Accent5 38 2 4 2" xfId="19641" xr:uid="{00000000-0005-0000-0000-00002F3E0000}"/>
    <cellStyle name="40% - Accent5 38 2 5" xfId="6359" xr:uid="{00000000-0005-0000-0000-0000303E0000}"/>
    <cellStyle name="40% - Accent5 38 2 5 2" xfId="17647" xr:uid="{00000000-0005-0000-0000-0000313E0000}"/>
    <cellStyle name="40% - Accent5 38 2 6" xfId="15653" xr:uid="{00000000-0005-0000-0000-0000323E0000}"/>
    <cellStyle name="40% - Accent5 38 3" xfId="11344" xr:uid="{00000000-0005-0000-0000-0000333E0000}"/>
    <cellStyle name="40% - Accent5 38 3 2" xfId="22632" xr:uid="{00000000-0005-0000-0000-0000343E0000}"/>
    <cellStyle name="40% - Accent5 38 4" xfId="9350" xr:uid="{00000000-0005-0000-0000-0000353E0000}"/>
    <cellStyle name="40% - Accent5 38 4 2" xfId="20638" xr:uid="{00000000-0005-0000-0000-0000363E0000}"/>
    <cellStyle name="40% - Accent5 38 5" xfId="7356" xr:uid="{00000000-0005-0000-0000-0000373E0000}"/>
    <cellStyle name="40% - Accent5 38 5 2" xfId="18644" xr:uid="{00000000-0005-0000-0000-0000383E0000}"/>
    <cellStyle name="40% - Accent5 38 6" xfId="5362" xr:uid="{00000000-0005-0000-0000-0000393E0000}"/>
    <cellStyle name="40% - Accent5 38 6 2" xfId="16650" xr:uid="{00000000-0005-0000-0000-00003A3E0000}"/>
    <cellStyle name="40% - Accent5 38 7" xfId="14656" xr:uid="{00000000-0005-0000-0000-00003B3E0000}"/>
    <cellStyle name="40% - Accent5 38 8" xfId="13342" xr:uid="{00000000-0005-0000-0000-00003C3E0000}"/>
    <cellStyle name="40% - Accent5 39" xfId="1407" xr:uid="{00000000-0005-0000-0000-00003D3E0000}"/>
    <cellStyle name="40% - Accent5 39 2" xfId="4363" xr:uid="{00000000-0005-0000-0000-00003E3E0000}"/>
    <cellStyle name="40% - Accent5 39 2 2" xfId="12342" xr:uid="{00000000-0005-0000-0000-00003F3E0000}"/>
    <cellStyle name="40% - Accent5 39 2 2 2" xfId="23630" xr:uid="{00000000-0005-0000-0000-0000403E0000}"/>
    <cellStyle name="40% - Accent5 39 2 3" xfId="10348" xr:uid="{00000000-0005-0000-0000-0000413E0000}"/>
    <cellStyle name="40% - Accent5 39 2 3 2" xfId="21636" xr:uid="{00000000-0005-0000-0000-0000423E0000}"/>
    <cellStyle name="40% - Accent5 39 2 4" xfId="8354" xr:uid="{00000000-0005-0000-0000-0000433E0000}"/>
    <cellStyle name="40% - Accent5 39 2 4 2" xfId="19642" xr:uid="{00000000-0005-0000-0000-0000443E0000}"/>
    <cellStyle name="40% - Accent5 39 2 5" xfId="6360" xr:uid="{00000000-0005-0000-0000-0000453E0000}"/>
    <cellStyle name="40% - Accent5 39 2 5 2" xfId="17648" xr:uid="{00000000-0005-0000-0000-0000463E0000}"/>
    <cellStyle name="40% - Accent5 39 2 6" xfId="15654" xr:uid="{00000000-0005-0000-0000-0000473E0000}"/>
    <cellStyle name="40% - Accent5 39 3" xfId="11345" xr:uid="{00000000-0005-0000-0000-0000483E0000}"/>
    <cellStyle name="40% - Accent5 39 3 2" xfId="22633" xr:uid="{00000000-0005-0000-0000-0000493E0000}"/>
    <cellStyle name="40% - Accent5 39 4" xfId="9351" xr:uid="{00000000-0005-0000-0000-00004A3E0000}"/>
    <cellStyle name="40% - Accent5 39 4 2" xfId="20639" xr:uid="{00000000-0005-0000-0000-00004B3E0000}"/>
    <cellStyle name="40% - Accent5 39 5" xfId="7357" xr:uid="{00000000-0005-0000-0000-00004C3E0000}"/>
    <cellStyle name="40% - Accent5 39 5 2" xfId="18645" xr:uid="{00000000-0005-0000-0000-00004D3E0000}"/>
    <cellStyle name="40% - Accent5 39 6" xfId="5363" xr:uid="{00000000-0005-0000-0000-00004E3E0000}"/>
    <cellStyle name="40% - Accent5 39 6 2" xfId="16651" xr:uid="{00000000-0005-0000-0000-00004F3E0000}"/>
    <cellStyle name="40% - Accent5 39 7" xfId="14657" xr:uid="{00000000-0005-0000-0000-0000503E0000}"/>
    <cellStyle name="40% - Accent5 39 8" xfId="13343" xr:uid="{00000000-0005-0000-0000-0000513E0000}"/>
    <cellStyle name="40% - Accent5 4" xfId="1408" xr:uid="{00000000-0005-0000-0000-0000523E0000}"/>
    <cellStyle name="40% - Accent5 4 10" xfId="24621" xr:uid="{00000000-0005-0000-0000-0000533E0000}"/>
    <cellStyle name="40% - Accent5 4 11" xfId="25011" xr:uid="{00000000-0005-0000-0000-0000543E0000}"/>
    <cellStyle name="40% - Accent5 4 2" xfId="4364" xr:uid="{00000000-0005-0000-0000-0000553E0000}"/>
    <cellStyle name="40% - Accent5 4 2 2" xfId="12343" xr:uid="{00000000-0005-0000-0000-0000563E0000}"/>
    <cellStyle name="40% - Accent5 4 2 2 2" xfId="23631" xr:uid="{00000000-0005-0000-0000-0000573E0000}"/>
    <cellStyle name="40% - Accent5 4 2 3" xfId="10349" xr:uid="{00000000-0005-0000-0000-0000583E0000}"/>
    <cellStyle name="40% - Accent5 4 2 3 2" xfId="21637" xr:uid="{00000000-0005-0000-0000-0000593E0000}"/>
    <cellStyle name="40% - Accent5 4 2 4" xfId="8355" xr:uid="{00000000-0005-0000-0000-00005A3E0000}"/>
    <cellStyle name="40% - Accent5 4 2 4 2" xfId="19643" xr:uid="{00000000-0005-0000-0000-00005B3E0000}"/>
    <cellStyle name="40% - Accent5 4 2 5" xfId="6361" xr:uid="{00000000-0005-0000-0000-00005C3E0000}"/>
    <cellStyle name="40% - Accent5 4 2 5 2" xfId="17649" xr:uid="{00000000-0005-0000-0000-00005D3E0000}"/>
    <cellStyle name="40% - Accent5 4 2 6" xfId="15655" xr:uid="{00000000-0005-0000-0000-00005E3E0000}"/>
    <cellStyle name="40% - Accent5 4 2 7" xfId="24382" xr:uid="{00000000-0005-0000-0000-00005F3E0000}"/>
    <cellStyle name="40% - Accent5 4 2 8" xfId="24846" xr:uid="{00000000-0005-0000-0000-0000603E0000}"/>
    <cellStyle name="40% - Accent5 4 2 9" xfId="25213" xr:uid="{00000000-0005-0000-0000-0000613E0000}"/>
    <cellStyle name="40% - Accent5 4 3" xfId="11346" xr:uid="{00000000-0005-0000-0000-0000623E0000}"/>
    <cellStyle name="40% - Accent5 4 3 2" xfId="22634" xr:uid="{00000000-0005-0000-0000-0000633E0000}"/>
    <cellStyle name="40% - Accent5 4 4" xfId="9352" xr:uid="{00000000-0005-0000-0000-0000643E0000}"/>
    <cellStyle name="40% - Accent5 4 4 2" xfId="20640" xr:uid="{00000000-0005-0000-0000-0000653E0000}"/>
    <cellStyle name="40% - Accent5 4 5" xfId="7358" xr:uid="{00000000-0005-0000-0000-0000663E0000}"/>
    <cellStyle name="40% - Accent5 4 5 2" xfId="18646" xr:uid="{00000000-0005-0000-0000-0000673E0000}"/>
    <cellStyle name="40% - Accent5 4 6" xfId="5364" xr:uid="{00000000-0005-0000-0000-0000683E0000}"/>
    <cellStyle name="40% - Accent5 4 6 2" xfId="16652" xr:uid="{00000000-0005-0000-0000-0000693E0000}"/>
    <cellStyle name="40% - Accent5 4 7" xfId="14658" xr:uid="{00000000-0005-0000-0000-00006A3E0000}"/>
    <cellStyle name="40% - Accent5 4 8" xfId="13344" xr:uid="{00000000-0005-0000-0000-00006B3E0000}"/>
    <cellStyle name="40% - Accent5 4 9" xfId="23994" xr:uid="{00000000-0005-0000-0000-00006C3E0000}"/>
    <cellStyle name="40% - Accent5 40" xfId="1409" xr:uid="{00000000-0005-0000-0000-00006D3E0000}"/>
    <cellStyle name="40% - Accent5 40 2" xfId="4365" xr:uid="{00000000-0005-0000-0000-00006E3E0000}"/>
    <cellStyle name="40% - Accent5 40 2 2" xfId="12344" xr:uid="{00000000-0005-0000-0000-00006F3E0000}"/>
    <cellStyle name="40% - Accent5 40 2 2 2" xfId="23632" xr:uid="{00000000-0005-0000-0000-0000703E0000}"/>
    <cellStyle name="40% - Accent5 40 2 3" xfId="10350" xr:uid="{00000000-0005-0000-0000-0000713E0000}"/>
    <cellStyle name="40% - Accent5 40 2 3 2" xfId="21638" xr:uid="{00000000-0005-0000-0000-0000723E0000}"/>
    <cellStyle name="40% - Accent5 40 2 4" xfId="8356" xr:uid="{00000000-0005-0000-0000-0000733E0000}"/>
    <cellStyle name="40% - Accent5 40 2 4 2" xfId="19644" xr:uid="{00000000-0005-0000-0000-0000743E0000}"/>
    <cellStyle name="40% - Accent5 40 2 5" xfId="6362" xr:uid="{00000000-0005-0000-0000-0000753E0000}"/>
    <cellStyle name="40% - Accent5 40 2 5 2" xfId="17650" xr:uid="{00000000-0005-0000-0000-0000763E0000}"/>
    <cellStyle name="40% - Accent5 40 2 6" xfId="15656" xr:uid="{00000000-0005-0000-0000-0000773E0000}"/>
    <cellStyle name="40% - Accent5 40 3" xfId="11347" xr:uid="{00000000-0005-0000-0000-0000783E0000}"/>
    <cellStyle name="40% - Accent5 40 3 2" xfId="22635" xr:uid="{00000000-0005-0000-0000-0000793E0000}"/>
    <cellStyle name="40% - Accent5 40 4" xfId="9353" xr:uid="{00000000-0005-0000-0000-00007A3E0000}"/>
    <cellStyle name="40% - Accent5 40 4 2" xfId="20641" xr:uid="{00000000-0005-0000-0000-00007B3E0000}"/>
    <cellStyle name="40% - Accent5 40 5" xfId="7359" xr:uid="{00000000-0005-0000-0000-00007C3E0000}"/>
    <cellStyle name="40% - Accent5 40 5 2" xfId="18647" xr:uid="{00000000-0005-0000-0000-00007D3E0000}"/>
    <cellStyle name="40% - Accent5 40 6" xfId="5365" xr:uid="{00000000-0005-0000-0000-00007E3E0000}"/>
    <cellStyle name="40% - Accent5 40 6 2" xfId="16653" xr:uid="{00000000-0005-0000-0000-00007F3E0000}"/>
    <cellStyle name="40% - Accent5 40 7" xfId="14659" xr:uid="{00000000-0005-0000-0000-0000803E0000}"/>
    <cellStyle name="40% - Accent5 40 8" xfId="13345" xr:uid="{00000000-0005-0000-0000-0000813E0000}"/>
    <cellStyle name="40% - Accent5 41" xfId="1410" xr:uid="{00000000-0005-0000-0000-0000823E0000}"/>
    <cellStyle name="40% - Accent5 41 2" xfId="4366" xr:uid="{00000000-0005-0000-0000-0000833E0000}"/>
    <cellStyle name="40% - Accent5 41 2 2" xfId="12345" xr:uid="{00000000-0005-0000-0000-0000843E0000}"/>
    <cellStyle name="40% - Accent5 41 2 2 2" xfId="23633" xr:uid="{00000000-0005-0000-0000-0000853E0000}"/>
    <cellStyle name="40% - Accent5 41 2 3" xfId="10351" xr:uid="{00000000-0005-0000-0000-0000863E0000}"/>
    <cellStyle name="40% - Accent5 41 2 3 2" xfId="21639" xr:uid="{00000000-0005-0000-0000-0000873E0000}"/>
    <cellStyle name="40% - Accent5 41 2 4" xfId="8357" xr:uid="{00000000-0005-0000-0000-0000883E0000}"/>
    <cellStyle name="40% - Accent5 41 2 4 2" xfId="19645" xr:uid="{00000000-0005-0000-0000-0000893E0000}"/>
    <cellStyle name="40% - Accent5 41 2 5" xfId="6363" xr:uid="{00000000-0005-0000-0000-00008A3E0000}"/>
    <cellStyle name="40% - Accent5 41 2 5 2" xfId="17651" xr:uid="{00000000-0005-0000-0000-00008B3E0000}"/>
    <cellStyle name="40% - Accent5 41 2 6" xfId="15657" xr:uid="{00000000-0005-0000-0000-00008C3E0000}"/>
    <cellStyle name="40% - Accent5 41 3" xfId="11348" xr:uid="{00000000-0005-0000-0000-00008D3E0000}"/>
    <cellStyle name="40% - Accent5 41 3 2" xfId="22636" xr:uid="{00000000-0005-0000-0000-00008E3E0000}"/>
    <cellStyle name="40% - Accent5 41 4" xfId="9354" xr:uid="{00000000-0005-0000-0000-00008F3E0000}"/>
    <cellStyle name="40% - Accent5 41 4 2" xfId="20642" xr:uid="{00000000-0005-0000-0000-0000903E0000}"/>
    <cellStyle name="40% - Accent5 41 5" xfId="7360" xr:uid="{00000000-0005-0000-0000-0000913E0000}"/>
    <cellStyle name="40% - Accent5 41 5 2" xfId="18648" xr:uid="{00000000-0005-0000-0000-0000923E0000}"/>
    <cellStyle name="40% - Accent5 41 6" xfId="5366" xr:uid="{00000000-0005-0000-0000-0000933E0000}"/>
    <cellStyle name="40% - Accent5 41 6 2" xfId="16654" xr:uid="{00000000-0005-0000-0000-0000943E0000}"/>
    <cellStyle name="40% - Accent5 41 7" xfId="14660" xr:uid="{00000000-0005-0000-0000-0000953E0000}"/>
    <cellStyle name="40% - Accent5 41 8" xfId="13346" xr:uid="{00000000-0005-0000-0000-0000963E0000}"/>
    <cellStyle name="40% - Accent5 42" xfId="1411" xr:uid="{00000000-0005-0000-0000-0000973E0000}"/>
    <cellStyle name="40% - Accent5 42 2" xfId="4367" xr:uid="{00000000-0005-0000-0000-0000983E0000}"/>
    <cellStyle name="40% - Accent5 42 2 2" xfId="12346" xr:uid="{00000000-0005-0000-0000-0000993E0000}"/>
    <cellStyle name="40% - Accent5 42 2 2 2" xfId="23634" xr:uid="{00000000-0005-0000-0000-00009A3E0000}"/>
    <cellStyle name="40% - Accent5 42 2 3" xfId="10352" xr:uid="{00000000-0005-0000-0000-00009B3E0000}"/>
    <cellStyle name="40% - Accent5 42 2 3 2" xfId="21640" xr:uid="{00000000-0005-0000-0000-00009C3E0000}"/>
    <cellStyle name="40% - Accent5 42 2 4" xfId="8358" xr:uid="{00000000-0005-0000-0000-00009D3E0000}"/>
    <cellStyle name="40% - Accent5 42 2 4 2" xfId="19646" xr:uid="{00000000-0005-0000-0000-00009E3E0000}"/>
    <cellStyle name="40% - Accent5 42 2 5" xfId="6364" xr:uid="{00000000-0005-0000-0000-00009F3E0000}"/>
    <cellStyle name="40% - Accent5 42 2 5 2" xfId="17652" xr:uid="{00000000-0005-0000-0000-0000A03E0000}"/>
    <cellStyle name="40% - Accent5 42 2 6" xfId="15658" xr:uid="{00000000-0005-0000-0000-0000A13E0000}"/>
    <cellStyle name="40% - Accent5 42 3" xfId="11349" xr:uid="{00000000-0005-0000-0000-0000A23E0000}"/>
    <cellStyle name="40% - Accent5 42 3 2" xfId="22637" xr:uid="{00000000-0005-0000-0000-0000A33E0000}"/>
    <cellStyle name="40% - Accent5 42 4" xfId="9355" xr:uid="{00000000-0005-0000-0000-0000A43E0000}"/>
    <cellStyle name="40% - Accent5 42 4 2" xfId="20643" xr:uid="{00000000-0005-0000-0000-0000A53E0000}"/>
    <cellStyle name="40% - Accent5 42 5" xfId="7361" xr:uid="{00000000-0005-0000-0000-0000A63E0000}"/>
    <cellStyle name="40% - Accent5 42 5 2" xfId="18649" xr:uid="{00000000-0005-0000-0000-0000A73E0000}"/>
    <cellStyle name="40% - Accent5 42 6" xfId="5367" xr:uid="{00000000-0005-0000-0000-0000A83E0000}"/>
    <cellStyle name="40% - Accent5 42 6 2" xfId="16655" xr:uid="{00000000-0005-0000-0000-0000A93E0000}"/>
    <cellStyle name="40% - Accent5 42 7" xfId="14661" xr:uid="{00000000-0005-0000-0000-0000AA3E0000}"/>
    <cellStyle name="40% - Accent5 42 8" xfId="13347" xr:uid="{00000000-0005-0000-0000-0000AB3E0000}"/>
    <cellStyle name="40% - Accent5 43" xfId="1412" xr:uid="{00000000-0005-0000-0000-0000AC3E0000}"/>
    <cellStyle name="40% - Accent5 43 2" xfId="4368" xr:uid="{00000000-0005-0000-0000-0000AD3E0000}"/>
    <cellStyle name="40% - Accent5 43 2 2" xfId="12347" xr:uid="{00000000-0005-0000-0000-0000AE3E0000}"/>
    <cellStyle name="40% - Accent5 43 2 2 2" xfId="23635" xr:uid="{00000000-0005-0000-0000-0000AF3E0000}"/>
    <cellStyle name="40% - Accent5 43 2 3" xfId="10353" xr:uid="{00000000-0005-0000-0000-0000B03E0000}"/>
    <cellStyle name="40% - Accent5 43 2 3 2" xfId="21641" xr:uid="{00000000-0005-0000-0000-0000B13E0000}"/>
    <cellStyle name="40% - Accent5 43 2 4" xfId="8359" xr:uid="{00000000-0005-0000-0000-0000B23E0000}"/>
    <cellStyle name="40% - Accent5 43 2 4 2" xfId="19647" xr:uid="{00000000-0005-0000-0000-0000B33E0000}"/>
    <cellStyle name="40% - Accent5 43 2 5" xfId="6365" xr:uid="{00000000-0005-0000-0000-0000B43E0000}"/>
    <cellStyle name="40% - Accent5 43 2 5 2" xfId="17653" xr:uid="{00000000-0005-0000-0000-0000B53E0000}"/>
    <cellStyle name="40% - Accent5 43 2 6" xfId="15659" xr:uid="{00000000-0005-0000-0000-0000B63E0000}"/>
    <cellStyle name="40% - Accent5 43 3" xfId="11350" xr:uid="{00000000-0005-0000-0000-0000B73E0000}"/>
    <cellStyle name="40% - Accent5 43 3 2" xfId="22638" xr:uid="{00000000-0005-0000-0000-0000B83E0000}"/>
    <cellStyle name="40% - Accent5 43 4" xfId="9356" xr:uid="{00000000-0005-0000-0000-0000B93E0000}"/>
    <cellStyle name="40% - Accent5 43 4 2" xfId="20644" xr:uid="{00000000-0005-0000-0000-0000BA3E0000}"/>
    <cellStyle name="40% - Accent5 43 5" xfId="7362" xr:uid="{00000000-0005-0000-0000-0000BB3E0000}"/>
    <cellStyle name="40% - Accent5 43 5 2" xfId="18650" xr:uid="{00000000-0005-0000-0000-0000BC3E0000}"/>
    <cellStyle name="40% - Accent5 43 6" xfId="5368" xr:uid="{00000000-0005-0000-0000-0000BD3E0000}"/>
    <cellStyle name="40% - Accent5 43 6 2" xfId="16656" xr:uid="{00000000-0005-0000-0000-0000BE3E0000}"/>
    <cellStyle name="40% - Accent5 43 7" xfId="14662" xr:uid="{00000000-0005-0000-0000-0000BF3E0000}"/>
    <cellStyle name="40% - Accent5 43 8" xfId="13348" xr:uid="{00000000-0005-0000-0000-0000C03E0000}"/>
    <cellStyle name="40% - Accent5 44" xfId="1413" xr:uid="{00000000-0005-0000-0000-0000C13E0000}"/>
    <cellStyle name="40% - Accent5 44 2" xfId="4369" xr:uid="{00000000-0005-0000-0000-0000C23E0000}"/>
    <cellStyle name="40% - Accent5 44 2 2" xfId="12348" xr:uid="{00000000-0005-0000-0000-0000C33E0000}"/>
    <cellStyle name="40% - Accent5 44 2 2 2" xfId="23636" xr:uid="{00000000-0005-0000-0000-0000C43E0000}"/>
    <cellStyle name="40% - Accent5 44 2 3" xfId="10354" xr:uid="{00000000-0005-0000-0000-0000C53E0000}"/>
    <cellStyle name="40% - Accent5 44 2 3 2" xfId="21642" xr:uid="{00000000-0005-0000-0000-0000C63E0000}"/>
    <cellStyle name="40% - Accent5 44 2 4" xfId="8360" xr:uid="{00000000-0005-0000-0000-0000C73E0000}"/>
    <cellStyle name="40% - Accent5 44 2 4 2" xfId="19648" xr:uid="{00000000-0005-0000-0000-0000C83E0000}"/>
    <cellStyle name="40% - Accent5 44 2 5" xfId="6366" xr:uid="{00000000-0005-0000-0000-0000C93E0000}"/>
    <cellStyle name="40% - Accent5 44 2 5 2" xfId="17654" xr:uid="{00000000-0005-0000-0000-0000CA3E0000}"/>
    <cellStyle name="40% - Accent5 44 2 6" xfId="15660" xr:uid="{00000000-0005-0000-0000-0000CB3E0000}"/>
    <cellStyle name="40% - Accent5 44 3" xfId="11351" xr:uid="{00000000-0005-0000-0000-0000CC3E0000}"/>
    <cellStyle name="40% - Accent5 44 3 2" xfId="22639" xr:uid="{00000000-0005-0000-0000-0000CD3E0000}"/>
    <cellStyle name="40% - Accent5 44 4" xfId="9357" xr:uid="{00000000-0005-0000-0000-0000CE3E0000}"/>
    <cellStyle name="40% - Accent5 44 4 2" xfId="20645" xr:uid="{00000000-0005-0000-0000-0000CF3E0000}"/>
    <cellStyle name="40% - Accent5 44 5" xfId="7363" xr:uid="{00000000-0005-0000-0000-0000D03E0000}"/>
    <cellStyle name="40% - Accent5 44 5 2" xfId="18651" xr:uid="{00000000-0005-0000-0000-0000D13E0000}"/>
    <cellStyle name="40% - Accent5 44 6" xfId="5369" xr:uid="{00000000-0005-0000-0000-0000D23E0000}"/>
    <cellStyle name="40% - Accent5 44 6 2" xfId="16657" xr:uid="{00000000-0005-0000-0000-0000D33E0000}"/>
    <cellStyle name="40% - Accent5 44 7" xfId="14663" xr:uid="{00000000-0005-0000-0000-0000D43E0000}"/>
    <cellStyle name="40% - Accent5 44 8" xfId="13349" xr:uid="{00000000-0005-0000-0000-0000D53E0000}"/>
    <cellStyle name="40% - Accent5 45" xfId="1414" xr:uid="{00000000-0005-0000-0000-0000D63E0000}"/>
    <cellStyle name="40% - Accent5 45 2" xfId="4370" xr:uid="{00000000-0005-0000-0000-0000D73E0000}"/>
    <cellStyle name="40% - Accent5 45 2 2" xfId="12349" xr:uid="{00000000-0005-0000-0000-0000D83E0000}"/>
    <cellStyle name="40% - Accent5 45 2 2 2" xfId="23637" xr:uid="{00000000-0005-0000-0000-0000D93E0000}"/>
    <cellStyle name="40% - Accent5 45 2 3" xfId="10355" xr:uid="{00000000-0005-0000-0000-0000DA3E0000}"/>
    <cellStyle name="40% - Accent5 45 2 3 2" xfId="21643" xr:uid="{00000000-0005-0000-0000-0000DB3E0000}"/>
    <cellStyle name="40% - Accent5 45 2 4" xfId="8361" xr:uid="{00000000-0005-0000-0000-0000DC3E0000}"/>
    <cellStyle name="40% - Accent5 45 2 4 2" xfId="19649" xr:uid="{00000000-0005-0000-0000-0000DD3E0000}"/>
    <cellStyle name="40% - Accent5 45 2 5" xfId="6367" xr:uid="{00000000-0005-0000-0000-0000DE3E0000}"/>
    <cellStyle name="40% - Accent5 45 2 5 2" xfId="17655" xr:uid="{00000000-0005-0000-0000-0000DF3E0000}"/>
    <cellStyle name="40% - Accent5 45 2 6" xfId="15661" xr:uid="{00000000-0005-0000-0000-0000E03E0000}"/>
    <cellStyle name="40% - Accent5 45 3" xfId="11352" xr:uid="{00000000-0005-0000-0000-0000E13E0000}"/>
    <cellStyle name="40% - Accent5 45 3 2" xfId="22640" xr:uid="{00000000-0005-0000-0000-0000E23E0000}"/>
    <cellStyle name="40% - Accent5 45 4" xfId="9358" xr:uid="{00000000-0005-0000-0000-0000E33E0000}"/>
    <cellStyle name="40% - Accent5 45 4 2" xfId="20646" xr:uid="{00000000-0005-0000-0000-0000E43E0000}"/>
    <cellStyle name="40% - Accent5 45 5" xfId="7364" xr:uid="{00000000-0005-0000-0000-0000E53E0000}"/>
    <cellStyle name="40% - Accent5 45 5 2" xfId="18652" xr:uid="{00000000-0005-0000-0000-0000E63E0000}"/>
    <cellStyle name="40% - Accent5 45 6" xfId="5370" xr:uid="{00000000-0005-0000-0000-0000E73E0000}"/>
    <cellStyle name="40% - Accent5 45 6 2" xfId="16658" xr:uid="{00000000-0005-0000-0000-0000E83E0000}"/>
    <cellStyle name="40% - Accent5 45 7" xfId="14664" xr:uid="{00000000-0005-0000-0000-0000E93E0000}"/>
    <cellStyle name="40% - Accent5 45 8" xfId="13350" xr:uid="{00000000-0005-0000-0000-0000EA3E0000}"/>
    <cellStyle name="40% - Accent5 46" xfId="1415" xr:uid="{00000000-0005-0000-0000-0000EB3E0000}"/>
    <cellStyle name="40% - Accent5 46 2" xfId="4371" xr:uid="{00000000-0005-0000-0000-0000EC3E0000}"/>
    <cellStyle name="40% - Accent5 46 2 2" xfId="12350" xr:uid="{00000000-0005-0000-0000-0000ED3E0000}"/>
    <cellStyle name="40% - Accent5 46 2 2 2" xfId="23638" xr:uid="{00000000-0005-0000-0000-0000EE3E0000}"/>
    <cellStyle name="40% - Accent5 46 2 3" xfId="10356" xr:uid="{00000000-0005-0000-0000-0000EF3E0000}"/>
    <cellStyle name="40% - Accent5 46 2 3 2" xfId="21644" xr:uid="{00000000-0005-0000-0000-0000F03E0000}"/>
    <cellStyle name="40% - Accent5 46 2 4" xfId="8362" xr:uid="{00000000-0005-0000-0000-0000F13E0000}"/>
    <cellStyle name="40% - Accent5 46 2 4 2" xfId="19650" xr:uid="{00000000-0005-0000-0000-0000F23E0000}"/>
    <cellStyle name="40% - Accent5 46 2 5" xfId="6368" xr:uid="{00000000-0005-0000-0000-0000F33E0000}"/>
    <cellStyle name="40% - Accent5 46 2 5 2" xfId="17656" xr:uid="{00000000-0005-0000-0000-0000F43E0000}"/>
    <cellStyle name="40% - Accent5 46 2 6" xfId="15662" xr:uid="{00000000-0005-0000-0000-0000F53E0000}"/>
    <cellStyle name="40% - Accent5 46 3" xfId="11353" xr:uid="{00000000-0005-0000-0000-0000F63E0000}"/>
    <cellStyle name="40% - Accent5 46 3 2" xfId="22641" xr:uid="{00000000-0005-0000-0000-0000F73E0000}"/>
    <cellStyle name="40% - Accent5 46 4" xfId="9359" xr:uid="{00000000-0005-0000-0000-0000F83E0000}"/>
    <cellStyle name="40% - Accent5 46 4 2" xfId="20647" xr:uid="{00000000-0005-0000-0000-0000F93E0000}"/>
    <cellStyle name="40% - Accent5 46 5" xfId="7365" xr:uid="{00000000-0005-0000-0000-0000FA3E0000}"/>
    <cellStyle name="40% - Accent5 46 5 2" xfId="18653" xr:uid="{00000000-0005-0000-0000-0000FB3E0000}"/>
    <cellStyle name="40% - Accent5 46 6" xfId="5371" xr:uid="{00000000-0005-0000-0000-0000FC3E0000}"/>
    <cellStyle name="40% - Accent5 46 6 2" xfId="16659" xr:uid="{00000000-0005-0000-0000-0000FD3E0000}"/>
    <cellStyle name="40% - Accent5 46 7" xfId="14665" xr:uid="{00000000-0005-0000-0000-0000FE3E0000}"/>
    <cellStyle name="40% - Accent5 46 8" xfId="13351" xr:uid="{00000000-0005-0000-0000-0000FF3E0000}"/>
    <cellStyle name="40% - Accent5 47" xfId="1416" xr:uid="{00000000-0005-0000-0000-0000003F0000}"/>
    <cellStyle name="40% - Accent5 47 2" xfId="4372" xr:uid="{00000000-0005-0000-0000-0000013F0000}"/>
    <cellStyle name="40% - Accent5 47 2 2" xfId="12351" xr:uid="{00000000-0005-0000-0000-0000023F0000}"/>
    <cellStyle name="40% - Accent5 47 2 2 2" xfId="23639" xr:uid="{00000000-0005-0000-0000-0000033F0000}"/>
    <cellStyle name="40% - Accent5 47 2 3" xfId="10357" xr:uid="{00000000-0005-0000-0000-0000043F0000}"/>
    <cellStyle name="40% - Accent5 47 2 3 2" xfId="21645" xr:uid="{00000000-0005-0000-0000-0000053F0000}"/>
    <cellStyle name="40% - Accent5 47 2 4" xfId="8363" xr:uid="{00000000-0005-0000-0000-0000063F0000}"/>
    <cellStyle name="40% - Accent5 47 2 4 2" xfId="19651" xr:uid="{00000000-0005-0000-0000-0000073F0000}"/>
    <cellStyle name="40% - Accent5 47 2 5" xfId="6369" xr:uid="{00000000-0005-0000-0000-0000083F0000}"/>
    <cellStyle name="40% - Accent5 47 2 5 2" xfId="17657" xr:uid="{00000000-0005-0000-0000-0000093F0000}"/>
    <cellStyle name="40% - Accent5 47 2 6" xfId="15663" xr:uid="{00000000-0005-0000-0000-00000A3F0000}"/>
    <cellStyle name="40% - Accent5 47 3" xfId="11354" xr:uid="{00000000-0005-0000-0000-00000B3F0000}"/>
    <cellStyle name="40% - Accent5 47 3 2" xfId="22642" xr:uid="{00000000-0005-0000-0000-00000C3F0000}"/>
    <cellStyle name="40% - Accent5 47 4" xfId="9360" xr:uid="{00000000-0005-0000-0000-00000D3F0000}"/>
    <cellStyle name="40% - Accent5 47 4 2" xfId="20648" xr:uid="{00000000-0005-0000-0000-00000E3F0000}"/>
    <cellStyle name="40% - Accent5 47 5" xfId="7366" xr:uid="{00000000-0005-0000-0000-00000F3F0000}"/>
    <cellStyle name="40% - Accent5 47 5 2" xfId="18654" xr:uid="{00000000-0005-0000-0000-0000103F0000}"/>
    <cellStyle name="40% - Accent5 47 6" xfId="5372" xr:uid="{00000000-0005-0000-0000-0000113F0000}"/>
    <cellStyle name="40% - Accent5 47 6 2" xfId="16660" xr:uid="{00000000-0005-0000-0000-0000123F0000}"/>
    <cellStyle name="40% - Accent5 47 7" xfId="14666" xr:uid="{00000000-0005-0000-0000-0000133F0000}"/>
    <cellStyle name="40% - Accent5 47 8" xfId="13352" xr:uid="{00000000-0005-0000-0000-0000143F0000}"/>
    <cellStyle name="40% - Accent5 48" xfId="1417" xr:uid="{00000000-0005-0000-0000-0000153F0000}"/>
    <cellStyle name="40% - Accent5 48 2" xfId="4373" xr:uid="{00000000-0005-0000-0000-0000163F0000}"/>
    <cellStyle name="40% - Accent5 48 2 2" xfId="12352" xr:uid="{00000000-0005-0000-0000-0000173F0000}"/>
    <cellStyle name="40% - Accent5 48 2 2 2" xfId="23640" xr:uid="{00000000-0005-0000-0000-0000183F0000}"/>
    <cellStyle name="40% - Accent5 48 2 3" xfId="10358" xr:uid="{00000000-0005-0000-0000-0000193F0000}"/>
    <cellStyle name="40% - Accent5 48 2 3 2" xfId="21646" xr:uid="{00000000-0005-0000-0000-00001A3F0000}"/>
    <cellStyle name="40% - Accent5 48 2 4" xfId="8364" xr:uid="{00000000-0005-0000-0000-00001B3F0000}"/>
    <cellStyle name="40% - Accent5 48 2 4 2" xfId="19652" xr:uid="{00000000-0005-0000-0000-00001C3F0000}"/>
    <cellStyle name="40% - Accent5 48 2 5" xfId="6370" xr:uid="{00000000-0005-0000-0000-00001D3F0000}"/>
    <cellStyle name="40% - Accent5 48 2 5 2" xfId="17658" xr:uid="{00000000-0005-0000-0000-00001E3F0000}"/>
    <cellStyle name="40% - Accent5 48 2 6" xfId="15664" xr:uid="{00000000-0005-0000-0000-00001F3F0000}"/>
    <cellStyle name="40% - Accent5 48 3" xfId="11355" xr:uid="{00000000-0005-0000-0000-0000203F0000}"/>
    <cellStyle name="40% - Accent5 48 3 2" xfId="22643" xr:uid="{00000000-0005-0000-0000-0000213F0000}"/>
    <cellStyle name="40% - Accent5 48 4" xfId="9361" xr:uid="{00000000-0005-0000-0000-0000223F0000}"/>
    <cellStyle name="40% - Accent5 48 4 2" xfId="20649" xr:uid="{00000000-0005-0000-0000-0000233F0000}"/>
    <cellStyle name="40% - Accent5 48 5" xfId="7367" xr:uid="{00000000-0005-0000-0000-0000243F0000}"/>
    <cellStyle name="40% - Accent5 48 5 2" xfId="18655" xr:uid="{00000000-0005-0000-0000-0000253F0000}"/>
    <cellStyle name="40% - Accent5 48 6" xfId="5373" xr:uid="{00000000-0005-0000-0000-0000263F0000}"/>
    <cellStyle name="40% - Accent5 48 6 2" xfId="16661" xr:uid="{00000000-0005-0000-0000-0000273F0000}"/>
    <cellStyle name="40% - Accent5 48 7" xfId="14667" xr:uid="{00000000-0005-0000-0000-0000283F0000}"/>
    <cellStyle name="40% - Accent5 48 8" xfId="13353" xr:uid="{00000000-0005-0000-0000-0000293F0000}"/>
    <cellStyle name="40% - Accent5 49" xfId="1418" xr:uid="{00000000-0005-0000-0000-00002A3F0000}"/>
    <cellStyle name="40% - Accent5 49 2" xfId="4374" xr:uid="{00000000-0005-0000-0000-00002B3F0000}"/>
    <cellStyle name="40% - Accent5 49 2 2" xfId="12353" xr:uid="{00000000-0005-0000-0000-00002C3F0000}"/>
    <cellStyle name="40% - Accent5 49 2 2 2" xfId="23641" xr:uid="{00000000-0005-0000-0000-00002D3F0000}"/>
    <cellStyle name="40% - Accent5 49 2 3" xfId="10359" xr:uid="{00000000-0005-0000-0000-00002E3F0000}"/>
    <cellStyle name="40% - Accent5 49 2 3 2" xfId="21647" xr:uid="{00000000-0005-0000-0000-00002F3F0000}"/>
    <cellStyle name="40% - Accent5 49 2 4" xfId="8365" xr:uid="{00000000-0005-0000-0000-0000303F0000}"/>
    <cellStyle name="40% - Accent5 49 2 4 2" xfId="19653" xr:uid="{00000000-0005-0000-0000-0000313F0000}"/>
    <cellStyle name="40% - Accent5 49 2 5" xfId="6371" xr:uid="{00000000-0005-0000-0000-0000323F0000}"/>
    <cellStyle name="40% - Accent5 49 2 5 2" xfId="17659" xr:uid="{00000000-0005-0000-0000-0000333F0000}"/>
    <cellStyle name="40% - Accent5 49 2 6" xfId="15665" xr:uid="{00000000-0005-0000-0000-0000343F0000}"/>
    <cellStyle name="40% - Accent5 49 3" xfId="11356" xr:uid="{00000000-0005-0000-0000-0000353F0000}"/>
    <cellStyle name="40% - Accent5 49 3 2" xfId="22644" xr:uid="{00000000-0005-0000-0000-0000363F0000}"/>
    <cellStyle name="40% - Accent5 49 4" xfId="9362" xr:uid="{00000000-0005-0000-0000-0000373F0000}"/>
    <cellStyle name="40% - Accent5 49 4 2" xfId="20650" xr:uid="{00000000-0005-0000-0000-0000383F0000}"/>
    <cellStyle name="40% - Accent5 49 5" xfId="7368" xr:uid="{00000000-0005-0000-0000-0000393F0000}"/>
    <cellStyle name="40% - Accent5 49 5 2" xfId="18656" xr:uid="{00000000-0005-0000-0000-00003A3F0000}"/>
    <cellStyle name="40% - Accent5 49 6" xfId="5374" xr:uid="{00000000-0005-0000-0000-00003B3F0000}"/>
    <cellStyle name="40% - Accent5 49 6 2" xfId="16662" xr:uid="{00000000-0005-0000-0000-00003C3F0000}"/>
    <cellStyle name="40% - Accent5 49 7" xfId="14668" xr:uid="{00000000-0005-0000-0000-00003D3F0000}"/>
    <cellStyle name="40% - Accent5 49 8" xfId="13354" xr:uid="{00000000-0005-0000-0000-00003E3F0000}"/>
    <cellStyle name="40% - Accent5 5" xfId="1419" xr:uid="{00000000-0005-0000-0000-00003F3F0000}"/>
    <cellStyle name="40% - Accent5 5 10" xfId="24622" xr:uid="{00000000-0005-0000-0000-0000403F0000}"/>
    <cellStyle name="40% - Accent5 5 11" xfId="25012" xr:uid="{00000000-0005-0000-0000-0000413F0000}"/>
    <cellStyle name="40% - Accent5 5 2" xfId="4375" xr:uid="{00000000-0005-0000-0000-0000423F0000}"/>
    <cellStyle name="40% - Accent5 5 2 2" xfId="12354" xr:uid="{00000000-0005-0000-0000-0000433F0000}"/>
    <cellStyle name="40% - Accent5 5 2 2 2" xfId="23642" xr:uid="{00000000-0005-0000-0000-0000443F0000}"/>
    <cellStyle name="40% - Accent5 5 2 3" xfId="10360" xr:uid="{00000000-0005-0000-0000-0000453F0000}"/>
    <cellStyle name="40% - Accent5 5 2 3 2" xfId="21648" xr:uid="{00000000-0005-0000-0000-0000463F0000}"/>
    <cellStyle name="40% - Accent5 5 2 4" xfId="8366" xr:uid="{00000000-0005-0000-0000-0000473F0000}"/>
    <cellStyle name="40% - Accent5 5 2 4 2" xfId="19654" xr:uid="{00000000-0005-0000-0000-0000483F0000}"/>
    <cellStyle name="40% - Accent5 5 2 5" xfId="6372" xr:uid="{00000000-0005-0000-0000-0000493F0000}"/>
    <cellStyle name="40% - Accent5 5 2 5 2" xfId="17660" xr:uid="{00000000-0005-0000-0000-00004A3F0000}"/>
    <cellStyle name="40% - Accent5 5 2 6" xfId="15666" xr:uid="{00000000-0005-0000-0000-00004B3F0000}"/>
    <cellStyle name="40% - Accent5 5 2 7" xfId="24383" xr:uid="{00000000-0005-0000-0000-00004C3F0000}"/>
    <cellStyle name="40% - Accent5 5 2 8" xfId="24847" xr:uid="{00000000-0005-0000-0000-00004D3F0000}"/>
    <cellStyle name="40% - Accent5 5 2 9" xfId="25214" xr:uid="{00000000-0005-0000-0000-00004E3F0000}"/>
    <cellStyle name="40% - Accent5 5 3" xfId="11357" xr:uid="{00000000-0005-0000-0000-00004F3F0000}"/>
    <cellStyle name="40% - Accent5 5 3 2" xfId="22645" xr:uid="{00000000-0005-0000-0000-0000503F0000}"/>
    <cellStyle name="40% - Accent5 5 4" xfId="9363" xr:uid="{00000000-0005-0000-0000-0000513F0000}"/>
    <cellStyle name="40% - Accent5 5 4 2" xfId="20651" xr:uid="{00000000-0005-0000-0000-0000523F0000}"/>
    <cellStyle name="40% - Accent5 5 5" xfId="7369" xr:uid="{00000000-0005-0000-0000-0000533F0000}"/>
    <cellStyle name="40% - Accent5 5 5 2" xfId="18657" xr:uid="{00000000-0005-0000-0000-0000543F0000}"/>
    <cellStyle name="40% - Accent5 5 6" xfId="5375" xr:uid="{00000000-0005-0000-0000-0000553F0000}"/>
    <cellStyle name="40% - Accent5 5 6 2" xfId="16663" xr:uid="{00000000-0005-0000-0000-0000563F0000}"/>
    <cellStyle name="40% - Accent5 5 7" xfId="14669" xr:uid="{00000000-0005-0000-0000-0000573F0000}"/>
    <cellStyle name="40% - Accent5 5 8" xfId="13355" xr:uid="{00000000-0005-0000-0000-0000583F0000}"/>
    <cellStyle name="40% - Accent5 5 9" xfId="23995" xr:uid="{00000000-0005-0000-0000-0000593F0000}"/>
    <cellStyle name="40% - Accent5 50" xfId="1420" xr:uid="{00000000-0005-0000-0000-00005A3F0000}"/>
    <cellStyle name="40% - Accent5 50 2" xfId="4376" xr:uid="{00000000-0005-0000-0000-00005B3F0000}"/>
    <cellStyle name="40% - Accent5 50 2 2" xfId="12355" xr:uid="{00000000-0005-0000-0000-00005C3F0000}"/>
    <cellStyle name="40% - Accent5 50 2 2 2" xfId="23643" xr:uid="{00000000-0005-0000-0000-00005D3F0000}"/>
    <cellStyle name="40% - Accent5 50 2 3" xfId="10361" xr:uid="{00000000-0005-0000-0000-00005E3F0000}"/>
    <cellStyle name="40% - Accent5 50 2 3 2" xfId="21649" xr:uid="{00000000-0005-0000-0000-00005F3F0000}"/>
    <cellStyle name="40% - Accent5 50 2 4" xfId="8367" xr:uid="{00000000-0005-0000-0000-0000603F0000}"/>
    <cellStyle name="40% - Accent5 50 2 4 2" xfId="19655" xr:uid="{00000000-0005-0000-0000-0000613F0000}"/>
    <cellStyle name="40% - Accent5 50 2 5" xfId="6373" xr:uid="{00000000-0005-0000-0000-0000623F0000}"/>
    <cellStyle name="40% - Accent5 50 2 5 2" xfId="17661" xr:uid="{00000000-0005-0000-0000-0000633F0000}"/>
    <cellStyle name="40% - Accent5 50 2 6" xfId="15667" xr:uid="{00000000-0005-0000-0000-0000643F0000}"/>
    <cellStyle name="40% - Accent5 50 3" xfId="11358" xr:uid="{00000000-0005-0000-0000-0000653F0000}"/>
    <cellStyle name="40% - Accent5 50 3 2" xfId="22646" xr:uid="{00000000-0005-0000-0000-0000663F0000}"/>
    <cellStyle name="40% - Accent5 50 4" xfId="9364" xr:uid="{00000000-0005-0000-0000-0000673F0000}"/>
    <cellStyle name="40% - Accent5 50 4 2" xfId="20652" xr:uid="{00000000-0005-0000-0000-0000683F0000}"/>
    <cellStyle name="40% - Accent5 50 5" xfId="7370" xr:uid="{00000000-0005-0000-0000-0000693F0000}"/>
    <cellStyle name="40% - Accent5 50 5 2" xfId="18658" xr:uid="{00000000-0005-0000-0000-00006A3F0000}"/>
    <cellStyle name="40% - Accent5 50 6" xfId="5376" xr:uid="{00000000-0005-0000-0000-00006B3F0000}"/>
    <cellStyle name="40% - Accent5 50 6 2" xfId="16664" xr:uid="{00000000-0005-0000-0000-00006C3F0000}"/>
    <cellStyle name="40% - Accent5 50 7" xfId="14670" xr:uid="{00000000-0005-0000-0000-00006D3F0000}"/>
    <cellStyle name="40% - Accent5 50 8" xfId="13356" xr:uid="{00000000-0005-0000-0000-00006E3F0000}"/>
    <cellStyle name="40% - Accent5 51" xfId="1421" xr:uid="{00000000-0005-0000-0000-00006F3F0000}"/>
    <cellStyle name="40% - Accent5 51 2" xfId="4377" xr:uid="{00000000-0005-0000-0000-0000703F0000}"/>
    <cellStyle name="40% - Accent5 51 2 2" xfId="12356" xr:uid="{00000000-0005-0000-0000-0000713F0000}"/>
    <cellStyle name="40% - Accent5 51 2 2 2" xfId="23644" xr:uid="{00000000-0005-0000-0000-0000723F0000}"/>
    <cellStyle name="40% - Accent5 51 2 3" xfId="10362" xr:uid="{00000000-0005-0000-0000-0000733F0000}"/>
    <cellStyle name="40% - Accent5 51 2 3 2" xfId="21650" xr:uid="{00000000-0005-0000-0000-0000743F0000}"/>
    <cellStyle name="40% - Accent5 51 2 4" xfId="8368" xr:uid="{00000000-0005-0000-0000-0000753F0000}"/>
    <cellStyle name="40% - Accent5 51 2 4 2" xfId="19656" xr:uid="{00000000-0005-0000-0000-0000763F0000}"/>
    <cellStyle name="40% - Accent5 51 2 5" xfId="6374" xr:uid="{00000000-0005-0000-0000-0000773F0000}"/>
    <cellStyle name="40% - Accent5 51 2 5 2" xfId="17662" xr:uid="{00000000-0005-0000-0000-0000783F0000}"/>
    <cellStyle name="40% - Accent5 51 2 6" xfId="15668" xr:uid="{00000000-0005-0000-0000-0000793F0000}"/>
    <cellStyle name="40% - Accent5 51 3" xfId="11359" xr:uid="{00000000-0005-0000-0000-00007A3F0000}"/>
    <cellStyle name="40% - Accent5 51 3 2" xfId="22647" xr:uid="{00000000-0005-0000-0000-00007B3F0000}"/>
    <cellStyle name="40% - Accent5 51 4" xfId="9365" xr:uid="{00000000-0005-0000-0000-00007C3F0000}"/>
    <cellStyle name="40% - Accent5 51 4 2" xfId="20653" xr:uid="{00000000-0005-0000-0000-00007D3F0000}"/>
    <cellStyle name="40% - Accent5 51 5" xfId="7371" xr:uid="{00000000-0005-0000-0000-00007E3F0000}"/>
    <cellStyle name="40% - Accent5 51 5 2" xfId="18659" xr:uid="{00000000-0005-0000-0000-00007F3F0000}"/>
    <cellStyle name="40% - Accent5 51 6" xfId="5377" xr:uid="{00000000-0005-0000-0000-0000803F0000}"/>
    <cellStyle name="40% - Accent5 51 6 2" xfId="16665" xr:uid="{00000000-0005-0000-0000-0000813F0000}"/>
    <cellStyle name="40% - Accent5 51 7" xfId="14671" xr:uid="{00000000-0005-0000-0000-0000823F0000}"/>
    <cellStyle name="40% - Accent5 51 8" xfId="13357" xr:uid="{00000000-0005-0000-0000-0000833F0000}"/>
    <cellStyle name="40% - Accent5 52" xfId="1422" xr:uid="{00000000-0005-0000-0000-0000843F0000}"/>
    <cellStyle name="40% - Accent5 52 2" xfId="4378" xr:uid="{00000000-0005-0000-0000-0000853F0000}"/>
    <cellStyle name="40% - Accent5 52 2 2" xfId="12357" xr:uid="{00000000-0005-0000-0000-0000863F0000}"/>
    <cellStyle name="40% - Accent5 52 2 2 2" xfId="23645" xr:uid="{00000000-0005-0000-0000-0000873F0000}"/>
    <cellStyle name="40% - Accent5 52 2 3" xfId="10363" xr:uid="{00000000-0005-0000-0000-0000883F0000}"/>
    <cellStyle name="40% - Accent5 52 2 3 2" xfId="21651" xr:uid="{00000000-0005-0000-0000-0000893F0000}"/>
    <cellStyle name="40% - Accent5 52 2 4" xfId="8369" xr:uid="{00000000-0005-0000-0000-00008A3F0000}"/>
    <cellStyle name="40% - Accent5 52 2 4 2" xfId="19657" xr:uid="{00000000-0005-0000-0000-00008B3F0000}"/>
    <cellStyle name="40% - Accent5 52 2 5" xfId="6375" xr:uid="{00000000-0005-0000-0000-00008C3F0000}"/>
    <cellStyle name="40% - Accent5 52 2 5 2" xfId="17663" xr:uid="{00000000-0005-0000-0000-00008D3F0000}"/>
    <cellStyle name="40% - Accent5 52 2 6" xfId="15669" xr:uid="{00000000-0005-0000-0000-00008E3F0000}"/>
    <cellStyle name="40% - Accent5 52 3" xfId="11360" xr:uid="{00000000-0005-0000-0000-00008F3F0000}"/>
    <cellStyle name="40% - Accent5 52 3 2" xfId="22648" xr:uid="{00000000-0005-0000-0000-0000903F0000}"/>
    <cellStyle name="40% - Accent5 52 4" xfId="9366" xr:uid="{00000000-0005-0000-0000-0000913F0000}"/>
    <cellStyle name="40% - Accent5 52 4 2" xfId="20654" xr:uid="{00000000-0005-0000-0000-0000923F0000}"/>
    <cellStyle name="40% - Accent5 52 5" xfId="7372" xr:uid="{00000000-0005-0000-0000-0000933F0000}"/>
    <cellStyle name="40% - Accent5 52 5 2" xfId="18660" xr:uid="{00000000-0005-0000-0000-0000943F0000}"/>
    <cellStyle name="40% - Accent5 52 6" xfId="5378" xr:uid="{00000000-0005-0000-0000-0000953F0000}"/>
    <cellStyle name="40% - Accent5 52 6 2" xfId="16666" xr:uid="{00000000-0005-0000-0000-0000963F0000}"/>
    <cellStyle name="40% - Accent5 52 7" xfId="14672" xr:uid="{00000000-0005-0000-0000-0000973F0000}"/>
    <cellStyle name="40% - Accent5 52 8" xfId="13358" xr:uid="{00000000-0005-0000-0000-0000983F0000}"/>
    <cellStyle name="40% - Accent5 53" xfId="1423" xr:uid="{00000000-0005-0000-0000-0000993F0000}"/>
    <cellStyle name="40% - Accent5 53 2" xfId="4379" xr:uid="{00000000-0005-0000-0000-00009A3F0000}"/>
    <cellStyle name="40% - Accent5 53 2 2" xfId="12358" xr:uid="{00000000-0005-0000-0000-00009B3F0000}"/>
    <cellStyle name="40% - Accent5 53 2 2 2" xfId="23646" xr:uid="{00000000-0005-0000-0000-00009C3F0000}"/>
    <cellStyle name="40% - Accent5 53 2 3" xfId="10364" xr:uid="{00000000-0005-0000-0000-00009D3F0000}"/>
    <cellStyle name="40% - Accent5 53 2 3 2" xfId="21652" xr:uid="{00000000-0005-0000-0000-00009E3F0000}"/>
    <cellStyle name="40% - Accent5 53 2 4" xfId="8370" xr:uid="{00000000-0005-0000-0000-00009F3F0000}"/>
    <cellStyle name="40% - Accent5 53 2 4 2" xfId="19658" xr:uid="{00000000-0005-0000-0000-0000A03F0000}"/>
    <cellStyle name="40% - Accent5 53 2 5" xfId="6376" xr:uid="{00000000-0005-0000-0000-0000A13F0000}"/>
    <cellStyle name="40% - Accent5 53 2 5 2" xfId="17664" xr:uid="{00000000-0005-0000-0000-0000A23F0000}"/>
    <cellStyle name="40% - Accent5 53 2 6" xfId="15670" xr:uid="{00000000-0005-0000-0000-0000A33F0000}"/>
    <cellStyle name="40% - Accent5 53 3" xfId="11361" xr:uid="{00000000-0005-0000-0000-0000A43F0000}"/>
    <cellStyle name="40% - Accent5 53 3 2" xfId="22649" xr:uid="{00000000-0005-0000-0000-0000A53F0000}"/>
    <cellStyle name="40% - Accent5 53 4" xfId="9367" xr:uid="{00000000-0005-0000-0000-0000A63F0000}"/>
    <cellStyle name="40% - Accent5 53 4 2" xfId="20655" xr:uid="{00000000-0005-0000-0000-0000A73F0000}"/>
    <cellStyle name="40% - Accent5 53 5" xfId="7373" xr:uid="{00000000-0005-0000-0000-0000A83F0000}"/>
    <cellStyle name="40% - Accent5 53 5 2" xfId="18661" xr:uid="{00000000-0005-0000-0000-0000A93F0000}"/>
    <cellStyle name="40% - Accent5 53 6" xfId="5379" xr:uid="{00000000-0005-0000-0000-0000AA3F0000}"/>
    <cellStyle name="40% - Accent5 53 6 2" xfId="16667" xr:uid="{00000000-0005-0000-0000-0000AB3F0000}"/>
    <cellStyle name="40% - Accent5 53 7" xfId="14673" xr:uid="{00000000-0005-0000-0000-0000AC3F0000}"/>
    <cellStyle name="40% - Accent5 53 8" xfId="13359" xr:uid="{00000000-0005-0000-0000-0000AD3F0000}"/>
    <cellStyle name="40% - Accent5 54" xfId="1424" xr:uid="{00000000-0005-0000-0000-0000AE3F0000}"/>
    <cellStyle name="40% - Accent5 54 2" xfId="4380" xr:uid="{00000000-0005-0000-0000-0000AF3F0000}"/>
    <cellStyle name="40% - Accent5 54 2 2" xfId="12359" xr:uid="{00000000-0005-0000-0000-0000B03F0000}"/>
    <cellStyle name="40% - Accent5 54 2 2 2" xfId="23647" xr:uid="{00000000-0005-0000-0000-0000B13F0000}"/>
    <cellStyle name="40% - Accent5 54 2 3" xfId="10365" xr:uid="{00000000-0005-0000-0000-0000B23F0000}"/>
    <cellStyle name="40% - Accent5 54 2 3 2" xfId="21653" xr:uid="{00000000-0005-0000-0000-0000B33F0000}"/>
    <cellStyle name="40% - Accent5 54 2 4" xfId="8371" xr:uid="{00000000-0005-0000-0000-0000B43F0000}"/>
    <cellStyle name="40% - Accent5 54 2 4 2" xfId="19659" xr:uid="{00000000-0005-0000-0000-0000B53F0000}"/>
    <cellStyle name="40% - Accent5 54 2 5" xfId="6377" xr:uid="{00000000-0005-0000-0000-0000B63F0000}"/>
    <cellStyle name="40% - Accent5 54 2 5 2" xfId="17665" xr:uid="{00000000-0005-0000-0000-0000B73F0000}"/>
    <cellStyle name="40% - Accent5 54 2 6" xfId="15671" xr:uid="{00000000-0005-0000-0000-0000B83F0000}"/>
    <cellStyle name="40% - Accent5 54 3" xfId="11362" xr:uid="{00000000-0005-0000-0000-0000B93F0000}"/>
    <cellStyle name="40% - Accent5 54 3 2" xfId="22650" xr:uid="{00000000-0005-0000-0000-0000BA3F0000}"/>
    <cellStyle name="40% - Accent5 54 4" xfId="9368" xr:uid="{00000000-0005-0000-0000-0000BB3F0000}"/>
    <cellStyle name="40% - Accent5 54 4 2" xfId="20656" xr:uid="{00000000-0005-0000-0000-0000BC3F0000}"/>
    <cellStyle name="40% - Accent5 54 5" xfId="7374" xr:uid="{00000000-0005-0000-0000-0000BD3F0000}"/>
    <cellStyle name="40% - Accent5 54 5 2" xfId="18662" xr:uid="{00000000-0005-0000-0000-0000BE3F0000}"/>
    <cellStyle name="40% - Accent5 54 6" xfId="5380" xr:uid="{00000000-0005-0000-0000-0000BF3F0000}"/>
    <cellStyle name="40% - Accent5 54 6 2" xfId="16668" xr:uid="{00000000-0005-0000-0000-0000C03F0000}"/>
    <cellStyle name="40% - Accent5 54 7" xfId="14674" xr:uid="{00000000-0005-0000-0000-0000C13F0000}"/>
    <cellStyle name="40% - Accent5 54 8" xfId="13360" xr:uid="{00000000-0005-0000-0000-0000C23F0000}"/>
    <cellStyle name="40% - Accent5 55" xfId="1425" xr:uid="{00000000-0005-0000-0000-0000C33F0000}"/>
    <cellStyle name="40% - Accent5 55 2" xfId="4381" xr:uid="{00000000-0005-0000-0000-0000C43F0000}"/>
    <cellStyle name="40% - Accent5 55 2 2" xfId="12360" xr:uid="{00000000-0005-0000-0000-0000C53F0000}"/>
    <cellStyle name="40% - Accent5 55 2 2 2" xfId="23648" xr:uid="{00000000-0005-0000-0000-0000C63F0000}"/>
    <cellStyle name="40% - Accent5 55 2 3" xfId="10366" xr:uid="{00000000-0005-0000-0000-0000C73F0000}"/>
    <cellStyle name="40% - Accent5 55 2 3 2" xfId="21654" xr:uid="{00000000-0005-0000-0000-0000C83F0000}"/>
    <cellStyle name="40% - Accent5 55 2 4" xfId="8372" xr:uid="{00000000-0005-0000-0000-0000C93F0000}"/>
    <cellStyle name="40% - Accent5 55 2 4 2" xfId="19660" xr:uid="{00000000-0005-0000-0000-0000CA3F0000}"/>
    <cellStyle name="40% - Accent5 55 2 5" xfId="6378" xr:uid="{00000000-0005-0000-0000-0000CB3F0000}"/>
    <cellStyle name="40% - Accent5 55 2 5 2" xfId="17666" xr:uid="{00000000-0005-0000-0000-0000CC3F0000}"/>
    <cellStyle name="40% - Accent5 55 2 6" xfId="15672" xr:uid="{00000000-0005-0000-0000-0000CD3F0000}"/>
    <cellStyle name="40% - Accent5 55 3" xfId="11363" xr:uid="{00000000-0005-0000-0000-0000CE3F0000}"/>
    <cellStyle name="40% - Accent5 55 3 2" xfId="22651" xr:uid="{00000000-0005-0000-0000-0000CF3F0000}"/>
    <cellStyle name="40% - Accent5 55 4" xfId="9369" xr:uid="{00000000-0005-0000-0000-0000D03F0000}"/>
    <cellStyle name="40% - Accent5 55 4 2" xfId="20657" xr:uid="{00000000-0005-0000-0000-0000D13F0000}"/>
    <cellStyle name="40% - Accent5 55 5" xfId="7375" xr:uid="{00000000-0005-0000-0000-0000D23F0000}"/>
    <cellStyle name="40% - Accent5 55 5 2" xfId="18663" xr:uid="{00000000-0005-0000-0000-0000D33F0000}"/>
    <cellStyle name="40% - Accent5 55 6" xfId="5381" xr:uid="{00000000-0005-0000-0000-0000D43F0000}"/>
    <cellStyle name="40% - Accent5 55 6 2" xfId="16669" xr:uid="{00000000-0005-0000-0000-0000D53F0000}"/>
    <cellStyle name="40% - Accent5 55 7" xfId="14675" xr:uid="{00000000-0005-0000-0000-0000D63F0000}"/>
    <cellStyle name="40% - Accent5 55 8" xfId="13361" xr:uid="{00000000-0005-0000-0000-0000D73F0000}"/>
    <cellStyle name="40% - Accent5 56" xfId="1426" xr:uid="{00000000-0005-0000-0000-0000D83F0000}"/>
    <cellStyle name="40% - Accent5 56 2" xfId="4382" xr:uid="{00000000-0005-0000-0000-0000D93F0000}"/>
    <cellStyle name="40% - Accent5 56 2 2" xfId="12361" xr:uid="{00000000-0005-0000-0000-0000DA3F0000}"/>
    <cellStyle name="40% - Accent5 56 2 2 2" xfId="23649" xr:uid="{00000000-0005-0000-0000-0000DB3F0000}"/>
    <cellStyle name="40% - Accent5 56 2 3" xfId="10367" xr:uid="{00000000-0005-0000-0000-0000DC3F0000}"/>
    <cellStyle name="40% - Accent5 56 2 3 2" xfId="21655" xr:uid="{00000000-0005-0000-0000-0000DD3F0000}"/>
    <cellStyle name="40% - Accent5 56 2 4" xfId="8373" xr:uid="{00000000-0005-0000-0000-0000DE3F0000}"/>
    <cellStyle name="40% - Accent5 56 2 4 2" xfId="19661" xr:uid="{00000000-0005-0000-0000-0000DF3F0000}"/>
    <cellStyle name="40% - Accent5 56 2 5" xfId="6379" xr:uid="{00000000-0005-0000-0000-0000E03F0000}"/>
    <cellStyle name="40% - Accent5 56 2 5 2" xfId="17667" xr:uid="{00000000-0005-0000-0000-0000E13F0000}"/>
    <cellStyle name="40% - Accent5 56 2 6" xfId="15673" xr:uid="{00000000-0005-0000-0000-0000E23F0000}"/>
    <cellStyle name="40% - Accent5 56 3" xfId="11364" xr:uid="{00000000-0005-0000-0000-0000E33F0000}"/>
    <cellStyle name="40% - Accent5 56 3 2" xfId="22652" xr:uid="{00000000-0005-0000-0000-0000E43F0000}"/>
    <cellStyle name="40% - Accent5 56 4" xfId="9370" xr:uid="{00000000-0005-0000-0000-0000E53F0000}"/>
    <cellStyle name="40% - Accent5 56 4 2" xfId="20658" xr:uid="{00000000-0005-0000-0000-0000E63F0000}"/>
    <cellStyle name="40% - Accent5 56 5" xfId="7376" xr:uid="{00000000-0005-0000-0000-0000E73F0000}"/>
    <cellStyle name="40% - Accent5 56 5 2" xfId="18664" xr:uid="{00000000-0005-0000-0000-0000E83F0000}"/>
    <cellStyle name="40% - Accent5 56 6" xfId="5382" xr:uid="{00000000-0005-0000-0000-0000E93F0000}"/>
    <cellStyle name="40% - Accent5 56 6 2" xfId="16670" xr:uid="{00000000-0005-0000-0000-0000EA3F0000}"/>
    <cellStyle name="40% - Accent5 56 7" xfId="14676" xr:uid="{00000000-0005-0000-0000-0000EB3F0000}"/>
    <cellStyle name="40% - Accent5 56 8" xfId="13362" xr:uid="{00000000-0005-0000-0000-0000EC3F0000}"/>
    <cellStyle name="40% - Accent5 57" xfId="1427" xr:uid="{00000000-0005-0000-0000-0000ED3F0000}"/>
    <cellStyle name="40% - Accent5 57 2" xfId="4383" xr:uid="{00000000-0005-0000-0000-0000EE3F0000}"/>
    <cellStyle name="40% - Accent5 57 2 2" xfId="12362" xr:uid="{00000000-0005-0000-0000-0000EF3F0000}"/>
    <cellStyle name="40% - Accent5 57 2 2 2" xfId="23650" xr:uid="{00000000-0005-0000-0000-0000F03F0000}"/>
    <cellStyle name="40% - Accent5 57 2 3" xfId="10368" xr:uid="{00000000-0005-0000-0000-0000F13F0000}"/>
    <cellStyle name="40% - Accent5 57 2 3 2" xfId="21656" xr:uid="{00000000-0005-0000-0000-0000F23F0000}"/>
    <cellStyle name="40% - Accent5 57 2 4" xfId="8374" xr:uid="{00000000-0005-0000-0000-0000F33F0000}"/>
    <cellStyle name="40% - Accent5 57 2 4 2" xfId="19662" xr:uid="{00000000-0005-0000-0000-0000F43F0000}"/>
    <cellStyle name="40% - Accent5 57 2 5" xfId="6380" xr:uid="{00000000-0005-0000-0000-0000F53F0000}"/>
    <cellStyle name="40% - Accent5 57 2 5 2" xfId="17668" xr:uid="{00000000-0005-0000-0000-0000F63F0000}"/>
    <cellStyle name="40% - Accent5 57 2 6" xfId="15674" xr:uid="{00000000-0005-0000-0000-0000F73F0000}"/>
    <cellStyle name="40% - Accent5 57 3" xfId="11365" xr:uid="{00000000-0005-0000-0000-0000F83F0000}"/>
    <cellStyle name="40% - Accent5 57 3 2" xfId="22653" xr:uid="{00000000-0005-0000-0000-0000F93F0000}"/>
    <cellStyle name="40% - Accent5 57 4" xfId="9371" xr:uid="{00000000-0005-0000-0000-0000FA3F0000}"/>
    <cellStyle name="40% - Accent5 57 4 2" xfId="20659" xr:uid="{00000000-0005-0000-0000-0000FB3F0000}"/>
    <cellStyle name="40% - Accent5 57 5" xfId="7377" xr:uid="{00000000-0005-0000-0000-0000FC3F0000}"/>
    <cellStyle name="40% - Accent5 57 5 2" xfId="18665" xr:uid="{00000000-0005-0000-0000-0000FD3F0000}"/>
    <cellStyle name="40% - Accent5 57 6" xfId="5383" xr:uid="{00000000-0005-0000-0000-0000FE3F0000}"/>
    <cellStyle name="40% - Accent5 57 6 2" xfId="16671" xr:uid="{00000000-0005-0000-0000-0000FF3F0000}"/>
    <cellStyle name="40% - Accent5 57 7" xfId="14677" xr:uid="{00000000-0005-0000-0000-000000400000}"/>
    <cellStyle name="40% - Accent5 57 8" xfId="13363" xr:uid="{00000000-0005-0000-0000-000001400000}"/>
    <cellStyle name="40% - Accent5 58" xfId="1428" xr:uid="{00000000-0005-0000-0000-000002400000}"/>
    <cellStyle name="40% - Accent5 58 2" xfId="4384" xr:uid="{00000000-0005-0000-0000-000003400000}"/>
    <cellStyle name="40% - Accent5 58 2 2" xfId="12363" xr:uid="{00000000-0005-0000-0000-000004400000}"/>
    <cellStyle name="40% - Accent5 58 2 2 2" xfId="23651" xr:uid="{00000000-0005-0000-0000-000005400000}"/>
    <cellStyle name="40% - Accent5 58 2 3" xfId="10369" xr:uid="{00000000-0005-0000-0000-000006400000}"/>
    <cellStyle name="40% - Accent5 58 2 3 2" xfId="21657" xr:uid="{00000000-0005-0000-0000-000007400000}"/>
    <cellStyle name="40% - Accent5 58 2 4" xfId="8375" xr:uid="{00000000-0005-0000-0000-000008400000}"/>
    <cellStyle name="40% - Accent5 58 2 4 2" xfId="19663" xr:uid="{00000000-0005-0000-0000-000009400000}"/>
    <cellStyle name="40% - Accent5 58 2 5" xfId="6381" xr:uid="{00000000-0005-0000-0000-00000A400000}"/>
    <cellStyle name="40% - Accent5 58 2 5 2" xfId="17669" xr:uid="{00000000-0005-0000-0000-00000B400000}"/>
    <cellStyle name="40% - Accent5 58 2 6" xfId="15675" xr:uid="{00000000-0005-0000-0000-00000C400000}"/>
    <cellStyle name="40% - Accent5 58 3" xfId="11366" xr:uid="{00000000-0005-0000-0000-00000D400000}"/>
    <cellStyle name="40% - Accent5 58 3 2" xfId="22654" xr:uid="{00000000-0005-0000-0000-00000E400000}"/>
    <cellStyle name="40% - Accent5 58 4" xfId="9372" xr:uid="{00000000-0005-0000-0000-00000F400000}"/>
    <cellStyle name="40% - Accent5 58 4 2" xfId="20660" xr:uid="{00000000-0005-0000-0000-000010400000}"/>
    <cellStyle name="40% - Accent5 58 5" xfId="7378" xr:uid="{00000000-0005-0000-0000-000011400000}"/>
    <cellStyle name="40% - Accent5 58 5 2" xfId="18666" xr:uid="{00000000-0005-0000-0000-000012400000}"/>
    <cellStyle name="40% - Accent5 58 6" xfId="5384" xr:uid="{00000000-0005-0000-0000-000013400000}"/>
    <cellStyle name="40% - Accent5 58 6 2" xfId="16672" xr:uid="{00000000-0005-0000-0000-000014400000}"/>
    <cellStyle name="40% - Accent5 58 7" xfId="14678" xr:uid="{00000000-0005-0000-0000-000015400000}"/>
    <cellStyle name="40% - Accent5 58 8" xfId="13364" xr:uid="{00000000-0005-0000-0000-000016400000}"/>
    <cellStyle name="40% - Accent5 59" xfId="1429" xr:uid="{00000000-0005-0000-0000-000017400000}"/>
    <cellStyle name="40% - Accent5 59 2" xfId="4385" xr:uid="{00000000-0005-0000-0000-000018400000}"/>
    <cellStyle name="40% - Accent5 59 2 2" xfId="12364" xr:uid="{00000000-0005-0000-0000-000019400000}"/>
    <cellStyle name="40% - Accent5 59 2 2 2" xfId="23652" xr:uid="{00000000-0005-0000-0000-00001A400000}"/>
    <cellStyle name="40% - Accent5 59 2 3" xfId="10370" xr:uid="{00000000-0005-0000-0000-00001B400000}"/>
    <cellStyle name="40% - Accent5 59 2 3 2" xfId="21658" xr:uid="{00000000-0005-0000-0000-00001C400000}"/>
    <cellStyle name="40% - Accent5 59 2 4" xfId="8376" xr:uid="{00000000-0005-0000-0000-00001D400000}"/>
    <cellStyle name="40% - Accent5 59 2 4 2" xfId="19664" xr:uid="{00000000-0005-0000-0000-00001E400000}"/>
    <cellStyle name="40% - Accent5 59 2 5" xfId="6382" xr:uid="{00000000-0005-0000-0000-00001F400000}"/>
    <cellStyle name="40% - Accent5 59 2 5 2" xfId="17670" xr:uid="{00000000-0005-0000-0000-000020400000}"/>
    <cellStyle name="40% - Accent5 59 2 6" xfId="15676" xr:uid="{00000000-0005-0000-0000-000021400000}"/>
    <cellStyle name="40% - Accent5 59 3" xfId="11367" xr:uid="{00000000-0005-0000-0000-000022400000}"/>
    <cellStyle name="40% - Accent5 59 3 2" xfId="22655" xr:uid="{00000000-0005-0000-0000-000023400000}"/>
    <cellStyle name="40% - Accent5 59 4" xfId="9373" xr:uid="{00000000-0005-0000-0000-000024400000}"/>
    <cellStyle name="40% - Accent5 59 4 2" xfId="20661" xr:uid="{00000000-0005-0000-0000-000025400000}"/>
    <cellStyle name="40% - Accent5 59 5" xfId="7379" xr:uid="{00000000-0005-0000-0000-000026400000}"/>
    <cellStyle name="40% - Accent5 59 5 2" xfId="18667" xr:uid="{00000000-0005-0000-0000-000027400000}"/>
    <cellStyle name="40% - Accent5 59 6" xfId="5385" xr:uid="{00000000-0005-0000-0000-000028400000}"/>
    <cellStyle name="40% - Accent5 59 6 2" xfId="16673" xr:uid="{00000000-0005-0000-0000-000029400000}"/>
    <cellStyle name="40% - Accent5 59 7" xfId="14679" xr:uid="{00000000-0005-0000-0000-00002A400000}"/>
    <cellStyle name="40% - Accent5 59 8" xfId="13365" xr:uid="{00000000-0005-0000-0000-00002B400000}"/>
    <cellStyle name="40% - Accent5 6" xfId="1430" xr:uid="{00000000-0005-0000-0000-00002C400000}"/>
    <cellStyle name="40% - Accent5 6 10" xfId="24623" xr:uid="{00000000-0005-0000-0000-00002D400000}"/>
    <cellStyle name="40% - Accent5 6 11" xfId="25013" xr:uid="{00000000-0005-0000-0000-00002E400000}"/>
    <cellStyle name="40% - Accent5 6 2" xfId="4386" xr:uid="{00000000-0005-0000-0000-00002F400000}"/>
    <cellStyle name="40% - Accent5 6 2 2" xfId="12365" xr:uid="{00000000-0005-0000-0000-000030400000}"/>
    <cellStyle name="40% - Accent5 6 2 2 2" xfId="23653" xr:uid="{00000000-0005-0000-0000-000031400000}"/>
    <cellStyle name="40% - Accent5 6 2 3" xfId="10371" xr:uid="{00000000-0005-0000-0000-000032400000}"/>
    <cellStyle name="40% - Accent5 6 2 3 2" xfId="21659" xr:uid="{00000000-0005-0000-0000-000033400000}"/>
    <cellStyle name="40% - Accent5 6 2 4" xfId="8377" xr:uid="{00000000-0005-0000-0000-000034400000}"/>
    <cellStyle name="40% - Accent5 6 2 4 2" xfId="19665" xr:uid="{00000000-0005-0000-0000-000035400000}"/>
    <cellStyle name="40% - Accent5 6 2 5" xfId="6383" xr:uid="{00000000-0005-0000-0000-000036400000}"/>
    <cellStyle name="40% - Accent5 6 2 5 2" xfId="17671" xr:uid="{00000000-0005-0000-0000-000037400000}"/>
    <cellStyle name="40% - Accent5 6 2 6" xfId="15677" xr:uid="{00000000-0005-0000-0000-000038400000}"/>
    <cellStyle name="40% - Accent5 6 2 7" xfId="24384" xr:uid="{00000000-0005-0000-0000-000039400000}"/>
    <cellStyle name="40% - Accent5 6 2 8" xfId="24848" xr:uid="{00000000-0005-0000-0000-00003A400000}"/>
    <cellStyle name="40% - Accent5 6 2 9" xfId="25215" xr:uid="{00000000-0005-0000-0000-00003B400000}"/>
    <cellStyle name="40% - Accent5 6 3" xfId="11368" xr:uid="{00000000-0005-0000-0000-00003C400000}"/>
    <cellStyle name="40% - Accent5 6 3 2" xfId="22656" xr:uid="{00000000-0005-0000-0000-00003D400000}"/>
    <cellStyle name="40% - Accent5 6 4" xfId="9374" xr:uid="{00000000-0005-0000-0000-00003E400000}"/>
    <cellStyle name="40% - Accent5 6 4 2" xfId="20662" xr:uid="{00000000-0005-0000-0000-00003F400000}"/>
    <cellStyle name="40% - Accent5 6 5" xfId="7380" xr:uid="{00000000-0005-0000-0000-000040400000}"/>
    <cellStyle name="40% - Accent5 6 5 2" xfId="18668" xr:uid="{00000000-0005-0000-0000-000041400000}"/>
    <cellStyle name="40% - Accent5 6 6" xfId="5386" xr:uid="{00000000-0005-0000-0000-000042400000}"/>
    <cellStyle name="40% - Accent5 6 6 2" xfId="16674" xr:uid="{00000000-0005-0000-0000-000043400000}"/>
    <cellStyle name="40% - Accent5 6 7" xfId="14680" xr:uid="{00000000-0005-0000-0000-000044400000}"/>
    <cellStyle name="40% - Accent5 6 8" xfId="13366" xr:uid="{00000000-0005-0000-0000-000045400000}"/>
    <cellStyle name="40% - Accent5 6 9" xfId="23996" xr:uid="{00000000-0005-0000-0000-000046400000}"/>
    <cellStyle name="40% - Accent5 60" xfId="1431" xr:uid="{00000000-0005-0000-0000-000047400000}"/>
    <cellStyle name="40% - Accent5 60 2" xfId="4387" xr:uid="{00000000-0005-0000-0000-000048400000}"/>
    <cellStyle name="40% - Accent5 60 2 2" xfId="12366" xr:uid="{00000000-0005-0000-0000-000049400000}"/>
    <cellStyle name="40% - Accent5 60 2 2 2" xfId="23654" xr:uid="{00000000-0005-0000-0000-00004A400000}"/>
    <cellStyle name="40% - Accent5 60 2 3" xfId="10372" xr:uid="{00000000-0005-0000-0000-00004B400000}"/>
    <cellStyle name="40% - Accent5 60 2 3 2" xfId="21660" xr:uid="{00000000-0005-0000-0000-00004C400000}"/>
    <cellStyle name="40% - Accent5 60 2 4" xfId="8378" xr:uid="{00000000-0005-0000-0000-00004D400000}"/>
    <cellStyle name="40% - Accent5 60 2 4 2" xfId="19666" xr:uid="{00000000-0005-0000-0000-00004E400000}"/>
    <cellStyle name="40% - Accent5 60 2 5" xfId="6384" xr:uid="{00000000-0005-0000-0000-00004F400000}"/>
    <cellStyle name="40% - Accent5 60 2 5 2" xfId="17672" xr:uid="{00000000-0005-0000-0000-000050400000}"/>
    <cellStyle name="40% - Accent5 60 2 6" xfId="15678" xr:uid="{00000000-0005-0000-0000-000051400000}"/>
    <cellStyle name="40% - Accent5 60 3" xfId="11369" xr:uid="{00000000-0005-0000-0000-000052400000}"/>
    <cellStyle name="40% - Accent5 60 3 2" xfId="22657" xr:uid="{00000000-0005-0000-0000-000053400000}"/>
    <cellStyle name="40% - Accent5 60 4" xfId="9375" xr:uid="{00000000-0005-0000-0000-000054400000}"/>
    <cellStyle name="40% - Accent5 60 4 2" xfId="20663" xr:uid="{00000000-0005-0000-0000-000055400000}"/>
    <cellStyle name="40% - Accent5 60 5" xfId="7381" xr:uid="{00000000-0005-0000-0000-000056400000}"/>
    <cellStyle name="40% - Accent5 60 5 2" xfId="18669" xr:uid="{00000000-0005-0000-0000-000057400000}"/>
    <cellStyle name="40% - Accent5 60 6" xfId="5387" xr:uid="{00000000-0005-0000-0000-000058400000}"/>
    <cellStyle name="40% - Accent5 60 6 2" xfId="16675" xr:uid="{00000000-0005-0000-0000-000059400000}"/>
    <cellStyle name="40% - Accent5 60 7" xfId="14681" xr:uid="{00000000-0005-0000-0000-00005A400000}"/>
    <cellStyle name="40% - Accent5 60 8" xfId="13367" xr:uid="{00000000-0005-0000-0000-00005B400000}"/>
    <cellStyle name="40% - Accent5 61" xfId="1432" xr:uid="{00000000-0005-0000-0000-00005C400000}"/>
    <cellStyle name="40% - Accent5 61 2" xfId="4388" xr:uid="{00000000-0005-0000-0000-00005D400000}"/>
    <cellStyle name="40% - Accent5 61 2 2" xfId="12367" xr:uid="{00000000-0005-0000-0000-00005E400000}"/>
    <cellStyle name="40% - Accent5 61 2 2 2" xfId="23655" xr:uid="{00000000-0005-0000-0000-00005F400000}"/>
    <cellStyle name="40% - Accent5 61 2 3" xfId="10373" xr:uid="{00000000-0005-0000-0000-000060400000}"/>
    <cellStyle name="40% - Accent5 61 2 3 2" xfId="21661" xr:uid="{00000000-0005-0000-0000-000061400000}"/>
    <cellStyle name="40% - Accent5 61 2 4" xfId="8379" xr:uid="{00000000-0005-0000-0000-000062400000}"/>
    <cellStyle name="40% - Accent5 61 2 4 2" xfId="19667" xr:uid="{00000000-0005-0000-0000-000063400000}"/>
    <cellStyle name="40% - Accent5 61 2 5" xfId="6385" xr:uid="{00000000-0005-0000-0000-000064400000}"/>
    <cellStyle name="40% - Accent5 61 2 5 2" xfId="17673" xr:uid="{00000000-0005-0000-0000-000065400000}"/>
    <cellStyle name="40% - Accent5 61 2 6" xfId="15679" xr:uid="{00000000-0005-0000-0000-000066400000}"/>
    <cellStyle name="40% - Accent5 61 3" xfId="11370" xr:uid="{00000000-0005-0000-0000-000067400000}"/>
    <cellStyle name="40% - Accent5 61 3 2" xfId="22658" xr:uid="{00000000-0005-0000-0000-000068400000}"/>
    <cellStyle name="40% - Accent5 61 4" xfId="9376" xr:uid="{00000000-0005-0000-0000-000069400000}"/>
    <cellStyle name="40% - Accent5 61 4 2" xfId="20664" xr:uid="{00000000-0005-0000-0000-00006A400000}"/>
    <cellStyle name="40% - Accent5 61 5" xfId="7382" xr:uid="{00000000-0005-0000-0000-00006B400000}"/>
    <cellStyle name="40% - Accent5 61 5 2" xfId="18670" xr:uid="{00000000-0005-0000-0000-00006C400000}"/>
    <cellStyle name="40% - Accent5 61 6" xfId="5388" xr:uid="{00000000-0005-0000-0000-00006D400000}"/>
    <cellStyle name="40% - Accent5 61 6 2" xfId="16676" xr:uid="{00000000-0005-0000-0000-00006E400000}"/>
    <cellStyle name="40% - Accent5 61 7" xfId="14682" xr:uid="{00000000-0005-0000-0000-00006F400000}"/>
    <cellStyle name="40% - Accent5 61 8" xfId="13368" xr:uid="{00000000-0005-0000-0000-000070400000}"/>
    <cellStyle name="40% - Accent5 62" xfId="1433" xr:uid="{00000000-0005-0000-0000-000071400000}"/>
    <cellStyle name="40% - Accent5 62 2" xfId="4389" xr:uid="{00000000-0005-0000-0000-000072400000}"/>
    <cellStyle name="40% - Accent5 62 2 2" xfId="12368" xr:uid="{00000000-0005-0000-0000-000073400000}"/>
    <cellStyle name="40% - Accent5 62 2 2 2" xfId="23656" xr:uid="{00000000-0005-0000-0000-000074400000}"/>
    <cellStyle name="40% - Accent5 62 2 3" xfId="10374" xr:uid="{00000000-0005-0000-0000-000075400000}"/>
    <cellStyle name="40% - Accent5 62 2 3 2" xfId="21662" xr:uid="{00000000-0005-0000-0000-000076400000}"/>
    <cellStyle name="40% - Accent5 62 2 4" xfId="8380" xr:uid="{00000000-0005-0000-0000-000077400000}"/>
    <cellStyle name="40% - Accent5 62 2 4 2" xfId="19668" xr:uid="{00000000-0005-0000-0000-000078400000}"/>
    <cellStyle name="40% - Accent5 62 2 5" xfId="6386" xr:uid="{00000000-0005-0000-0000-000079400000}"/>
    <cellStyle name="40% - Accent5 62 2 5 2" xfId="17674" xr:uid="{00000000-0005-0000-0000-00007A400000}"/>
    <cellStyle name="40% - Accent5 62 2 6" xfId="15680" xr:uid="{00000000-0005-0000-0000-00007B400000}"/>
    <cellStyle name="40% - Accent5 62 3" xfId="11371" xr:uid="{00000000-0005-0000-0000-00007C400000}"/>
    <cellStyle name="40% - Accent5 62 3 2" xfId="22659" xr:uid="{00000000-0005-0000-0000-00007D400000}"/>
    <cellStyle name="40% - Accent5 62 4" xfId="9377" xr:uid="{00000000-0005-0000-0000-00007E400000}"/>
    <cellStyle name="40% - Accent5 62 4 2" xfId="20665" xr:uid="{00000000-0005-0000-0000-00007F400000}"/>
    <cellStyle name="40% - Accent5 62 5" xfId="7383" xr:uid="{00000000-0005-0000-0000-000080400000}"/>
    <cellStyle name="40% - Accent5 62 5 2" xfId="18671" xr:uid="{00000000-0005-0000-0000-000081400000}"/>
    <cellStyle name="40% - Accent5 62 6" xfId="5389" xr:uid="{00000000-0005-0000-0000-000082400000}"/>
    <cellStyle name="40% - Accent5 62 6 2" xfId="16677" xr:uid="{00000000-0005-0000-0000-000083400000}"/>
    <cellStyle name="40% - Accent5 62 7" xfId="14683" xr:uid="{00000000-0005-0000-0000-000084400000}"/>
    <cellStyle name="40% - Accent5 62 8" xfId="13369" xr:uid="{00000000-0005-0000-0000-000085400000}"/>
    <cellStyle name="40% - Accent5 63" xfId="1434" xr:uid="{00000000-0005-0000-0000-000086400000}"/>
    <cellStyle name="40% - Accent5 63 2" xfId="4390" xr:uid="{00000000-0005-0000-0000-000087400000}"/>
    <cellStyle name="40% - Accent5 63 2 2" xfId="12369" xr:uid="{00000000-0005-0000-0000-000088400000}"/>
    <cellStyle name="40% - Accent5 63 2 2 2" xfId="23657" xr:uid="{00000000-0005-0000-0000-000089400000}"/>
    <cellStyle name="40% - Accent5 63 2 3" xfId="10375" xr:uid="{00000000-0005-0000-0000-00008A400000}"/>
    <cellStyle name="40% - Accent5 63 2 3 2" xfId="21663" xr:uid="{00000000-0005-0000-0000-00008B400000}"/>
    <cellStyle name="40% - Accent5 63 2 4" xfId="8381" xr:uid="{00000000-0005-0000-0000-00008C400000}"/>
    <cellStyle name="40% - Accent5 63 2 4 2" xfId="19669" xr:uid="{00000000-0005-0000-0000-00008D400000}"/>
    <cellStyle name="40% - Accent5 63 2 5" xfId="6387" xr:uid="{00000000-0005-0000-0000-00008E400000}"/>
    <cellStyle name="40% - Accent5 63 2 5 2" xfId="17675" xr:uid="{00000000-0005-0000-0000-00008F400000}"/>
    <cellStyle name="40% - Accent5 63 2 6" xfId="15681" xr:uid="{00000000-0005-0000-0000-000090400000}"/>
    <cellStyle name="40% - Accent5 63 3" xfId="11372" xr:uid="{00000000-0005-0000-0000-000091400000}"/>
    <cellStyle name="40% - Accent5 63 3 2" xfId="22660" xr:uid="{00000000-0005-0000-0000-000092400000}"/>
    <cellStyle name="40% - Accent5 63 4" xfId="9378" xr:uid="{00000000-0005-0000-0000-000093400000}"/>
    <cellStyle name="40% - Accent5 63 4 2" xfId="20666" xr:uid="{00000000-0005-0000-0000-000094400000}"/>
    <cellStyle name="40% - Accent5 63 5" xfId="7384" xr:uid="{00000000-0005-0000-0000-000095400000}"/>
    <cellStyle name="40% - Accent5 63 5 2" xfId="18672" xr:uid="{00000000-0005-0000-0000-000096400000}"/>
    <cellStyle name="40% - Accent5 63 6" xfId="5390" xr:uid="{00000000-0005-0000-0000-000097400000}"/>
    <cellStyle name="40% - Accent5 63 6 2" xfId="16678" xr:uid="{00000000-0005-0000-0000-000098400000}"/>
    <cellStyle name="40% - Accent5 63 7" xfId="14684" xr:uid="{00000000-0005-0000-0000-000099400000}"/>
    <cellStyle name="40% - Accent5 63 8" xfId="13370" xr:uid="{00000000-0005-0000-0000-00009A400000}"/>
    <cellStyle name="40% - Accent5 64" xfId="1435" xr:uid="{00000000-0005-0000-0000-00009B400000}"/>
    <cellStyle name="40% - Accent5 64 2" xfId="4391" xr:uid="{00000000-0005-0000-0000-00009C400000}"/>
    <cellStyle name="40% - Accent5 64 2 2" xfId="12370" xr:uid="{00000000-0005-0000-0000-00009D400000}"/>
    <cellStyle name="40% - Accent5 64 2 2 2" xfId="23658" xr:uid="{00000000-0005-0000-0000-00009E400000}"/>
    <cellStyle name="40% - Accent5 64 2 3" xfId="10376" xr:uid="{00000000-0005-0000-0000-00009F400000}"/>
    <cellStyle name="40% - Accent5 64 2 3 2" xfId="21664" xr:uid="{00000000-0005-0000-0000-0000A0400000}"/>
    <cellStyle name="40% - Accent5 64 2 4" xfId="8382" xr:uid="{00000000-0005-0000-0000-0000A1400000}"/>
    <cellStyle name="40% - Accent5 64 2 4 2" xfId="19670" xr:uid="{00000000-0005-0000-0000-0000A2400000}"/>
    <cellStyle name="40% - Accent5 64 2 5" xfId="6388" xr:uid="{00000000-0005-0000-0000-0000A3400000}"/>
    <cellStyle name="40% - Accent5 64 2 5 2" xfId="17676" xr:uid="{00000000-0005-0000-0000-0000A4400000}"/>
    <cellStyle name="40% - Accent5 64 2 6" xfId="15682" xr:uid="{00000000-0005-0000-0000-0000A5400000}"/>
    <cellStyle name="40% - Accent5 64 3" xfId="11373" xr:uid="{00000000-0005-0000-0000-0000A6400000}"/>
    <cellStyle name="40% - Accent5 64 3 2" xfId="22661" xr:uid="{00000000-0005-0000-0000-0000A7400000}"/>
    <cellStyle name="40% - Accent5 64 4" xfId="9379" xr:uid="{00000000-0005-0000-0000-0000A8400000}"/>
    <cellStyle name="40% - Accent5 64 4 2" xfId="20667" xr:uid="{00000000-0005-0000-0000-0000A9400000}"/>
    <cellStyle name="40% - Accent5 64 5" xfId="7385" xr:uid="{00000000-0005-0000-0000-0000AA400000}"/>
    <cellStyle name="40% - Accent5 64 5 2" xfId="18673" xr:uid="{00000000-0005-0000-0000-0000AB400000}"/>
    <cellStyle name="40% - Accent5 64 6" xfId="5391" xr:uid="{00000000-0005-0000-0000-0000AC400000}"/>
    <cellStyle name="40% - Accent5 64 6 2" xfId="16679" xr:uid="{00000000-0005-0000-0000-0000AD400000}"/>
    <cellStyle name="40% - Accent5 64 7" xfId="14685" xr:uid="{00000000-0005-0000-0000-0000AE400000}"/>
    <cellStyle name="40% - Accent5 64 8" xfId="13371" xr:uid="{00000000-0005-0000-0000-0000AF400000}"/>
    <cellStyle name="40% - Accent5 65" xfId="1436" xr:uid="{00000000-0005-0000-0000-0000B0400000}"/>
    <cellStyle name="40% - Accent5 65 2" xfId="4392" xr:uid="{00000000-0005-0000-0000-0000B1400000}"/>
    <cellStyle name="40% - Accent5 65 2 2" xfId="12371" xr:uid="{00000000-0005-0000-0000-0000B2400000}"/>
    <cellStyle name="40% - Accent5 65 2 2 2" xfId="23659" xr:uid="{00000000-0005-0000-0000-0000B3400000}"/>
    <cellStyle name="40% - Accent5 65 2 3" xfId="10377" xr:uid="{00000000-0005-0000-0000-0000B4400000}"/>
    <cellStyle name="40% - Accent5 65 2 3 2" xfId="21665" xr:uid="{00000000-0005-0000-0000-0000B5400000}"/>
    <cellStyle name="40% - Accent5 65 2 4" xfId="8383" xr:uid="{00000000-0005-0000-0000-0000B6400000}"/>
    <cellStyle name="40% - Accent5 65 2 4 2" xfId="19671" xr:uid="{00000000-0005-0000-0000-0000B7400000}"/>
    <cellStyle name="40% - Accent5 65 2 5" xfId="6389" xr:uid="{00000000-0005-0000-0000-0000B8400000}"/>
    <cellStyle name="40% - Accent5 65 2 5 2" xfId="17677" xr:uid="{00000000-0005-0000-0000-0000B9400000}"/>
    <cellStyle name="40% - Accent5 65 2 6" xfId="15683" xr:uid="{00000000-0005-0000-0000-0000BA400000}"/>
    <cellStyle name="40% - Accent5 65 3" xfId="11374" xr:uid="{00000000-0005-0000-0000-0000BB400000}"/>
    <cellStyle name="40% - Accent5 65 3 2" xfId="22662" xr:uid="{00000000-0005-0000-0000-0000BC400000}"/>
    <cellStyle name="40% - Accent5 65 4" xfId="9380" xr:uid="{00000000-0005-0000-0000-0000BD400000}"/>
    <cellStyle name="40% - Accent5 65 4 2" xfId="20668" xr:uid="{00000000-0005-0000-0000-0000BE400000}"/>
    <cellStyle name="40% - Accent5 65 5" xfId="7386" xr:uid="{00000000-0005-0000-0000-0000BF400000}"/>
    <cellStyle name="40% - Accent5 65 5 2" xfId="18674" xr:uid="{00000000-0005-0000-0000-0000C0400000}"/>
    <cellStyle name="40% - Accent5 65 6" xfId="5392" xr:uid="{00000000-0005-0000-0000-0000C1400000}"/>
    <cellStyle name="40% - Accent5 65 6 2" xfId="16680" xr:uid="{00000000-0005-0000-0000-0000C2400000}"/>
    <cellStyle name="40% - Accent5 65 7" xfId="14686" xr:uid="{00000000-0005-0000-0000-0000C3400000}"/>
    <cellStyle name="40% - Accent5 65 8" xfId="13372" xr:uid="{00000000-0005-0000-0000-0000C4400000}"/>
    <cellStyle name="40% - Accent5 66" xfId="1437" xr:uid="{00000000-0005-0000-0000-0000C5400000}"/>
    <cellStyle name="40% - Accent5 66 2" xfId="4393" xr:uid="{00000000-0005-0000-0000-0000C6400000}"/>
    <cellStyle name="40% - Accent5 66 2 2" xfId="12372" xr:uid="{00000000-0005-0000-0000-0000C7400000}"/>
    <cellStyle name="40% - Accent5 66 2 2 2" xfId="23660" xr:uid="{00000000-0005-0000-0000-0000C8400000}"/>
    <cellStyle name="40% - Accent5 66 2 3" xfId="10378" xr:uid="{00000000-0005-0000-0000-0000C9400000}"/>
    <cellStyle name="40% - Accent5 66 2 3 2" xfId="21666" xr:uid="{00000000-0005-0000-0000-0000CA400000}"/>
    <cellStyle name="40% - Accent5 66 2 4" xfId="8384" xr:uid="{00000000-0005-0000-0000-0000CB400000}"/>
    <cellStyle name="40% - Accent5 66 2 4 2" xfId="19672" xr:uid="{00000000-0005-0000-0000-0000CC400000}"/>
    <cellStyle name="40% - Accent5 66 2 5" xfId="6390" xr:uid="{00000000-0005-0000-0000-0000CD400000}"/>
    <cellStyle name="40% - Accent5 66 2 5 2" xfId="17678" xr:uid="{00000000-0005-0000-0000-0000CE400000}"/>
    <cellStyle name="40% - Accent5 66 2 6" xfId="15684" xr:uid="{00000000-0005-0000-0000-0000CF400000}"/>
    <cellStyle name="40% - Accent5 66 3" xfId="11375" xr:uid="{00000000-0005-0000-0000-0000D0400000}"/>
    <cellStyle name="40% - Accent5 66 3 2" xfId="22663" xr:uid="{00000000-0005-0000-0000-0000D1400000}"/>
    <cellStyle name="40% - Accent5 66 4" xfId="9381" xr:uid="{00000000-0005-0000-0000-0000D2400000}"/>
    <cellStyle name="40% - Accent5 66 4 2" xfId="20669" xr:uid="{00000000-0005-0000-0000-0000D3400000}"/>
    <cellStyle name="40% - Accent5 66 5" xfId="7387" xr:uid="{00000000-0005-0000-0000-0000D4400000}"/>
    <cellStyle name="40% - Accent5 66 5 2" xfId="18675" xr:uid="{00000000-0005-0000-0000-0000D5400000}"/>
    <cellStyle name="40% - Accent5 66 6" xfId="5393" xr:uid="{00000000-0005-0000-0000-0000D6400000}"/>
    <cellStyle name="40% - Accent5 66 6 2" xfId="16681" xr:uid="{00000000-0005-0000-0000-0000D7400000}"/>
    <cellStyle name="40% - Accent5 66 7" xfId="14687" xr:uid="{00000000-0005-0000-0000-0000D8400000}"/>
    <cellStyle name="40% - Accent5 66 8" xfId="13373" xr:uid="{00000000-0005-0000-0000-0000D9400000}"/>
    <cellStyle name="40% - Accent5 67" xfId="1438" xr:uid="{00000000-0005-0000-0000-0000DA400000}"/>
    <cellStyle name="40% - Accent5 67 2" xfId="4394" xr:uid="{00000000-0005-0000-0000-0000DB400000}"/>
    <cellStyle name="40% - Accent5 67 2 2" xfId="12373" xr:uid="{00000000-0005-0000-0000-0000DC400000}"/>
    <cellStyle name="40% - Accent5 67 2 2 2" xfId="23661" xr:uid="{00000000-0005-0000-0000-0000DD400000}"/>
    <cellStyle name="40% - Accent5 67 2 3" xfId="10379" xr:uid="{00000000-0005-0000-0000-0000DE400000}"/>
    <cellStyle name="40% - Accent5 67 2 3 2" xfId="21667" xr:uid="{00000000-0005-0000-0000-0000DF400000}"/>
    <cellStyle name="40% - Accent5 67 2 4" xfId="8385" xr:uid="{00000000-0005-0000-0000-0000E0400000}"/>
    <cellStyle name="40% - Accent5 67 2 4 2" xfId="19673" xr:uid="{00000000-0005-0000-0000-0000E1400000}"/>
    <cellStyle name="40% - Accent5 67 2 5" xfId="6391" xr:uid="{00000000-0005-0000-0000-0000E2400000}"/>
    <cellStyle name="40% - Accent5 67 2 5 2" xfId="17679" xr:uid="{00000000-0005-0000-0000-0000E3400000}"/>
    <cellStyle name="40% - Accent5 67 2 6" xfId="15685" xr:uid="{00000000-0005-0000-0000-0000E4400000}"/>
    <cellStyle name="40% - Accent5 67 3" xfId="11376" xr:uid="{00000000-0005-0000-0000-0000E5400000}"/>
    <cellStyle name="40% - Accent5 67 3 2" xfId="22664" xr:uid="{00000000-0005-0000-0000-0000E6400000}"/>
    <cellStyle name="40% - Accent5 67 4" xfId="9382" xr:uid="{00000000-0005-0000-0000-0000E7400000}"/>
    <cellStyle name="40% - Accent5 67 4 2" xfId="20670" xr:uid="{00000000-0005-0000-0000-0000E8400000}"/>
    <cellStyle name="40% - Accent5 67 5" xfId="7388" xr:uid="{00000000-0005-0000-0000-0000E9400000}"/>
    <cellStyle name="40% - Accent5 67 5 2" xfId="18676" xr:uid="{00000000-0005-0000-0000-0000EA400000}"/>
    <cellStyle name="40% - Accent5 67 6" xfId="5394" xr:uid="{00000000-0005-0000-0000-0000EB400000}"/>
    <cellStyle name="40% - Accent5 67 6 2" xfId="16682" xr:uid="{00000000-0005-0000-0000-0000EC400000}"/>
    <cellStyle name="40% - Accent5 67 7" xfId="14688" xr:uid="{00000000-0005-0000-0000-0000ED400000}"/>
    <cellStyle name="40% - Accent5 67 8" xfId="13374" xr:uid="{00000000-0005-0000-0000-0000EE400000}"/>
    <cellStyle name="40% - Accent5 68" xfId="1439" xr:uid="{00000000-0005-0000-0000-0000EF400000}"/>
    <cellStyle name="40% - Accent5 68 2" xfId="4395" xr:uid="{00000000-0005-0000-0000-0000F0400000}"/>
    <cellStyle name="40% - Accent5 68 2 2" xfId="12374" xr:uid="{00000000-0005-0000-0000-0000F1400000}"/>
    <cellStyle name="40% - Accent5 68 2 2 2" xfId="23662" xr:uid="{00000000-0005-0000-0000-0000F2400000}"/>
    <cellStyle name="40% - Accent5 68 2 3" xfId="10380" xr:uid="{00000000-0005-0000-0000-0000F3400000}"/>
    <cellStyle name="40% - Accent5 68 2 3 2" xfId="21668" xr:uid="{00000000-0005-0000-0000-0000F4400000}"/>
    <cellStyle name="40% - Accent5 68 2 4" xfId="8386" xr:uid="{00000000-0005-0000-0000-0000F5400000}"/>
    <cellStyle name="40% - Accent5 68 2 4 2" xfId="19674" xr:uid="{00000000-0005-0000-0000-0000F6400000}"/>
    <cellStyle name="40% - Accent5 68 2 5" xfId="6392" xr:uid="{00000000-0005-0000-0000-0000F7400000}"/>
    <cellStyle name="40% - Accent5 68 2 5 2" xfId="17680" xr:uid="{00000000-0005-0000-0000-0000F8400000}"/>
    <cellStyle name="40% - Accent5 68 2 6" xfId="15686" xr:uid="{00000000-0005-0000-0000-0000F9400000}"/>
    <cellStyle name="40% - Accent5 68 3" xfId="11377" xr:uid="{00000000-0005-0000-0000-0000FA400000}"/>
    <cellStyle name="40% - Accent5 68 3 2" xfId="22665" xr:uid="{00000000-0005-0000-0000-0000FB400000}"/>
    <cellStyle name="40% - Accent5 68 4" xfId="9383" xr:uid="{00000000-0005-0000-0000-0000FC400000}"/>
    <cellStyle name="40% - Accent5 68 4 2" xfId="20671" xr:uid="{00000000-0005-0000-0000-0000FD400000}"/>
    <cellStyle name="40% - Accent5 68 5" xfId="7389" xr:uid="{00000000-0005-0000-0000-0000FE400000}"/>
    <cellStyle name="40% - Accent5 68 5 2" xfId="18677" xr:uid="{00000000-0005-0000-0000-0000FF400000}"/>
    <cellStyle name="40% - Accent5 68 6" xfId="5395" xr:uid="{00000000-0005-0000-0000-000000410000}"/>
    <cellStyle name="40% - Accent5 68 6 2" xfId="16683" xr:uid="{00000000-0005-0000-0000-000001410000}"/>
    <cellStyle name="40% - Accent5 68 7" xfId="14689" xr:uid="{00000000-0005-0000-0000-000002410000}"/>
    <cellStyle name="40% - Accent5 68 8" xfId="13375" xr:uid="{00000000-0005-0000-0000-000003410000}"/>
    <cellStyle name="40% - Accent5 69" xfId="1440" xr:uid="{00000000-0005-0000-0000-000004410000}"/>
    <cellStyle name="40% - Accent5 69 2" xfId="4396" xr:uid="{00000000-0005-0000-0000-000005410000}"/>
    <cellStyle name="40% - Accent5 69 2 2" xfId="12375" xr:uid="{00000000-0005-0000-0000-000006410000}"/>
    <cellStyle name="40% - Accent5 69 2 2 2" xfId="23663" xr:uid="{00000000-0005-0000-0000-000007410000}"/>
    <cellStyle name="40% - Accent5 69 2 3" xfId="10381" xr:uid="{00000000-0005-0000-0000-000008410000}"/>
    <cellStyle name="40% - Accent5 69 2 3 2" xfId="21669" xr:uid="{00000000-0005-0000-0000-000009410000}"/>
    <cellStyle name="40% - Accent5 69 2 4" xfId="8387" xr:uid="{00000000-0005-0000-0000-00000A410000}"/>
    <cellStyle name="40% - Accent5 69 2 4 2" xfId="19675" xr:uid="{00000000-0005-0000-0000-00000B410000}"/>
    <cellStyle name="40% - Accent5 69 2 5" xfId="6393" xr:uid="{00000000-0005-0000-0000-00000C410000}"/>
    <cellStyle name="40% - Accent5 69 2 5 2" xfId="17681" xr:uid="{00000000-0005-0000-0000-00000D410000}"/>
    <cellStyle name="40% - Accent5 69 2 6" xfId="15687" xr:uid="{00000000-0005-0000-0000-00000E410000}"/>
    <cellStyle name="40% - Accent5 69 3" xfId="11378" xr:uid="{00000000-0005-0000-0000-00000F410000}"/>
    <cellStyle name="40% - Accent5 69 3 2" xfId="22666" xr:uid="{00000000-0005-0000-0000-000010410000}"/>
    <cellStyle name="40% - Accent5 69 4" xfId="9384" xr:uid="{00000000-0005-0000-0000-000011410000}"/>
    <cellStyle name="40% - Accent5 69 4 2" xfId="20672" xr:uid="{00000000-0005-0000-0000-000012410000}"/>
    <cellStyle name="40% - Accent5 69 5" xfId="7390" xr:uid="{00000000-0005-0000-0000-000013410000}"/>
    <cellStyle name="40% - Accent5 69 5 2" xfId="18678" xr:uid="{00000000-0005-0000-0000-000014410000}"/>
    <cellStyle name="40% - Accent5 69 6" xfId="5396" xr:uid="{00000000-0005-0000-0000-000015410000}"/>
    <cellStyle name="40% - Accent5 69 6 2" xfId="16684" xr:uid="{00000000-0005-0000-0000-000016410000}"/>
    <cellStyle name="40% - Accent5 69 7" xfId="14690" xr:uid="{00000000-0005-0000-0000-000017410000}"/>
    <cellStyle name="40% - Accent5 69 8" xfId="13376" xr:uid="{00000000-0005-0000-0000-000018410000}"/>
    <cellStyle name="40% - Accent5 7" xfId="1441" xr:uid="{00000000-0005-0000-0000-000019410000}"/>
    <cellStyle name="40% - Accent5 7 10" xfId="24624" xr:uid="{00000000-0005-0000-0000-00001A410000}"/>
    <cellStyle name="40% - Accent5 7 11" xfId="25014" xr:uid="{00000000-0005-0000-0000-00001B410000}"/>
    <cellStyle name="40% - Accent5 7 2" xfId="4397" xr:uid="{00000000-0005-0000-0000-00001C410000}"/>
    <cellStyle name="40% - Accent5 7 2 2" xfId="12376" xr:uid="{00000000-0005-0000-0000-00001D410000}"/>
    <cellStyle name="40% - Accent5 7 2 2 2" xfId="23664" xr:uid="{00000000-0005-0000-0000-00001E410000}"/>
    <cellStyle name="40% - Accent5 7 2 3" xfId="10382" xr:uid="{00000000-0005-0000-0000-00001F410000}"/>
    <cellStyle name="40% - Accent5 7 2 3 2" xfId="21670" xr:uid="{00000000-0005-0000-0000-000020410000}"/>
    <cellStyle name="40% - Accent5 7 2 4" xfId="8388" xr:uid="{00000000-0005-0000-0000-000021410000}"/>
    <cellStyle name="40% - Accent5 7 2 4 2" xfId="19676" xr:uid="{00000000-0005-0000-0000-000022410000}"/>
    <cellStyle name="40% - Accent5 7 2 5" xfId="6394" xr:uid="{00000000-0005-0000-0000-000023410000}"/>
    <cellStyle name="40% - Accent5 7 2 5 2" xfId="17682" xr:uid="{00000000-0005-0000-0000-000024410000}"/>
    <cellStyle name="40% - Accent5 7 2 6" xfId="15688" xr:uid="{00000000-0005-0000-0000-000025410000}"/>
    <cellStyle name="40% - Accent5 7 2 7" xfId="24385" xr:uid="{00000000-0005-0000-0000-000026410000}"/>
    <cellStyle name="40% - Accent5 7 2 8" xfId="24849" xr:uid="{00000000-0005-0000-0000-000027410000}"/>
    <cellStyle name="40% - Accent5 7 2 9" xfId="25216" xr:uid="{00000000-0005-0000-0000-000028410000}"/>
    <cellStyle name="40% - Accent5 7 3" xfId="11379" xr:uid="{00000000-0005-0000-0000-000029410000}"/>
    <cellStyle name="40% - Accent5 7 3 2" xfId="22667" xr:uid="{00000000-0005-0000-0000-00002A410000}"/>
    <cellStyle name="40% - Accent5 7 4" xfId="9385" xr:uid="{00000000-0005-0000-0000-00002B410000}"/>
    <cellStyle name="40% - Accent5 7 4 2" xfId="20673" xr:uid="{00000000-0005-0000-0000-00002C410000}"/>
    <cellStyle name="40% - Accent5 7 5" xfId="7391" xr:uid="{00000000-0005-0000-0000-00002D410000}"/>
    <cellStyle name="40% - Accent5 7 5 2" xfId="18679" xr:uid="{00000000-0005-0000-0000-00002E410000}"/>
    <cellStyle name="40% - Accent5 7 6" xfId="5397" xr:uid="{00000000-0005-0000-0000-00002F410000}"/>
    <cellStyle name="40% - Accent5 7 6 2" xfId="16685" xr:uid="{00000000-0005-0000-0000-000030410000}"/>
    <cellStyle name="40% - Accent5 7 7" xfId="14691" xr:uid="{00000000-0005-0000-0000-000031410000}"/>
    <cellStyle name="40% - Accent5 7 8" xfId="13377" xr:uid="{00000000-0005-0000-0000-000032410000}"/>
    <cellStyle name="40% - Accent5 7 9" xfId="23997" xr:uid="{00000000-0005-0000-0000-000033410000}"/>
    <cellStyle name="40% - Accent5 70" xfId="1442" xr:uid="{00000000-0005-0000-0000-000034410000}"/>
    <cellStyle name="40% - Accent5 70 2" xfId="4398" xr:uid="{00000000-0005-0000-0000-000035410000}"/>
    <cellStyle name="40% - Accent5 70 2 2" xfId="12377" xr:uid="{00000000-0005-0000-0000-000036410000}"/>
    <cellStyle name="40% - Accent5 70 2 2 2" xfId="23665" xr:uid="{00000000-0005-0000-0000-000037410000}"/>
    <cellStyle name="40% - Accent5 70 2 3" xfId="10383" xr:uid="{00000000-0005-0000-0000-000038410000}"/>
    <cellStyle name="40% - Accent5 70 2 3 2" xfId="21671" xr:uid="{00000000-0005-0000-0000-000039410000}"/>
    <cellStyle name="40% - Accent5 70 2 4" xfId="8389" xr:uid="{00000000-0005-0000-0000-00003A410000}"/>
    <cellStyle name="40% - Accent5 70 2 4 2" xfId="19677" xr:uid="{00000000-0005-0000-0000-00003B410000}"/>
    <cellStyle name="40% - Accent5 70 2 5" xfId="6395" xr:uid="{00000000-0005-0000-0000-00003C410000}"/>
    <cellStyle name="40% - Accent5 70 2 5 2" xfId="17683" xr:uid="{00000000-0005-0000-0000-00003D410000}"/>
    <cellStyle name="40% - Accent5 70 2 6" xfId="15689" xr:uid="{00000000-0005-0000-0000-00003E410000}"/>
    <cellStyle name="40% - Accent5 70 3" xfId="11380" xr:uid="{00000000-0005-0000-0000-00003F410000}"/>
    <cellStyle name="40% - Accent5 70 3 2" xfId="22668" xr:uid="{00000000-0005-0000-0000-000040410000}"/>
    <cellStyle name="40% - Accent5 70 4" xfId="9386" xr:uid="{00000000-0005-0000-0000-000041410000}"/>
    <cellStyle name="40% - Accent5 70 4 2" xfId="20674" xr:uid="{00000000-0005-0000-0000-000042410000}"/>
    <cellStyle name="40% - Accent5 70 5" xfId="7392" xr:uid="{00000000-0005-0000-0000-000043410000}"/>
    <cellStyle name="40% - Accent5 70 5 2" xfId="18680" xr:uid="{00000000-0005-0000-0000-000044410000}"/>
    <cellStyle name="40% - Accent5 70 6" xfId="5398" xr:uid="{00000000-0005-0000-0000-000045410000}"/>
    <cellStyle name="40% - Accent5 70 6 2" xfId="16686" xr:uid="{00000000-0005-0000-0000-000046410000}"/>
    <cellStyle name="40% - Accent5 70 7" xfId="14692" xr:uid="{00000000-0005-0000-0000-000047410000}"/>
    <cellStyle name="40% - Accent5 70 8" xfId="13378" xr:uid="{00000000-0005-0000-0000-000048410000}"/>
    <cellStyle name="40% - Accent5 71" xfId="1443" xr:uid="{00000000-0005-0000-0000-000049410000}"/>
    <cellStyle name="40% - Accent5 71 2" xfId="4399" xr:uid="{00000000-0005-0000-0000-00004A410000}"/>
    <cellStyle name="40% - Accent5 71 2 2" xfId="12378" xr:uid="{00000000-0005-0000-0000-00004B410000}"/>
    <cellStyle name="40% - Accent5 71 2 2 2" xfId="23666" xr:uid="{00000000-0005-0000-0000-00004C410000}"/>
    <cellStyle name="40% - Accent5 71 2 3" xfId="10384" xr:uid="{00000000-0005-0000-0000-00004D410000}"/>
    <cellStyle name="40% - Accent5 71 2 3 2" xfId="21672" xr:uid="{00000000-0005-0000-0000-00004E410000}"/>
    <cellStyle name="40% - Accent5 71 2 4" xfId="8390" xr:uid="{00000000-0005-0000-0000-00004F410000}"/>
    <cellStyle name="40% - Accent5 71 2 4 2" xfId="19678" xr:uid="{00000000-0005-0000-0000-000050410000}"/>
    <cellStyle name="40% - Accent5 71 2 5" xfId="6396" xr:uid="{00000000-0005-0000-0000-000051410000}"/>
    <cellStyle name="40% - Accent5 71 2 5 2" xfId="17684" xr:uid="{00000000-0005-0000-0000-000052410000}"/>
    <cellStyle name="40% - Accent5 71 2 6" xfId="15690" xr:uid="{00000000-0005-0000-0000-000053410000}"/>
    <cellStyle name="40% - Accent5 71 3" xfId="11381" xr:uid="{00000000-0005-0000-0000-000054410000}"/>
    <cellStyle name="40% - Accent5 71 3 2" xfId="22669" xr:uid="{00000000-0005-0000-0000-000055410000}"/>
    <cellStyle name="40% - Accent5 71 4" xfId="9387" xr:uid="{00000000-0005-0000-0000-000056410000}"/>
    <cellStyle name="40% - Accent5 71 4 2" xfId="20675" xr:uid="{00000000-0005-0000-0000-000057410000}"/>
    <cellStyle name="40% - Accent5 71 5" xfId="7393" xr:uid="{00000000-0005-0000-0000-000058410000}"/>
    <cellStyle name="40% - Accent5 71 5 2" xfId="18681" xr:uid="{00000000-0005-0000-0000-000059410000}"/>
    <cellStyle name="40% - Accent5 71 6" xfId="5399" xr:uid="{00000000-0005-0000-0000-00005A410000}"/>
    <cellStyle name="40% - Accent5 71 6 2" xfId="16687" xr:uid="{00000000-0005-0000-0000-00005B410000}"/>
    <cellStyle name="40% - Accent5 71 7" xfId="14693" xr:uid="{00000000-0005-0000-0000-00005C410000}"/>
    <cellStyle name="40% - Accent5 71 8" xfId="13379" xr:uid="{00000000-0005-0000-0000-00005D410000}"/>
    <cellStyle name="40% - Accent5 72" xfId="1444" xr:uid="{00000000-0005-0000-0000-00005E410000}"/>
    <cellStyle name="40% - Accent5 72 2" xfId="4400" xr:uid="{00000000-0005-0000-0000-00005F410000}"/>
    <cellStyle name="40% - Accent5 72 2 2" xfId="12379" xr:uid="{00000000-0005-0000-0000-000060410000}"/>
    <cellStyle name="40% - Accent5 72 2 2 2" xfId="23667" xr:uid="{00000000-0005-0000-0000-000061410000}"/>
    <cellStyle name="40% - Accent5 72 2 3" xfId="10385" xr:uid="{00000000-0005-0000-0000-000062410000}"/>
    <cellStyle name="40% - Accent5 72 2 3 2" xfId="21673" xr:uid="{00000000-0005-0000-0000-000063410000}"/>
    <cellStyle name="40% - Accent5 72 2 4" xfId="8391" xr:uid="{00000000-0005-0000-0000-000064410000}"/>
    <cellStyle name="40% - Accent5 72 2 4 2" xfId="19679" xr:uid="{00000000-0005-0000-0000-000065410000}"/>
    <cellStyle name="40% - Accent5 72 2 5" xfId="6397" xr:uid="{00000000-0005-0000-0000-000066410000}"/>
    <cellStyle name="40% - Accent5 72 2 5 2" xfId="17685" xr:uid="{00000000-0005-0000-0000-000067410000}"/>
    <cellStyle name="40% - Accent5 72 2 6" xfId="15691" xr:uid="{00000000-0005-0000-0000-000068410000}"/>
    <cellStyle name="40% - Accent5 72 3" xfId="11382" xr:uid="{00000000-0005-0000-0000-000069410000}"/>
    <cellStyle name="40% - Accent5 72 3 2" xfId="22670" xr:uid="{00000000-0005-0000-0000-00006A410000}"/>
    <cellStyle name="40% - Accent5 72 4" xfId="9388" xr:uid="{00000000-0005-0000-0000-00006B410000}"/>
    <cellStyle name="40% - Accent5 72 4 2" xfId="20676" xr:uid="{00000000-0005-0000-0000-00006C410000}"/>
    <cellStyle name="40% - Accent5 72 5" xfId="7394" xr:uid="{00000000-0005-0000-0000-00006D410000}"/>
    <cellStyle name="40% - Accent5 72 5 2" xfId="18682" xr:uid="{00000000-0005-0000-0000-00006E410000}"/>
    <cellStyle name="40% - Accent5 72 6" xfId="5400" xr:uid="{00000000-0005-0000-0000-00006F410000}"/>
    <cellStyle name="40% - Accent5 72 6 2" xfId="16688" xr:uid="{00000000-0005-0000-0000-000070410000}"/>
    <cellStyle name="40% - Accent5 72 7" xfId="14694" xr:uid="{00000000-0005-0000-0000-000071410000}"/>
    <cellStyle name="40% - Accent5 72 8" xfId="13380" xr:uid="{00000000-0005-0000-0000-000072410000}"/>
    <cellStyle name="40% - Accent5 8" xfId="1445" xr:uid="{00000000-0005-0000-0000-000073410000}"/>
    <cellStyle name="40% - Accent5 8 2" xfId="4401" xr:uid="{00000000-0005-0000-0000-000074410000}"/>
    <cellStyle name="40% - Accent5 8 2 2" xfId="12380" xr:uid="{00000000-0005-0000-0000-000075410000}"/>
    <cellStyle name="40% - Accent5 8 2 2 2" xfId="23668" xr:uid="{00000000-0005-0000-0000-000076410000}"/>
    <cellStyle name="40% - Accent5 8 2 3" xfId="10386" xr:uid="{00000000-0005-0000-0000-000077410000}"/>
    <cellStyle name="40% - Accent5 8 2 3 2" xfId="21674" xr:uid="{00000000-0005-0000-0000-000078410000}"/>
    <cellStyle name="40% - Accent5 8 2 4" xfId="8392" xr:uid="{00000000-0005-0000-0000-000079410000}"/>
    <cellStyle name="40% - Accent5 8 2 4 2" xfId="19680" xr:uid="{00000000-0005-0000-0000-00007A410000}"/>
    <cellStyle name="40% - Accent5 8 2 5" xfId="6398" xr:uid="{00000000-0005-0000-0000-00007B410000}"/>
    <cellStyle name="40% - Accent5 8 2 5 2" xfId="17686" xr:uid="{00000000-0005-0000-0000-00007C410000}"/>
    <cellStyle name="40% - Accent5 8 2 6" xfId="15692" xr:uid="{00000000-0005-0000-0000-00007D410000}"/>
    <cellStyle name="40% - Accent5 8 3" xfId="11383" xr:uid="{00000000-0005-0000-0000-00007E410000}"/>
    <cellStyle name="40% - Accent5 8 3 2" xfId="22671" xr:uid="{00000000-0005-0000-0000-00007F410000}"/>
    <cellStyle name="40% - Accent5 8 4" xfId="9389" xr:uid="{00000000-0005-0000-0000-000080410000}"/>
    <cellStyle name="40% - Accent5 8 4 2" xfId="20677" xr:uid="{00000000-0005-0000-0000-000081410000}"/>
    <cellStyle name="40% - Accent5 8 5" xfId="7395" xr:uid="{00000000-0005-0000-0000-000082410000}"/>
    <cellStyle name="40% - Accent5 8 5 2" xfId="18683" xr:uid="{00000000-0005-0000-0000-000083410000}"/>
    <cellStyle name="40% - Accent5 8 6" xfId="5401" xr:uid="{00000000-0005-0000-0000-000084410000}"/>
    <cellStyle name="40% - Accent5 8 6 2" xfId="16689" xr:uid="{00000000-0005-0000-0000-000085410000}"/>
    <cellStyle name="40% - Accent5 8 7" xfId="14695" xr:uid="{00000000-0005-0000-0000-000086410000}"/>
    <cellStyle name="40% - Accent5 8 8" xfId="13381" xr:uid="{00000000-0005-0000-0000-000087410000}"/>
    <cellStyle name="40% - Accent5 9" xfId="1446" xr:uid="{00000000-0005-0000-0000-000088410000}"/>
    <cellStyle name="40% - Accent5 9 2" xfId="4402" xr:uid="{00000000-0005-0000-0000-000089410000}"/>
    <cellStyle name="40% - Accent5 9 2 2" xfId="12381" xr:uid="{00000000-0005-0000-0000-00008A410000}"/>
    <cellStyle name="40% - Accent5 9 2 2 2" xfId="23669" xr:uid="{00000000-0005-0000-0000-00008B410000}"/>
    <cellStyle name="40% - Accent5 9 2 3" xfId="10387" xr:uid="{00000000-0005-0000-0000-00008C410000}"/>
    <cellStyle name="40% - Accent5 9 2 3 2" xfId="21675" xr:uid="{00000000-0005-0000-0000-00008D410000}"/>
    <cellStyle name="40% - Accent5 9 2 4" xfId="8393" xr:uid="{00000000-0005-0000-0000-00008E410000}"/>
    <cellStyle name="40% - Accent5 9 2 4 2" xfId="19681" xr:uid="{00000000-0005-0000-0000-00008F410000}"/>
    <cellStyle name="40% - Accent5 9 2 5" xfId="6399" xr:uid="{00000000-0005-0000-0000-000090410000}"/>
    <cellStyle name="40% - Accent5 9 2 5 2" xfId="17687" xr:uid="{00000000-0005-0000-0000-000091410000}"/>
    <cellStyle name="40% - Accent5 9 2 6" xfId="15693" xr:uid="{00000000-0005-0000-0000-000092410000}"/>
    <cellStyle name="40% - Accent5 9 3" xfId="11384" xr:uid="{00000000-0005-0000-0000-000093410000}"/>
    <cellStyle name="40% - Accent5 9 3 2" xfId="22672" xr:uid="{00000000-0005-0000-0000-000094410000}"/>
    <cellStyle name="40% - Accent5 9 4" xfId="9390" xr:uid="{00000000-0005-0000-0000-000095410000}"/>
    <cellStyle name="40% - Accent5 9 4 2" xfId="20678" xr:uid="{00000000-0005-0000-0000-000096410000}"/>
    <cellStyle name="40% - Accent5 9 5" xfId="7396" xr:uid="{00000000-0005-0000-0000-000097410000}"/>
    <cellStyle name="40% - Accent5 9 5 2" xfId="18684" xr:uid="{00000000-0005-0000-0000-000098410000}"/>
    <cellStyle name="40% - Accent5 9 6" xfId="5402" xr:uid="{00000000-0005-0000-0000-000099410000}"/>
    <cellStyle name="40% - Accent5 9 6 2" xfId="16690" xr:uid="{00000000-0005-0000-0000-00009A410000}"/>
    <cellStyle name="40% - Accent5 9 7" xfId="14696" xr:uid="{00000000-0005-0000-0000-00009B410000}"/>
    <cellStyle name="40% - Accent5 9 8" xfId="13382" xr:uid="{00000000-0005-0000-0000-00009C410000}"/>
    <cellStyle name="40% - Accent6 10" xfId="1447" xr:uid="{00000000-0005-0000-0000-00009D410000}"/>
    <cellStyle name="40% - Accent6 10 2" xfId="4403" xr:uid="{00000000-0005-0000-0000-00009E410000}"/>
    <cellStyle name="40% - Accent6 10 2 2" xfId="12382" xr:uid="{00000000-0005-0000-0000-00009F410000}"/>
    <cellStyle name="40% - Accent6 10 2 2 2" xfId="23670" xr:uid="{00000000-0005-0000-0000-0000A0410000}"/>
    <cellStyle name="40% - Accent6 10 2 3" xfId="10388" xr:uid="{00000000-0005-0000-0000-0000A1410000}"/>
    <cellStyle name="40% - Accent6 10 2 3 2" xfId="21676" xr:uid="{00000000-0005-0000-0000-0000A2410000}"/>
    <cellStyle name="40% - Accent6 10 2 4" xfId="8394" xr:uid="{00000000-0005-0000-0000-0000A3410000}"/>
    <cellStyle name="40% - Accent6 10 2 4 2" xfId="19682" xr:uid="{00000000-0005-0000-0000-0000A4410000}"/>
    <cellStyle name="40% - Accent6 10 2 5" xfId="6400" xr:uid="{00000000-0005-0000-0000-0000A5410000}"/>
    <cellStyle name="40% - Accent6 10 2 5 2" xfId="17688" xr:uid="{00000000-0005-0000-0000-0000A6410000}"/>
    <cellStyle name="40% - Accent6 10 2 6" xfId="15694" xr:uid="{00000000-0005-0000-0000-0000A7410000}"/>
    <cellStyle name="40% - Accent6 10 3" xfId="11385" xr:uid="{00000000-0005-0000-0000-0000A8410000}"/>
    <cellStyle name="40% - Accent6 10 3 2" xfId="22673" xr:uid="{00000000-0005-0000-0000-0000A9410000}"/>
    <cellStyle name="40% - Accent6 10 4" xfId="9391" xr:uid="{00000000-0005-0000-0000-0000AA410000}"/>
    <cellStyle name="40% - Accent6 10 4 2" xfId="20679" xr:uid="{00000000-0005-0000-0000-0000AB410000}"/>
    <cellStyle name="40% - Accent6 10 5" xfId="7397" xr:uid="{00000000-0005-0000-0000-0000AC410000}"/>
    <cellStyle name="40% - Accent6 10 5 2" xfId="18685" xr:uid="{00000000-0005-0000-0000-0000AD410000}"/>
    <cellStyle name="40% - Accent6 10 6" xfId="5403" xr:uid="{00000000-0005-0000-0000-0000AE410000}"/>
    <cellStyle name="40% - Accent6 10 6 2" xfId="16691" xr:uid="{00000000-0005-0000-0000-0000AF410000}"/>
    <cellStyle name="40% - Accent6 10 7" xfId="14697" xr:uid="{00000000-0005-0000-0000-0000B0410000}"/>
    <cellStyle name="40% - Accent6 10 8" xfId="13383" xr:uid="{00000000-0005-0000-0000-0000B1410000}"/>
    <cellStyle name="40% - Accent6 11" xfId="1448" xr:uid="{00000000-0005-0000-0000-0000B2410000}"/>
    <cellStyle name="40% - Accent6 11 2" xfId="4404" xr:uid="{00000000-0005-0000-0000-0000B3410000}"/>
    <cellStyle name="40% - Accent6 11 2 2" xfId="12383" xr:uid="{00000000-0005-0000-0000-0000B4410000}"/>
    <cellStyle name="40% - Accent6 11 2 2 2" xfId="23671" xr:uid="{00000000-0005-0000-0000-0000B5410000}"/>
    <cellStyle name="40% - Accent6 11 2 3" xfId="10389" xr:uid="{00000000-0005-0000-0000-0000B6410000}"/>
    <cellStyle name="40% - Accent6 11 2 3 2" xfId="21677" xr:uid="{00000000-0005-0000-0000-0000B7410000}"/>
    <cellStyle name="40% - Accent6 11 2 4" xfId="8395" xr:uid="{00000000-0005-0000-0000-0000B8410000}"/>
    <cellStyle name="40% - Accent6 11 2 4 2" xfId="19683" xr:uid="{00000000-0005-0000-0000-0000B9410000}"/>
    <cellStyle name="40% - Accent6 11 2 5" xfId="6401" xr:uid="{00000000-0005-0000-0000-0000BA410000}"/>
    <cellStyle name="40% - Accent6 11 2 5 2" xfId="17689" xr:uid="{00000000-0005-0000-0000-0000BB410000}"/>
    <cellStyle name="40% - Accent6 11 2 6" xfId="15695" xr:uid="{00000000-0005-0000-0000-0000BC410000}"/>
    <cellStyle name="40% - Accent6 11 3" xfId="11386" xr:uid="{00000000-0005-0000-0000-0000BD410000}"/>
    <cellStyle name="40% - Accent6 11 3 2" xfId="22674" xr:uid="{00000000-0005-0000-0000-0000BE410000}"/>
    <cellStyle name="40% - Accent6 11 4" xfId="9392" xr:uid="{00000000-0005-0000-0000-0000BF410000}"/>
    <cellStyle name="40% - Accent6 11 4 2" xfId="20680" xr:uid="{00000000-0005-0000-0000-0000C0410000}"/>
    <cellStyle name="40% - Accent6 11 5" xfId="7398" xr:uid="{00000000-0005-0000-0000-0000C1410000}"/>
    <cellStyle name="40% - Accent6 11 5 2" xfId="18686" xr:uid="{00000000-0005-0000-0000-0000C2410000}"/>
    <cellStyle name="40% - Accent6 11 6" xfId="5404" xr:uid="{00000000-0005-0000-0000-0000C3410000}"/>
    <cellStyle name="40% - Accent6 11 6 2" xfId="16692" xr:uid="{00000000-0005-0000-0000-0000C4410000}"/>
    <cellStyle name="40% - Accent6 11 7" xfId="14698" xr:uid="{00000000-0005-0000-0000-0000C5410000}"/>
    <cellStyle name="40% - Accent6 11 8" xfId="13384" xr:uid="{00000000-0005-0000-0000-0000C6410000}"/>
    <cellStyle name="40% - Accent6 12" xfId="1449" xr:uid="{00000000-0005-0000-0000-0000C7410000}"/>
    <cellStyle name="40% - Accent6 12 2" xfId="4405" xr:uid="{00000000-0005-0000-0000-0000C8410000}"/>
    <cellStyle name="40% - Accent6 12 2 2" xfId="12384" xr:uid="{00000000-0005-0000-0000-0000C9410000}"/>
    <cellStyle name="40% - Accent6 12 2 2 2" xfId="23672" xr:uid="{00000000-0005-0000-0000-0000CA410000}"/>
    <cellStyle name="40% - Accent6 12 2 3" xfId="10390" xr:uid="{00000000-0005-0000-0000-0000CB410000}"/>
    <cellStyle name="40% - Accent6 12 2 3 2" xfId="21678" xr:uid="{00000000-0005-0000-0000-0000CC410000}"/>
    <cellStyle name="40% - Accent6 12 2 4" xfId="8396" xr:uid="{00000000-0005-0000-0000-0000CD410000}"/>
    <cellStyle name="40% - Accent6 12 2 4 2" xfId="19684" xr:uid="{00000000-0005-0000-0000-0000CE410000}"/>
    <cellStyle name="40% - Accent6 12 2 5" xfId="6402" xr:uid="{00000000-0005-0000-0000-0000CF410000}"/>
    <cellStyle name="40% - Accent6 12 2 5 2" xfId="17690" xr:uid="{00000000-0005-0000-0000-0000D0410000}"/>
    <cellStyle name="40% - Accent6 12 2 6" xfId="15696" xr:uid="{00000000-0005-0000-0000-0000D1410000}"/>
    <cellStyle name="40% - Accent6 12 3" xfId="11387" xr:uid="{00000000-0005-0000-0000-0000D2410000}"/>
    <cellStyle name="40% - Accent6 12 3 2" xfId="22675" xr:uid="{00000000-0005-0000-0000-0000D3410000}"/>
    <cellStyle name="40% - Accent6 12 4" xfId="9393" xr:uid="{00000000-0005-0000-0000-0000D4410000}"/>
    <cellStyle name="40% - Accent6 12 4 2" xfId="20681" xr:uid="{00000000-0005-0000-0000-0000D5410000}"/>
    <cellStyle name="40% - Accent6 12 5" xfId="7399" xr:uid="{00000000-0005-0000-0000-0000D6410000}"/>
    <cellStyle name="40% - Accent6 12 5 2" xfId="18687" xr:uid="{00000000-0005-0000-0000-0000D7410000}"/>
    <cellStyle name="40% - Accent6 12 6" xfId="5405" xr:uid="{00000000-0005-0000-0000-0000D8410000}"/>
    <cellStyle name="40% - Accent6 12 6 2" xfId="16693" xr:uid="{00000000-0005-0000-0000-0000D9410000}"/>
    <cellStyle name="40% - Accent6 12 7" xfId="14699" xr:uid="{00000000-0005-0000-0000-0000DA410000}"/>
    <cellStyle name="40% - Accent6 12 8" xfId="13385" xr:uid="{00000000-0005-0000-0000-0000DB410000}"/>
    <cellStyle name="40% - Accent6 13" xfId="1450" xr:uid="{00000000-0005-0000-0000-0000DC410000}"/>
    <cellStyle name="40% - Accent6 13 2" xfId="4406" xr:uid="{00000000-0005-0000-0000-0000DD410000}"/>
    <cellStyle name="40% - Accent6 13 2 2" xfId="12385" xr:uid="{00000000-0005-0000-0000-0000DE410000}"/>
    <cellStyle name="40% - Accent6 13 2 2 2" xfId="23673" xr:uid="{00000000-0005-0000-0000-0000DF410000}"/>
    <cellStyle name="40% - Accent6 13 2 3" xfId="10391" xr:uid="{00000000-0005-0000-0000-0000E0410000}"/>
    <cellStyle name="40% - Accent6 13 2 3 2" xfId="21679" xr:uid="{00000000-0005-0000-0000-0000E1410000}"/>
    <cellStyle name="40% - Accent6 13 2 4" xfId="8397" xr:uid="{00000000-0005-0000-0000-0000E2410000}"/>
    <cellStyle name="40% - Accent6 13 2 4 2" xfId="19685" xr:uid="{00000000-0005-0000-0000-0000E3410000}"/>
    <cellStyle name="40% - Accent6 13 2 5" xfId="6403" xr:uid="{00000000-0005-0000-0000-0000E4410000}"/>
    <cellStyle name="40% - Accent6 13 2 5 2" xfId="17691" xr:uid="{00000000-0005-0000-0000-0000E5410000}"/>
    <cellStyle name="40% - Accent6 13 2 6" xfId="15697" xr:uid="{00000000-0005-0000-0000-0000E6410000}"/>
    <cellStyle name="40% - Accent6 13 3" xfId="11388" xr:uid="{00000000-0005-0000-0000-0000E7410000}"/>
    <cellStyle name="40% - Accent6 13 3 2" xfId="22676" xr:uid="{00000000-0005-0000-0000-0000E8410000}"/>
    <cellStyle name="40% - Accent6 13 4" xfId="9394" xr:uid="{00000000-0005-0000-0000-0000E9410000}"/>
    <cellStyle name="40% - Accent6 13 4 2" xfId="20682" xr:uid="{00000000-0005-0000-0000-0000EA410000}"/>
    <cellStyle name="40% - Accent6 13 5" xfId="7400" xr:uid="{00000000-0005-0000-0000-0000EB410000}"/>
    <cellStyle name="40% - Accent6 13 5 2" xfId="18688" xr:uid="{00000000-0005-0000-0000-0000EC410000}"/>
    <cellStyle name="40% - Accent6 13 6" xfId="5406" xr:uid="{00000000-0005-0000-0000-0000ED410000}"/>
    <cellStyle name="40% - Accent6 13 6 2" xfId="16694" xr:uid="{00000000-0005-0000-0000-0000EE410000}"/>
    <cellStyle name="40% - Accent6 13 7" xfId="14700" xr:uid="{00000000-0005-0000-0000-0000EF410000}"/>
    <cellStyle name="40% - Accent6 13 8" xfId="13386" xr:uid="{00000000-0005-0000-0000-0000F0410000}"/>
    <cellStyle name="40% - Accent6 14" xfId="1451" xr:uid="{00000000-0005-0000-0000-0000F1410000}"/>
    <cellStyle name="40% - Accent6 14 2" xfId="4407" xr:uid="{00000000-0005-0000-0000-0000F2410000}"/>
    <cellStyle name="40% - Accent6 14 2 2" xfId="12386" xr:uid="{00000000-0005-0000-0000-0000F3410000}"/>
    <cellStyle name="40% - Accent6 14 2 2 2" xfId="23674" xr:uid="{00000000-0005-0000-0000-0000F4410000}"/>
    <cellStyle name="40% - Accent6 14 2 3" xfId="10392" xr:uid="{00000000-0005-0000-0000-0000F5410000}"/>
    <cellStyle name="40% - Accent6 14 2 3 2" xfId="21680" xr:uid="{00000000-0005-0000-0000-0000F6410000}"/>
    <cellStyle name="40% - Accent6 14 2 4" xfId="8398" xr:uid="{00000000-0005-0000-0000-0000F7410000}"/>
    <cellStyle name="40% - Accent6 14 2 4 2" xfId="19686" xr:uid="{00000000-0005-0000-0000-0000F8410000}"/>
    <cellStyle name="40% - Accent6 14 2 5" xfId="6404" xr:uid="{00000000-0005-0000-0000-0000F9410000}"/>
    <cellStyle name="40% - Accent6 14 2 5 2" xfId="17692" xr:uid="{00000000-0005-0000-0000-0000FA410000}"/>
    <cellStyle name="40% - Accent6 14 2 6" xfId="15698" xr:uid="{00000000-0005-0000-0000-0000FB410000}"/>
    <cellStyle name="40% - Accent6 14 3" xfId="11389" xr:uid="{00000000-0005-0000-0000-0000FC410000}"/>
    <cellStyle name="40% - Accent6 14 3 2" xfId="22677" xr:uid="{00000000-0005-0000-0000-0000FD410000}"/>
    <cellStyle name="40% - Accent6 14 4" xfId="9395" xr:uid="{00000000-0005-0000-0000-0000FE410000}"/>
    <cellStyle name="40% - Accent6 14 4 2" xfId="20683" xr:uid="{00000000-0005-0000-0000-0000FF410000}"/>
    <cellStyle name="40% - Accent6 14 5" xfId="7401" xr:uid="{00000000-0005-0000-0000-000000420000}"/>
    <cellStyle name="40% - Accent6 14 5 2" xfId="18689" xr:uid="{00000000-0005-0000-0000-000001420000}"/>
    <cellStyle name="40% - Accent6 14 6" xfId="5407" xr:uid="{00000000-0005-0000-0000-000002420000}"/>
    <cellStyle name="40% - Accent6 14 6 2" xfId="16695" xr:uid="{00000000-0005-0000-0000-000003420000}"/>
    <cellStyle name="40% - Accent6 14 7" xfId="14701" xr:uid="{00000000-0005-0000-0000-000004420000}"/>
    <cellStyle name="40% - Accent6 14 8" xfId="13387" xr:uid="{00000000-0005-0000-0000-000005420000}"/>
    <cellStyle name="40% - Accent6 15" xfId="1452" xr:uid="{00000000-0005-0000-0000-000006420000}"/>
    <cellStyle name="40% - Accent6 15 2" xfId="4408" xr:uid="{00000000-0005-0000-0000-000007420000}"/>
    <cellStyle name="40% - Accent6 15 2 2" xfId="12387" xr:uid="{00000000-0005-0000-0000-000008420000}"/>
    <cellStyle name="40% - Accent6 15 2 2 2" xfId="23675" xr:uid="{00000000-0005-0000-0000-000009420000}"/>
    <cellStyle name="40% - Accent6 15 2 3" xfId="10393" xr:uid="{00000000-0005-0000-0000-00000A420000}"/>
    <cellStyle name="40% - Accent6 15 2 3 2" xfId="21681" xr:uid="{00000000-0005-0000-0000-00000B420000}"/>
    <cellStyle name="40% - Accent6 15 2 4" xfId="8399" xr:uid="{00000000-0005-0000-0000-00000C420000}"/>
    <cellStyle name="40% - Accent6 15 2 4 2" xfId="19687" xr:uid="{00000000-0005-0000-0000-00000D420000}"/>
    <cellStyle name="40% - Accent6 15 2 5" xfId="6405" xr:uid="{00000000-0005-0000-0000-00000E420000}"/>
    <cellStyle name="40% - Accent6 15 2 5 2" xfId="17693" xr:uid="{00000000-0005-0000-0000-00000F420000}"/>
    <cellStyle name="40% - Accent6 15 2 6" xfId="15699" xr:uid="{00000000-0005-0000-0000-000010420000}"/>
    <cellStyle name="40% - Accent6 15 3" xfId="11390" xr:uid="{00000000-0005-0000-0000-000011420000}"/>
    <cellStyle name="40% - Accent6 15 3 2" xfId="22678" xr:uid="{00000000-0005-0000-0000-000012420000}"/>
    <cellStyle name="40% - Accent6 15 4" xfId="9396" xr:uid="{00000000-0005-0000-0000-000013420000}"/>
    <cellStyle name="40% - Accent6 15 4 2" xfId="20684" xr:uid="{00000000-0005-0000-0000-000014420000}"/>
    <cellStyle name="40% - Accent6 15 5" xfId="7402" xr:uid="{00000000-0005-0000-0000-000015420000}"/>
    <cellStyle name="40% - Accent6 15 5 2" xfId="18690" xr:uid="{00000000-0005-0000-0000-000016420000}"/>
    <cellStyle name="40% - Accent6 15 6" xfId="5408" xr:uid="{00000000-0005-0000-0000-000017420000}"/>
    <cellStyle name="40% - Accent6 15 6 2" xfId="16696" xr:uid="{00000000-0005-0000-0000-000018420000}"/>
    <cellStyle name="40% - Accent6 15 7" xfId="14702" xr:uid="{00000000-0005-0000-0000-000019420000}"/>
    <cellStyle name="40% - Accent6 15 8" xfId="13388" xr:uid="{00000000-0005-0000-0000-00001A420000}"/>
    <cellStyle name="40% - Accent6 16" xfId="1453" xr:uid="{00000000-0005-0000-0000-00001B420000}"/>
    <cellStyle name="40% - Accent6 16 2" xfId="4409" xr:uid="{00000000-0005-0000-0000-00001C420000}"/>
    <cellStyle name="40% - Accent6 16 2 2" xfId="12388" xr:uid="{00000000-0005-0000-0000-00001D420000}"/>
    <cellStyle name="40% - Accent6 16 2 2 2" xfId="23676" xr:uid="{00000000-0005-0000-0000-00001E420000}"/>
    <cellStyle name="40% - Accent6 16 2 3" xfId="10394" xr:uid="{00000000-0005-0000-0000-00001F420000}"/>
    <cellStyle name="40% - Accent6 16 2 3 2" xfId="21682" xr:uid="{00000000-0005-0000-0000-000020420000}"/>
    <cellStyle name="40% - Accent6 16 2 4" xfId="8400" xr:uid="{00000000-0005-0000-0000-000021420000}"/>
    <cellStyle name="40% - Accent6 16 2 4 2" xfId="19688" xr:uid="{00000000-0005-0000-0000-000022420000}"/>
    <cellStyle name="40% - Accent6 16 2 5" xfId="6406" xr:uid="{00000000-0005-0000-0000-000023420000}"/>
    <cellStyle name="40% - Accent6 16 2 5 2" xfId="17694" xr:uid="{00000000-0005-0000-0000-000024420000}"/>
    <cellStyle name="40% - Accent6 16 2 6" xfId="15700" xr:uid="{00000000-0005-0000-0000-000025420000}"/>
    <cellStyle name="40% - Accent6 16 3" xfId="11391" xr:uid="{00000000-0005-0000-0000-000026420000}"/>
    <cellStyle name="40% - Accent6 16 3 2" xfId="22679" xr:uid="{00000000-0005-0000-0000-000027420000}"/>
    <cellStyle name="40% - Accent6 16 4" xfId="9397" xr:uid="{00000000-0005-0000-0000-000028420000}"/>
    <cellStyle name="40% - Accent6 16 4 2" xfId="20685" xr:uid="{00000000-0005-0000-0000-000029420000}"/>
    <cellStyle name="40% - Accent6 16 5" xfId="7403" xr:uid="{00000000-0005-0000-0000-00002A420000}"/>
    <cellStyle name="40% - Accent6 16 5 2" xfId="18691" xr:uid="{00000000-0005-0000-0000-00002B420000}"/>
    <cellStyle name="40% - Accent6 16 6" xfId="5409" xr:uid="{00000000-0005-0000-0000-00002C420000}"/>
    <cellStyle name="40% - Accent6 16 6 2" xfId="16697" xr:uid="{00000000-0005-0000-0000-00002D420000}"/>
    <cellStyle name="40% - Accent6 16 7" xfId="14703" xr:uid="{00000000-0005-0000-0000-00002E420000}"/>
    <cellStyle name="40% - Accent6 16 8" xfId="13389" xr:uid="{00000000-0005-0000-0000-00002F420000}"/>
    <cellStyle name="40% - Accent6 17" xfId="1454" xr:uid="{00000000-0005-0000-0000-000030420000}"/>
    <cellStyle name="40% - Accent6 17 2" xfId="4410" xr:uid="{00000000-0005-0000-0000-000031420000}"/>
    <cellStyle name="40% - Accent6 17 2 2" xfId="12389" xr:uid="{00000000-0005-0000-0000-000032420000}"/>
    <cellStyle name="40% - Accent6 17 2 2 2" xfId="23677" xr:uid="{00000000-0005-0000-0000-000033420000}"/>
    <cellStyle name="40% - Accent6 17 2 3" xfId="10395" xr:uid="{00000000-0005-0000-0000-000034420000}"/>
    <cellStyle name="40% - Accent6 17 2 3 2" xfId="21683" xr:uid="{00000000-0005-0000-0000-000035420000}"/>
    <cellStyle name="40% - Accent6 17 2 4" xfId="8401" xr:uid="{00000000-0005-0000-0000-000036420000}"/>
    <cellStyle name="40% - Accent6 17 2 4 2" xfId="19689" xr:uid="{00000000-0005-0000-0000-000037420000}"/>
    <cellStyle name="40% - Accent6 17 2 5" xfId="6407" xr:uid="{00000000-0005-0000-0000-000038420000}"/>
    <cellStyle name="40% - Accent6 17 2 5 2" xfId="17695" xr:uid="{00000000-0005-0000-0000-000039420000}"/>
    <cellStyle name="40% - Accent6 17 2 6" xfId="15701" xr:uid="{00000000-0005-0000-0000-00003A420000}"/>
    <cellStyle name="40% - Accent6 17 3" xfId="11392" xr:uid="{00000000-0005-0000-0000-00003B420000}"/>
    <cellStyle name="40% - Accent6 17 3 2" xfId="22680" xr:uid="{00000000-0005-0000-0000-00003C420000}"/>
    <cellStyle name="40% - Accent6 17 4" xfId="9398" xr:uid="{00000000-0005-0000-0000-00003D420000}"/>
    <cellStyle name="40% - Accent6 17 4 2" xfId="20686" xr:uid="{00000000-0005-0000-0000-00003E420000}"/>
    <cellStyle name="40% - Accent6 17 5" xfId="7404" xr:uid="{00000000-0005-0000-0000-00003F420000}"/>
    <cellStyle name="40% - Accent6 17 5 2" xfId="18692" xr:uid="{00000000-0005-0000-0000-000040420000}"/>
    <cellStyle name="40% - Accent6 17 6" xfId="5410" xr:uid="{00000000-0005-0000-0000-000041420000}"/>
    <cellStyle name="40% - Accent6 17 6 2" xfId="16698" xr:uid="{00000000-0005-0000-0000-000042420000}"/>
    <cellStyle name="40% - Accent6 17 7" xfId="14704" xr:uid="{00000000-0005-0000-0000-000043420000}"/>
    <cellStyle name="40% - Accent6 17 8" xfId="13390" xr:uid="{00000000-0005-0000-0000-000044420000}"/>
    <cellStyle name="40% - Accent6 18" xfId="1455" xr:uid="{00000000-0005-0000-0000-000045420000}"/>
    <cellStyle name="40% - Accent6 18 2" xfId="4411" xr:uid="{00000000-0005-0000-0000-000046420000}"/>
    <cellStyle name="40% - Accent6 18 2 2" xfId="12390" xr:uid="{00000000-0005-0000-0000-000047420000}"/>
    <cellStyle name="40% - Accent6 18 2 2 2" xfId="23678" xr:uid="{00000000-0005-0000-0000-000048420000}"/>
    <cellStyle name="40% - Accent6 18 2 3" xfId="10396" xr:uid="{00000000-0005-0000-0000-000049420000}"/>
    <cellStyle name="40% - Accent6 18 2 3 2" xfId="21684" xr:uid="{00000000-0005-0000-0000-00004A420000}"/>
    <cellStyle name="40% - Accent6 18 2 4" xfId="8402" xr:uid="{00000000-0005-0000-0000-00004B420000}"/>
    <cellStyle name="40% - Accent6 18 2 4 2" xfId="19690" xr:uid="{00000000-0005-0000-0000-00004C420000}"/>
    <cellStyle name="40% - Accent6 18 2 5" xfId="6408" xr:uid="{00000000-0005-0000-0000-00004D420000}"/>
    <cellStyle name="40% - Accent6 18 2 5 2" xfId="17696" xr:uid="{00000000-0005-0000-0000-00004E420000}"/>
    <cellStyle name="40% - Accent6 18 2 6" xfId="15702" xr:uid="{00000000-0005-0000-0000-00004F420000}"/>
    <cellStyle name="40% - Accent6 18 3" xfId="11393" xr:uid="{00000000-0005-0000-0000-000050420000}"/>
    <cellStyle name="40% - Accent6 18 3 2" xfId="22681" xr:uid="{00000000-0005-0000-0000-000051420000}"/>
    <cellStyle name="40% - Accent6 18 4" xfId="9399" xr:uid="{00000000-0005-0000-0000-000052420000}"/>
    <cellStyle name="40% - Accent6 18 4 2" xfId="20687" xr:uid="{00000000-0005-0000-0000-000053420000}"/>
    <cellStyle name="40% - Accent6 18 5" xfId="7405" xr:uid="{00000000-0005-0000-0000-000054420000}"/>
    <cellStyle name="40% - Accent6 18 5 2" xfId="18693" xr:uid="{00000000-0005-0000-0000-000055420000}"/>
    <cellStyle name="40% - Accent6 18 6" xfId="5411" xr:uid="{00000000-0005-0000-0000-000056420000}"/>
    <cellStyle name="40% - Accent6 18 6 2" xfId="16699" xr:uid="{00000000-0005-0000-0000-000057420000}"/>
    <cellStyle name="40% - Accent6 18 7" xfId="14705" xr:uid="{00000000-0005-0000-0000-000058420000}"/>
    <cellStyle name="40% - Accent6 18 8" xfId="13391" xr:uid="{00000000-0005-0000-0000-000059420000}"/>
    <cellStyle name="40% - Accent6 19" xfId="1456" xr:uid="{00000000-0005-0000-0000-00005A420000}"/>
    <cellStyle name="40% - Accent6 19 2" xfId="4412" xr:uid="{00000000-0005-0000-0000-00005B420000}"/>
    <cellStyle name="40% - Accent6 19 2 2" xfId="12391" xr:uid="{00000000-0005-0000-0000-00005C420000}"/>
    <cellStyle name="40% - Accent6 19 2 2 2" xfId="23679" xr:uid="{00000000-0005-0000-0000-00005D420000}"/>
    <cellStyle name="40% - Accent6 19 2 3" xfId="10397" xr:uid="{00000000-0005-0000-0000-00005E420000}"/>
    <cellStyle name="40% - Accent6 19 2 3 2" xfId="21685" xr:uid="{00000000-0005-0000-0000-00005F420000}"/>
    <cellStyle name="40% - Accent6 19 2 4" xfId="8403" xr:uid="{00000000-0005-0000-0000-000060420000}"/>
    <cellStyle name="40% - Accent6 19 2 4 2" xfId="19691" xr:uid="{00000000-0005-0000-0000-000061420000}"/>
    <cellStyle name="40% - Accent6 19 2 5" xfId="6409" xr:uid="{00000000-0005-0000-0000-000062420000}"/>
    <cellStyle name="40% - Accent6 19 2 5 2" xfId="17697" xr:uid="{00000000-0005-0000-0000-000063420000}"/>
    <cellStyle name="40% - Accent6 19 2 6" xfId="15703" xr:uid="{00000000-0005-0000-0000-000064420000}"/>
    <cellStyle name="40% - Accent6 19 3" xfId="11394" xr:uid="{00000000-0005-0000-0000-000065420000}"/>
    <cellStyle name="40% - Accent6 19 3 2" xfId="22682" xr:uid="{00000000-0005-0000-0000-000066420000}"/>
    <cellStyle name="40% - Accent6 19 4" xfId="9400" xr:uid="{00000000-0005-0000-0000-000067420000}"/>
    <cellStyle name="40% - Accent6 19 4 2" xfId="20688" xr:uid="{00000000-0005-0000-0000-000068420000}"/>
    <cellStyle name="40% - Accent6 19 5" xfId="7406" xr:uid="{00000000-0005-0000-0000-000069420000}"/>
    <cellStyle name="40% - Accent6 19 5 2" xfId="18694" xr:uid="{00000000-0005-0000-0000-00006A420000}"/>
    <cellStyle name="40% - Accent6 19 6" xfId="5412" xr:uid="{00000000-0005-0000-0000-00006B420000}"/>
    <cellStyle name="40% - Accent6 19 6 2" xfId="16700" xr:uid="{00000000-0005-0000-0000-00006C420000}"/>
    <cellStyle name="40% - Accent6 19 7" xfId="14706" xr:uid="{00000000-0005-0000-0000-00006D420000}"/>
    <cellStyle name="40% - Accent6 19 8" xfId="13392" xr:uid="{00000000-0005-0000-0000-00006E420000}"/>
    <cellStyle name="40% - Accent6 2" xfId="1457" xr:uid="{00000000-0005-0000-0000-00006F420000}"/>
    <cellStyle name="40% - Accent6 2 10" xfId="24625" xr:uid="{00000000-0005-0000-0000-000070420000}"/>
    <cellStyle name="40% - Accent6 2 11" xfId="25015" xr:uid="{00000000-0005-0000-0000-000071420000}"/>
    <cellStyle name="40% - Accent6 2 2" xfId="4413" xr:uid="{00000000-0005-0000-0000-000072420000}"/>
    <cellStyle name="40% - Accent6 2 2 2" xfId="12392" xr:uid="{00000000-0005-0000-0000-000073420000}"/>
    <cellStyle name="40% - Accent6 2 2 2 2" xfId="23680" xr:uid="{00000000-0005-0000-0000-000074420000}"/>
    <cellStyle name="40% - Accent6 2 2 3" xfId="10398" xr:uid="{00000000-0005-0000-0000-000075420000}"/>
    <cellStyle name="40% - Accent6 2 2 3 2" xfId="21686" xr:uid="{00000000-0005-0000-0000-000076420000}"/>
    <cellStyle name="40% - Accent6 2 2 4" xfId="8404" xr:uid="{00000000-0005-0000-0000-000077420000}"/>
    <cellStyle name="40% - Accent6 2 2 4 2" xfId="19692" xr:uid="{00000000-0005-0000-0000-000078420000}"/>
    <cellStyle name="40% - Accent6 2 2 5" xfId="6410" xr:uid="{00000000-0005-0000-0000-000079420000}"/>
    <cellStyle name="40% - Accent6 2 2 5 2" xfId="17698" xr:uid="{00000000-0005-0000-0000-00007A420000}"/>
    <cellStyle name="40% - Accent6 2 2 6" xfId="15704" xr:uid="{00000000-0005-0000-0000-00007B420000}"/>
    <cellStyle name="40% - Accent6 2 2 7" xfId="24386" xr:uid="{00000000-0005-0000-0000-00007C420000}"/>
    <cellStyle name="40% - Accent6 2 2 8" xfId="24850" xr:uid="{00000000-0005-0000-0000-00007D420000}"/>
    <cellStyle name="40% - Accent6 2 2 9" xfId="25217" xr:uid="{00000000-0005-0000-0000-00007E420000}"/>
    <cellStyle name="40% - Accent6 2 3" xfId="11395" xr:uid="{00000000-0005-0000-0000-00007F420000}"/>
    <cellStyle name="40% - Accent6 2 3 2" xfId="22683" xr:uid="{00000000-0005-0000-0000-000080420000}"/>
    <cellStyle name="40% - Accent6 2 4" xfId="9401" xr:uid="{00000000-0005-0000-0000-000081420000}"/>
    <cellStyle name="40% - Accent6 2 4 2" xfId="20689" xr:uid="{00000000-0005-0000-0000-000082420000}"/>
    <cellStyle name="40% - Accent6 2 5" xfId="7407" xr:uid="{00000000-0005-0000-0000-000083420000}"/>
    <cellStyle name="40% - Accent6 2 5 2" xfId="18695" xr:uid="{00000000-0005-0000-0000-000084420000}"/>
    <cellStyle name="40% - Accent6 2 6" xfId="5413" xr:uid="{00000000-0005-0000-0000-000085420000}"/>
    <cellStyle name="40% - Accent6 2 6 2" xfId="16701" xr:uid="{00000000-0005-0000-0000-000086420000}"/>
    <cellStyle name="40% - Accent6 2 7" xfId="14707" xr:uid="{00000000-0005-0000-0000-000087420000}"/>
    <cellStyle name="40% - Accent6 2 8" xfId="13393" xr:uid="{00000000-0005-0000-0000-000088420000}"/>
    <cellStyle name="40% - Accent6 2 9" xfId="23998" xr:uid="{00000000-0005-0000-0000-000089420000}"/>
    <cellStyle name="40% - Accent6 20" xfId="1458" xr:uid="{00000000-0005-0000-0000-00008A420000}"/>
    <cellStyle name="40% - Accent6 20 2" xfId="4414" xr:uid="{00000000-0005-0000-0000-00008B420000}"/>
    <cellStyle name="40% - Accent6 20 2 2" xfId="12393" xr:uid="{00000000-0005-0000-0000-00008C420000}"/>
    <cellStyle name="40% - Accent6 20 2 2 2" xfId="23681" xr:uid="{00000000-0005-0000-0000-00008D420000}"/>
    <cellStyle name="40% - Accent6 20 2 3" xfId="10399" xr:uid="{00000000-0005-0000-0000-00008E420000}"/>
    <cellStyle name="40% - Accent6 20 2 3 2" xfId="21687" xr:uid="{00000000-0005-0000-0000-00008F420000}"/>
    <cellStyle name="40% - Accent6 20 2 4" xfId="8405" xr:uid="{00000000-0005-0000-0000-000090420000}"/>
    <cellStyle name="40% - Accent6 20 2 4 2" xfId="19693" xr:uid="{00000000-0005-0000-0000-000091420000}"/>
    <cellStyle name="40% - Accent6 20 2 5" xfId="6411" xr:uid="{00000000-0005-0000-0000-000092420000}"/>
    <cellStyle name="40% - Accent6 20 2 5 2" xfId="17699" xr:uid="{00000000-0005-0000-0000-000093420000}"/>
    <cellStyle name="40% - Accent6 20 2 6" xfId="15705" xr:uid="{00000000-0005-0000-0000-000094420000}"/>
    <cellStyle name="40% - Accent6 20 3" xfId="11396" xr:uid="{00000000-0005-0000-0000-000095420000}"/>
    <cellStyle name="40% - Accent6 20 3 2" xfId="22684" xr:uid="{00000000-0005-0000-0000-000096420000}"/>
    <cellStyle name="40% - Accent6 20 4" xfId="9402" xr:uid="{00000000-0005-0000-0000-000097420000}"/>
    <cellStyle name="40% - Accent6 20 4 2" xfId="20690" xr:uid="{00000000-0005-0000-0000-000098420000}"/>
    <cellStyle name="40% - Accent6 20 5" xfId="7408" xr:uid="{00000000-0005-0000-0000-000099420000}"/>
    <cellStyle name="40% - Accent6 20 5 2" xfId="18696" xr:uid="{00000000-0005-0000-0000-00009A420000}"/>
    <cellStyle name="40% - Accent6 20 6" xfId="5414" xr:uid="{00000000-0005-0000-0000-00009B420000}"/>
    <cellStyle name="40% - Accent6 20 6 2" xfId="16702" xr:uid="{00000000-0005-0000-0000-00009C420000}"/>
    <cellStyle name="40% - Accent6 20 7" xfId="14708" xr:uid="{00000000-0005-0000-0000-00009D420000}"/>
    <cellStyle name="40% - Accent6 20 8" xfId="13394" xr:uid="{00000000-0005-0000-0000-00009E420000}"/>
    <cellStyle name="40% - Accent6 21" xfId="1459" xr:uid="{00000000-0005-0000-0000-00009F420000}"/>
    <cellStyle name="40% - Accent6 21 2" xfId="4415" xr:uid="{00000000-0005-0000-0000-0000A0420000}"/>
    <cellStyle name="40% - Accent6 21 2 2" xfId="12394" xr:uid="{00000000-0005-0000-0000-0000A1420000}"/>
    <cellStyle name="40% - Accent6 21 2 2 2" xfId="23682" xr:uid="{00000000-0005-0000-0000-0000A2420000}"/>
    <cellStyle name="40% - Accent6 21 2 3" xfId="10400" xr:uid="{00000000-0005-0000-0000-0000A3420000}"/>
    <cellStyle name="40% - Accent6 21 2 3 2" xfId="21688" xr:uid="{00000000-0005-0000-0000-0000A4420000}"/>
    <cellStyle name="40% - Accent6 21 2 4" xfId="8406" xr:uid="{00000000-0005-0000-0000-0000A5420000}"/>
    <cellStyle name="40% - Accent6 21 2 4 2" xfId="19694" xr:uid="{00000000-0005-0000-0000-0000A6420000}"/>
    <cellStyle name="40% - Accent6 21 2 5" xfId="6412" xr:uid="{00000000-0005-0000-0000-0000A7420000}"/>
    <cellStyle name="40% - Accent6 21 2 5 2" xfId="17700" xr:uid="{00000000-0005-0000-0000-0000A8420000}"/>
    <cellStyle name="40% - Accent6 21 2 6" xfId="15706" xr:uid="{00000000-0005-0000-0000-0000A9420000}"/>
    <cellStyle name="40% - Accent6 21 3" xfId="11397" xr:uid="{00000000-0005-0000-0000-0000AA420000}"/>
    <cellStyle name="40% - Accent6 21 3 2" xfId="22685" xr:uid="{00000000-0005-0000-0000-0000AB420000}"/>
    <cellStyle name="40% - Accent6 21 4" xfId="9403" xr:uid="{00000000-0005-0000-0000-0000AC420000}"/>
    <cellStyle name="40% - Accent6 21 4 2" xfId="20691" xr:uid="{00000000-0005-0000-0000-0000AD420000}"/>
    <cellStyle name="40% - Accent6 21 5" xfId="7409" xr:uid="{00000000-0005-0000-0000-0000AE420000}"/>
    <cellStyle name="40% - Accent6 21 5 2" xfId="18697" xr:uid="{00000000-0005-0000-0000-0000AF420000}"/>
    <cellStyle name="40% - Accent6 21 6" xfId="5415" xr:uid="{00000000-0005-0000-0000-0000B0420000}"/>
    <cellStyle name="40% - Accent6 21 6 2" xfId="16703" xr:uid="{00000000-0005-0000-0000-0000B1420000}"/>
    <cellStyle name="40% - Accent6 21 7" xfId="14709" xr:uid="{00000000-0005-0000-0000-0000B2420000}"/>
    <cellStyle name="40% - Accent6 21 8" xfId="13395" xr:uid="{00000000-0005-0000-0000-0000B3420000}"/>
    <cellStyle name="40% - Accent6 22" xfId="1460" xr:uid="{00000000-0005-0000-0000-0000B4420000}"/>
    <cellStyle name="40% - Accent6 22 2" xfId="4416" xr:uid="{00000000-0005-0000-0000-0000B5420000}"/>
    <cellStyle name="40% - Accent6 22 2 2" xfId="12395" xr:uid="{00000000-0005-0000-0000-0000B6420000}"/>
    <cellStyle name="40% - Accent6 22 2 2 2" xfId="23683" xr:uid="{00000000-0005-0000-0000-0000B7420000}"/>
    <cellStyle name="40% - Accent6 22 2 3" xfId="10401" xr:uid="{00000000-0005-0000-0000-0000B8420000}"/>
    <cellStyle name="40% - Accent6 22 2 3 2" xfId="21689" xr:uid="{00000000-0005-0000-0000-0000B9420000}"/>
    <cellStyle name="40% - Accent6 22 2 4" xfId="8407" xr:uid="{00000000-0005-0000-0000-0000BA420000}"/>
    <cellStyle name="40% - Accent6 22 2 4 2" xfId="19695" xr:uid="{00000000-0005-0000-0000-0000BB420000}"/>
    <cellStyle name="40% - Accent6 22 2 5" xfId="6413" xr:uid="{00000000-0005-0000-0000-0000BC420000}"/>
    <cellStyle name="40% - Accent6 22 2 5 2" xfId="17701" xr:uid="{00000000-0005-0000-0000-0000BD420000}"/>
    <cellStyle name="40% - Accent6 22 2 6" xfId="15707" xr:uid="{00000000-0005-0000-0000-0000BE420000}"/>
    <cellStyle name="40% - Accent6 22 3" xfId="11398" xr:uid="{00000000-0005-0000-0000-0000BF420000}"/>
    <cellStyle name="40% - Accent6 22 3 2" xfId="22686" xr:uid="{00000000-0005-0000-0000-0000C0420000}"/>
    <cellStyle name="40% - Accent6 22 4" xfId="9404" xr:uid="{00000000-0005-0000-0000-0000C1420000}"/>
    <cellStyle name="40% - Accent6 22 4 2" xfId="20692" xr:uid="{00000000-0005-0000-0000-0000C2420000}"/>
    <cellStyle name="40% - Accent6 22 5" xfId="7410" xr:uid="{00000000-0005-0000-0000-0000C3420000}"/>
    <cellStyle name="40% - Accent6 22 5 2" xfId="18698" xr:uid="{00000000-0005-0000-0000-0000C4420000}"/>
    <cellStyle name="40% - Accent6 22 6" xfId="5416" xr:uid="{00000000-0005-0000-0000-0000C5420000}"/>
    <cellStyle name="40% - Accent6 22 6 2" xfId="16704" xr:uid="{00000000-0005-0000-0000-0000C6420000}"/>
    <cellStyle name="40% - Accent6 22 7" xfId="14710" xr:uid="{00000000-0005-0000-0000-0000C7420000}"/>
    <cellStyle name="40% - Accent6 22 8" xfId="13396" xr:uid="{00000000-0005-0000-0000-0000C8420000}"/>
    <cellStyle name="40% - Accent6 23" xfId="1461" xr:uid="{00000000-0005-0000-0000-0000C9420000}"/>
    <cellStyle name="40% - Accent6 23 2" xfId="4417" xr:uid="{00000000-0005-0000-0000-0000CA420000}"/>
    <cellStyle name="40% - Accent6 23 2 2" xfId="12396" xr:uid="{00000000-0005-0000-0000-0000CB420000}"/>
    <cellStyle name="40% - Accent6 23 2 2 2" xfId="23684" xr:uid="{00000000-0005-0000-0000-0000CC420000}"/>
    <cellStyle name="40% - Accent6 23 2 3" xfId="10402" xr:uid="{00000000-0005-0000-0000-0000CD420000}"/>
    <cellStyle name="40% - Accent6 23 2 3 2" xfId="21690" xr:uid="{00000000-0005-0000-0000-0000CE420000}"/>
    <cellStyle name="40% - Accent6 23 2 4" xfId="8408" xr:uid="{00000000-0005-0000-0000-0000CF420000}"/>
    <cellStyle name="40% - Accent6 23 2 4 2" xfId="19696" xr:uid="{00000000-0005-0000-0000-0000D0420000}"/>
    <cellStyle name="40% - Accent6 23 2 5" xfId="6414" xr:uid="{00000000-0005-0000-0000-0000D1420000}"/>
    <cellStyle name="40% - Accent6 23 2 5 2" xfId="17702" xr:uid="{00000000-0005-0000-0000-0000D2420000}"/>
    <cellStyle name="40% - Accent6 23 2 6" xfId="15708" xr:uid="{00000000-0005-0000-0000-0000D3420000}"/>
    <cellStyle name="40% - Accent6 23 3" xfId="11399" xr:uid="{00000000-0005-0000-0000-0000D4420000}"/>
    <cellStyle name="40% - Accent6 23 3 2" xfId="22687" xr:uid="{00000000-0005-0000-0000-0000D5420000}"/>
    <cellStyle name="40% - Accent6 23 4" xfId="9405" xr:uid="{00000000-0005-0000-0000-0000D6420000}"/>
    <cellStyle name="40% - Accent6 23 4 2" xfId="20693" xr:uid="{00000000-0005-0000-0000-0000D7420000}"/>
    <cellStyle name="40% - Accent6 23 5" xfId="7411" xr:uid="{00000000-0005-0000-0000-0000D8420000}"/>
    <cellStyle name="40% - Accent6 23 5 2" xfId="18699" xr:uid="{00000000-0005-0000-0000-0000D9420000}"/>
    <cellStyle name="40% - Accent6 23 6" xfId="5417" xr:uid="{00000000-0005-0000-0000-0000DA420000}"/>
    <cellStyle name="40% - Accent6 23 6 2" xfId="16705" xr:uid="{00000000-0005-0000-0000-0000DB420000}"/>
    <cellStyle name="40% - Accent6 23 7" xfId="14711" xr:uid="{00000000-0005-0000-0000-0000DC420000}"/>
    <cellStyle name="40% - Accent6 23 8" xfId="13397" xr:uid="{00000000-0005-0000-0000-0000DD420000}"/>
    <cellStyle name="40% - Accent6 24" xfId="1462" xr:uid="{00000000-0005-0000-0000-0000DE420000}"/>
    <cellStyle name="40% - Accent6 24 2" xfId="4418" xr:uid="{00000000-0005-0000-0000-0000DF420000}"/>
    <cellStyle name="40% - Accent6 24 2 2" xfId="12397" xr:uid="{00000000-0005-0000-0000-0000E0420000}"/>
    <cellStyle name="40% - Accent6 24 2 2 2" xfId="23685" xr:uid="{00000000-0005-0000-0000-0000E1420000}"/>
    <cellStyle name="40% - Accent6 24 2 3" xfId="10403" xr:uid="{00000000-0005-0000-0000-0000E2420000}"/>
    <cellStyle name="40% - Accent6 24 2 3 2" xfId="21691" xr:uid="{00000000-0005-0000-0000-0000E3420000}"/>
    <cellStyle name="40% - Accent6 24 2 4" xfId="8409" xr:uid="{00000000-0005-0000-0000-0000E4420000}"/>
    <cellStyle name="40% - Accent6 24 2 4 2" xfId="19697" xr:uid="{00000000-0005-0000-0000-0000E5420000}"/>
    <cellStyle name="40% - Accent6 24 2 5" xfId="6415" xr:uid="{00000000-0005-0000-0000-0000E6420000}"/>
    <cellStyle name="40% - Accent6 24 2 5 2" xfId="17703" xr:uid="{00000000-0005-0000-0000-0000E7420000}"/>
    <cellStyle name="40% - Accent6 24 2 6" xfId="15709" xr:uid="{00000000-0005-0000-0000-0000E8420000}"/>
    <cellStyle name="40% - Accent6 24 3" xfId="11400" xr:uid="{00000000-0005-0000-0000-0000E9420000}"/>
    <cellStyle name="40% - Accent6 24 3 2" xfId="22688" xr:uid="{00000000-0005-0000-0000-0000EA420000}"/>
    <cellStyle name="40% - Accent6 24 4" xfId="9406" xr:uid="{00000000-0005-0000-0000-0000EB420000}"/>
    <cellStyle name="40% - Accent6 24 4 2" xfId="20694" xr:uid="{00000000-0005-0000-0000-0000EC420000}"/>
    <cellStyle name="40% - Accent6 24 5" xfId="7412" xr:uid="{00000000-0005-0000-0000-0000ED420000}"/>
    <cellStyle name="40% - Accent6 24 5 2" xfId="18700" xr:uid="{00000000-0005-0000-0000-0000EE420000}"/>
    <cellStyle name="40% - Accent6 24 6" xfId="5418" xr:uid="{00000000-0005-0000-0000-0000EF420000}"/>
    <cellStyle name="40% - Accent6 24 6 2" xfId="16706" xr:uid="{00000000-0005-0000-0000-0000F0420000}"/>
    <cellStyle name="40% - Accent6 24 7" xfId="14712" xr:uid="{00000000-0005-0000-0000-0000F1420000}"/>
    <cellStyle name="40% - Accent6 24 8" xfId="13398" xr:uid="{00000000-0005-0000-0000-0000F2420000}"/>
    <cellStyle name="40% - Accent6 25" xfId="1463" xr:uid="{00000000-0005-0000-0000-0000F3420000}"/>
    <cellStyle name="40% - Accent6 25 2" xfId="4419" xr:uid="{00000000-0005-0000-0000-0000F4420000}"/>
    <cellStyle name="40% - Accent6 25 2 2" xfId="12398" xr:uid="{00000000-0005-0000-0000-0000F5420000}"/>
    <cellStyle name="40% - Accent6 25 2 2 2" xfId="23686" xr:uid="{00000000-0005-0000-0000-0000F6420000}"/>
    <cellStyle name="40% - Accent6 25 2 3" xfId="10404" xr:uid="{00000000-0005-0000-0000-0000F7420000}"/>
    <cellStyle name="40% - Accent6 25 2 3 2" xfId="21692" xr:uid="{00000000-0005-0000-0000-0000F8420000}"/>
    <cellStyle name="40% - Accent6 25 2 4" xfId="8410" xr:uid="{00000000-0005-0000-0000-0000F9420000}"/>
    <cellStyle name="40% - Accent6 25 2 4 2" xfId="19698" xr:uid="{00000000-0005-0000-0000-0000FA420000}"/>
    <cellStyle name="40% - Accent6 25 2 5" xfId="6416" xr:uid="{00000000-0005-0000-0000-0000FB420000}"/>
    <cellStyle name="40% - Accent6 25 2 5 2" xfId="17704" xr:uid="{00000000-0005-0000-0000-0000FC420000}"/>
    <cellStyle name="40% - Accent6 25 2 6" xfId="15710" xr:uid="{00000000-0005-0000-0000-0000FD420000}"/>
    <cellStyle name="40% - Accent6 25 3" xfId="11401" xr:uid="{00000000-0005-0000-0000-0000FE420000}"/>
    <cellStyle name="40% - Accent6 25 3 2" xfId="22689" xr:uid="{00000000-0005-0000-0000-0000FF420000}"/>
    <cellStyle name="40% - Accent6 25 4" xfId="9407" xr:uid="{00000000-0005-0000-0000-000000430000}"/>
    <cellStyle name="40% - Accent6 25 4 2" xfId="20695" xr:uid="{00000000-0005-0000-0000-000001430000}"/>
    <cellStyle name="40% - Accent6 25 5" xfId="7413" xr:uid="{00000000-0005-0000-0000-000002430000}"/>
    <cellStyle name="40% - Accent6 25 5 2" xfId="18701" xr:uid="{00000000-0005-0000-0000-000003430000}"/>
    <cellStyle name="40% - Accent6 25 6" xfId="5419" xr:uid="{00000000-0005-0000-0000-000004430000}"/>
    <cellStyle name="40% - Accent6 25 6 2" xfId="16707" xr:uid="{00000000-0005-0000-0000-000005430000}"/>
    <cellStyle name="40% - Accent6 25 7" xfId="14713" xr:uid="{00000000-0005-0000-0000-000006430000}"/>
    <cellStyle name="40% - Accent6 25 8" xfId="13399" xr:uid="{00000000-0005-0000-0000-000007430000}"/>
    <cellStyle name="40% - Accent6 26" xfId="1464" xr:uid="{00000000-0005-0000-0000-000008430000}"/>
    <cellStyle name="40% - Accent6 26 2" xfId="4420" xr:uid="{00000000-0005-0000-0000-000009430000}"/>
    <cellStyle name="40% - Accent6 26 2 2" xfId="12399" xr:uid="{00000000-0005-0000-0000-00000A430000}"/>
    <cellStyle name="40% - Accent6 26 2 2 2" xfId="23687" xr:uid="{00000000-0005-0000-0000-00000B430000}"/>
    <cellStyle name="40% - Accent6 26 2 3" xfId="10405" xr:uid="{00000000-0005-0000-0000-00000C430000}"/>
    <cellStyle name="40% - Accent6 26 2 3 2" xfId="21693" xr:uid="{00000000-0005-0000-0000-00000D430000}"/>
    <cellStyle name="40% - Accent6 26 2 4" xfId="8411" xr:uid="{00000000-0005-0000-0000-00000E430000}"/>
    <cellStyle name="40% - Accent6 26 2 4 2" xfId="19699" xr:uid="{00000000-0005-0000-0000-00000F430000}"/>
    <cellStyle name="40% - Accent6 26 2 5" xfId="6417" xr:uid="{00000000-0005-0000-0000-000010430000}"/>
    <cellStyle name="40% - Accent6 26 2 5 2" xfId="17705" xr:uid="{00000000-0005-0000-0000-000011430000}"/>
    <cellStyle name="40% - Accent6 26 2 6" xfId="15711" xr:uid="{00000000-0005-0000-0000-000012430000}"/>
    <cellStyle name="40% - Accent6 26 3" xfId="11402" xr:uid="{00000000-0005-0000-0000-000013430000}"/>
    <cellStyle name="40% - Accent6 26 3 2" xfId="22690" xr:uid="{00000000-0005-0000-0000-000014430000}"/>
    <cellStyle name="40% - Accent6 26 4" xfId="9408" xr:uid="{00000000-0005-0000-0000-000015430000}"/>
    <cellStyle name="40% - Accent6 26 4 2" xfId="20696" xr:uid="{00000000-0005-0000-0000-000016430000}"/>
    <cellStyle name="40% - Accent6 26 5" xfId="7414" xr:uid="{00000000-0005-0000-0000-000017430000}"/>
    <cellStyle name="40% - Accent6 26 5 2" xfId="18702" xr:uid="{00000000-0005-0000-0000-000018430000}"/>
    <cellStyle name="40% - Accent6 26 6" xfId="5420" xr:uid="{00000000-0005-0000-0000-000019430000}"/>
    <cellStyle name="40% - Accent6 26 6 2" xfId="16708" xr:uid="{00000000-0005-0000-0000-00001A430000}"/>
    <cellStyle name="40% - Accent6 26 7" xfId="14714" xr:uid="{00000000-0005-0000-0000-00001B430000}"/>
    <cellStyle name="40% - Accent6 26 8" xfId="13400" xr:uid="{00000000-0005-0000-0000-00001C430000}"/>
    <cellStyle name="40% - Accent6 27" xfId="1465" xr:uid="{00000000-0005-0000-0000-00001D430000}"/>
    <cellStyle name="40% - Accent6 27 2" xfId="4421" xr:uid="{00000000-0005-0000-0000-00001E430000}"/>
    <cellStyle name="40% - Accent6 27 2 2" xfId="12400" xr:uid="{00000000-0005-0000-0000-00001F430000}"/>
    <cellStyle name="40% - Accent6 27 2 2 2" xfId="23688" xr:uid="{00000000-0005-0000-0000-000020430000}"/>
    <cellStyle name="40% - Accent6 27 2 3" xfId="10406" xr:uid="{00000000-0005-0000-0000-000021430000}"/>
    <cellStyle name="40% - Accent6 27 2 3 2" xfId="21694" xr:uid="{00000000-0005-0000-0000-000022430000}"/>
    <cellStyle name="40% - Accent6 27 2 4" xfId="8412" xr:uid="{00000000-0005-0000-0000-000023430000}"/>
    <cellStyle name="40% - Accent6 27 2 4 2" xfId="19700" xr:uid="{00000000-0005-0000-0000-000024430000}"/>
    <cellStyle name="40% - Accent6 27 2 5" xfId="6418" xr:uid="{00000000-0005-0000-0000-000025430000}"/>
    <cellStyle name="40% - Accent6 27 2 5 2" xfId="17706" xr:uid="{00000000-0005-0000-0000-000026430000}"/>
    <cellStyle name="40% - Accent6 27 2 6" xfId="15712" xr:uid="{00000000-0005-0000-0000-000027430000}"/>
    <cellStyle name="40% - Accent6 27 3" xfId="11403" xr:uid="{00000000-0005-0000-0000-000028430000}"/>
    <cellStyle name="40% - Accent6 27 3 2" xfId="22691" xr:uid="{00000000-0005-0000-0000-000029430000}"/>
    <cellStyle name="40% - Accent6 27 4" xfId="9409" xr:uid="{00000000-0005-0000-0000-00002A430000}"/>
    <cellStyle name="40% - Accent6 27 4 2" xfId="20697" xr:uid="{00000000-0005-0000-0000-00002B430000}"/>
    <cellStyle name="40% - Accent6 27 5" xfId="7415" xr:uid="{00000000-0005-0000-0000-00002C430000}"/>
    <cellStyle name="40% - Accent6 27 5 2" xfId="18703" xr:uid="{00000000-0005-0000-0000-00002D430000}"/>
    <cellStyle name="40% - Accent6 27 6" xfId="5421" xr:uid="{00000000-0005-0000-0000-00002E430000}"/>
    <cellStyle name="40% - Accent6 27 6 2" xfId="16709" xr:uid="{00000000-0005-0000-0000-00002F430000}"/>
    <cellStyle name="40% - Accent6 27 7" xfId="14715" xr:uid="{00000000-0005-0000-0000-000030430000}"/>
    <cellStyle name="40% - Accent6 27 8" xfId="13401" xr:uid="{00000000-0005-0000-0000-000031430000}"/>
    <cellStyle name="40% - Accent6 28" xfId="1466" xr:uid="{00000000-0005-0000-0000-000032430000}"/>
    <cellStyle name="40% - Accent6 28 2" xfId="4422" xr:uid="{00000000-0005-0000-0000-000033430000}"/>
    <cellStyle name="40% - Accent6 28 2 2" xfId="12401" xr:uid="{00000000-0005-0000-0000-000034430000}"/>
    <cellStyle name="40% - Accent6 28 2 2 2" xfId="23689" xr:uid="{00000000-0005-0000-0000-000035430000}"/>
    <cellStyle name="40% - Accent6 28 2 3" xfId="10407" xr:uid="{00000000-0005-0000-0000-000036430000}"/>
    <cellStyle name="40% - Accent6 28 2 3 2" xfId="21695" xr:uid="{00000000-0005-0000-0000-000037430000}"/>
    <cellStyle name="40% - Accent6 28 2 4" xfId="8413" xr:uid="{00000000-0005-0000-0000-000038430000}"/>
    <cellStyle name="40% - Accent6 28 2 4 2" xfId="19701" xr:uid="{00000000-0005-0000-0000-000039430000}"/>
    <cellStyle name="40% - Accent6 28 2 5" xfId="6419" xr:uid="{00000000-0005-0000-0000-00003A430000}"/>
    <cellStyle name="40% - Accent6 28 2 5 2" xfId="17707" xr:uid="{00000000-0005-0000-0000-00003B430000}"/>
    <cellStyle name="40% - Accent6 28 2 6" xfId="15713" xr:uid="{00000000-0005-0000-0000-00003C430000}"/>
    <cellStyle name="40% - Accent6 28 3" xfId="11404" xr:uid="{00000000-0005-0000-0000-00003D430000}"/>
    <cellStyle name="40% - Accent6 28 3 2" xfId="22692" xr:uid="{00000000-0005-0000-0000-00003E430000}"/>
    <cellStyle name="40% - Accent6 28 4" xfId="9410" xr:uid="{00000000-0005-0000-0000-00003F430000}"/>
    <cellStyle name="40% - Accent6 28 4 2" xfId="20698" xr:uid="{00000000-0005-0000-0000-000040430000}"/>
    <cellStyle name="40% - Accent6 28 5" xfId="7416" xr:uid="{00000000-0005-0000-0000-000041430000}"/>
    <cellStyle name="40% - Accent6 28 5 2" xfId="18704" xr:uid="{00000000-0005-0000-0000-000042430000}"/>
    <cellStyle name="40% - Accent6 28 6" xfId="5422" xr:uid="{00000000-0005-0000-0000-000043430000}"/>
    <cellStyle name="40% - Accent6 28 6 2" xfId="16710" xr:uid="{00000000-0005-0000-0000-000044430000}"/>
    <cellStyle name="40% - Accent6 28 7" xfId="14716" xr:uid="{00000000-0005-0000-0000-000045430000}"/>
    <cellStyle name="40% - Accent6 28 8" xfId="13402" xr:uid="{00000000-0005-0000-0000-000046430000}"/>
    <cellStyle name="40% - Accent6 29" xfId="1467" xr:uid="{00000000-0005-0000-0000-000047430000}"/>
    <cellStyle name="40% - Accent6 29 2" xfId="4423" xr:uid="{00000000-0005-0000-0000-000048430000}"/>
    <cellStyle name="40% - Accent6 29 2 2" xfId="12402" xr:uid="{00000000-0005-0000-0000-000049430000}"/>
    <cellStyle name="40% - Accent6 29 2 2 2" xfId="23690" xr:uid="{00000000-0005-0000-0000-00004A430000}"/>
    <cellStyle name="40% - Accent6 29 2 3" xfId="10408" xr:uid="{00000000-0005-0000-0000-00004B430000}"/>
    <cellStyle name="40% - Accent6 29 2 3 2" xfId="21696" xr:uid="{00000000-0005-0000-0000-00004C430000}"/>
    <cellStyle name="40% - Accent6 29 2 4" xfId="8414" xr:uid="{00000000-0005-0000-0000-00004D430000}"/>
    <cellStyle name="40% - Accent6 29 2 4 2" xfId="19702" xr:uid="{00000000-0005-0000-0000-00004E430000}"/>
    <cellStyle name="40% - Accent6 29 2 5" xfId="6420" xr:uid="{00000000-0005-0000-0000-00004F430000}"/>
    <cellStyle name="40% - Accent6 29 2 5 2" xfId="17708" xr:uid="{00000000-0005-0000-0000-000050430000}"/>
    <cellStyle name="40% - Accent6 29 2 6" xfId="15714" xr:uid="{00000000-0005-0000-0000-000051430000}"/>
    <cellStyle name="40% - Accent6 29 3" xfId="11405" xr:uid="{00000000-0005-0000-0000-000052430000}"/>
    <cellStyle name="40% - Accent6 29 3 2" xfId="22693" xr:uid="{00000000-0005-0000-0000-000053430000}"/>
    <cellStyle name="40% - Accent6 29 4" xfId="9411" xr:uid="{00000000-0005-0000-0000-000054430000}"/>
    <cellStyle name="40% - Accent6 29 4 2" xfId="20699" xr:uid="{00000000-0005-0000-0000-000055430000}"/>
    <cellStyle name="40% - Accent6 29 5" xfId="7417" xr:uid="{00000000-0005-0000-0000-000056430000}"/>
    <cellStyle name="40% - Accent6 29 5 2" xfId="18705" xr:uid="{00000000-0005-0000-0000-000057430000}"/>
    <cellStyle name="40% - Accent6 29 6" xfId="5423" xr:uid="{00000000-0005-0000-0000-000058430000}"/>
    <cellStyle name="40% - Accent6 29 6 2" xfId="16711" xr:uid="{00000000-0005-0000-0000-000059430000}"/>
    <cellStyle name="40% - Accent6 29 7" xfId="14717" xr:uid="{00000000-0005-0000-0000-00005A430000}"/>
    <cellStyle name="40% - Accent6 29 8" xfId="13403" xr:uid="{00000000-0005-0000-0000-00005B430000}"/>
    <cellStyle name="40% - Accent6 3" xfId="1468" xr:uid="{00000000-0005-0000-0000-00005C430000}"/>
    <cellStyle name="40% - Accent6 3 10" xfId="24626" xr:uid="{00000000-0005-0000-0000-00005D430000}"/>
    <cellStyle name="40% - Accent6 3 11" xfId="25016" xr:uid="{00000000-0005-0000-0000-00005E430000}"/>
    <cellStyle name="40% - Accent6 3 2" xfId="4424" xr:uid="{00000000-0005-0000-0000-00005F430000}"/>
    <cellStyle name="40% - Accent6 3 2 2" xfId="12403" xr:uid="{00000000-0005-0000-0000-000060430000}"/>
    <cellStyle name="40% - Accent6 3 2 2 2" xfId="23691" xr:uid="{00000000-0005-0000-0000-000061430000}"/>
    <cellStyle name="40% - Accent6 3 2 3" xfId="10409" xr:uid="{00000000-0005-0000-0000-000062430000}"/>
    <cellStyle name="40% - Accent6 3 2 3 2" xfId="21697" xr:uid="{00000000-0005-0000-0000-000063430000}"/>
    <cellStyle name="40% - Accent6 3 2 4" xfId="8415" xr:uid="{00000000-0005-0000-0000-000064430000}"/>
    <cellStyle name="40% - Accent6 3 2 4 2" xfId="19703" xr:uid="{00000000-0005-0000-0000-000065430000}"/>
    <cellStyle name="40% - Accent6 3 2 5" xfId="6421" xr:uid="{00000000-0005-0000-0000-000066430000}"/>
    <cellStyle name="40% - Accent6 3 2 5 2" xfId="17709" xr:uid="{00000000-0005-0000-0000-000067430000}"/>
    <cellStyle name="40% - Accent6 3 2 6" xfId="15715" xr:uid="{00000000-0005-0000-0000-000068430000}"/>
    <cellStyle name="40% - Accent6 3 2 7" xfId="24387" xr:uid="{00000000-0005-0000-0000-000069430000}"/>
    <cellStyle name="40% - Accent6 3 2 8" xfId="24851" xr:uid="{00000000-0005-0000-0000-00006A430000}"/>
    <cellStyle name="40% - Accent6 3 2 9" xfId="25218" xr:uid="{00000000-0005-0000-0000-00006B430000}"/>
    <cellStyle name="40% - Accent6 3 3" xfId="11406" xr:uid="{00000000-0005-0000-0000-00006C430000}"/>
    <cellStyle name="40% - Accent6 3 3 2" xfId="22694" xr:uid="{00000000-0005-0000-0000-00006D430000}"/>
    <cellStyle name="40% - Accent6 3 4" xfId="9412" xr:uid="{00000000-0005-0000-0000-00006E430000}"/>
    <cellStyle name="40% - Accent6 3 4 2" xfId="20700" xr:uid="{00000000-0005-0000-0000-00006F430000}"/>
    <cellStyle name="40% - Accent6 3 5" xfId="7418" xr:uid="{00000000-0005-0000-0000-000070430000}"/>
    <cellStyle name="40% - Accent6 3 5 2" xfId="18706" xr:uid="{00000000-0005-0000-0000-000071430000}"/>
    <cellStyle name="40% - Accent6 3 6" xfId="5424" xr:uid="{00000000-0005-0000-0000-000072430000}"/>
    <cellStyle name="40% - Accent6 3 6 2" xfId="16712" xr:uid="{00000000-0005-0000-0000-000073430000}"/>
    <cellStyle name="40% - Accent6 3 7" xfId="14718" xr:uid="{00000000-0005-0000-0000-000074430000}"/>
    <cellStyle name="40% - Accent6 3 8" xfId="13404" xr:uid="{00000000-0005-0000-0000-000075430000}"/>
    <cellStyle name="40% - Accent6 3 9" xfId="23999" xr:uid="{00000000-0005-0000-0000-000076430000}"/>
    <cellStyle name="40% - Accent6 30" xfId="1469" xr:uid="{00000000-0005-0000-0000-000077430000}"/>
    <cellStyle name="40% - Accent6 30 2" xfId="4425" xr:uid="{00000000-0005-0000-0000-000078430000}"/>
    <cellStyle name="40% - Accent6 30 2 2" xfId="12404" xr:uid="{00000000-0005-0000-0000-000079430000}"/>
    <cellStyle name="40% - Accent6 30 2 2 2" xfId="23692" xr:uid="{00000000-0005-0000-0000-00007A430000}"/>
    <cellStyle name="40% - Accent6 30 2 3" xfId="10410" xr:uid="{00000000-0005-0000-0000-00007B430000}"/>
    <cellStyle name="40% - Accent6 30 2 3 2" xfId="21698" xr:uid="{00000000-0005-0000-0000-00007C430000}"/>
    <cellStyle name="40% - Accent6 30 2 4" xfId="8416" xr:uid="{00000000-0005-0000-0000-00007D430000}"/>
    <cellStyle name="40% - Accent6 30 2 4 2" xfId="19704" xr:uid="{00000000-0005-0000-0000-00007E430000}"/>
    <cellStyle name="40% - Accent6 30 2 5" xfId="6422" xr:uid="{00000000-0005-0000-0000-00007F430000}"/>
    <cellStyle name="40% - Accent6 30 2 5 2" xfId="17710" xr:uid="{00000000-0005-0000-0000-000080430000}"/>
    <cellStyle name="40% - Accent6 30 2 6" xfId="15716" xr:uid="{00000000-0005-0000-0000-000081430000}"/>
    <cellStyle name="40% - Accent6 30 3" xfId="11407" xr:uid="{00000000-0005-0000-0000-000082430000}"/>
    <cellStyle name="40% - Accent6 30 3 2" xfId="22695" xr:uid="{00000000-0005-0000-0000-000083430000}"/>
    <cellStyle name="40% - Accent6 30 4" xfId="9413" xr:uid="{00000000-0005-0000-0000-000084430000}"/>
    <cellStyle name="40% - Accent6 30 4 2" xfId="20701" xr:uid="{00000000-0005-0000-0000-000085430000}"/>
    <cellStyle name="40% - Accent6 30 5" xfId="7419" xr:uid="{00000000-0005-0000-0000-000086430000}"/>
    <cellStyle name="40% - Accent6 30 5 2" xfId="18707" xr:uid="{00000000-0005-0000-0000-000087430000}"/>
    <cellStyle name="40% - Accent6 30 6" xfId="5425" xr:uid="{00000000-0005-0000-0000-000088430000}"/>
    <cellStyle name="40% - Accent6 30 6 2" xfId="16713" xr:uid="{00000000-0005-0000-0000-000089430000}"/>
    <cellStyle name="40% - Accent6 30 7" xfId="14719" xr:uid="{00000000-0005-0000-0000-00008A430000}"/>
    <cellStyle name="40% - Accent6 30 8" xfId="13405" xr:uid="{00000000-0005-0000-0000-00008B430000}"/>
    <cellStyle name="40% - Accent6 31" xfId="1470" xr:uid="{00000000-0005-0000-0000-00008C430000}"/>
    <cellStyle name="40% - Accent6 31 2" xfId="4426" xr:uid="{00000000-0005-0000-0000-00008D430000}"/>
    <cellStyle name="40% - Accent6 31 2 2" xfId="12405" xr:uid="{00000000-0005-0000-0000-00008E430000}"/>
    <cellStyle name="40% - Accent6 31 2 2 2" xfId="23693" xr:uid="{00000000-0005-0000-0000-00008F430000}"/>
    <cellStyle name="40% - Accent6 31 2 3" xfId="10411" xr:uid="{00000000-0005-0000-0000-000090430000}"/>
    <cellStyle name="40% - Accent6 31 2 3 2" xfId="21699" xr:uid="{00000000-0005-0000-0000-000091430000}"/>
    <cellStyle name="40% - Accent6 31 2 4" xfId="8417" xr:uid="{00000000-0005-0000-0000-000092430000}"/>
    <cellStyle name="40% - Accent6 31 2 4 2" xfId="19705" xr:uid="{00000000-0005-0000-0000-000093430000}"/>
    <cellStyle name="40% - Accent6 31 2 5" xfId="6423" xr:uid="{00000000-0005-0000-0000-000094430000}"/>
    <cellStyle name="40% - Accent6 31 2 5 2" xfId="17711" xr:uid="{00000000-0005-0000-0000-000095430000}"/>
    <cellStyle name="40% - Accent6 31 2 6" xfId="15717" xr:uid="{00000000-0005-0000-0000-000096430000}"/>
    <cellStyle name="40% - Accent6 31 3" xfId="11408" xr:uid="{00000000-0005-0000-0000-000097430000}"/>
    <cellStyle name="40% - Accent6 31 3 2" xfId="22696" xr:uid="{00000000-0005-0000-0000-000098430000}"/>
    <cellStyle name="40% - Accent6 31 4" xfId="9414" xr:uid="{00000000-0005-0000-0000-000099430000}"/>
    <cellStyle name="40% - Accent6 31 4 2" xfId="20702" xr:uid="{00000000-0005-0000-0000-00009A430000}"/>
    <cellStyle name="40% - Accent6 31 5" xfId="7420" xr:uid="{00000000-0005-0000-0000-00009B430000}"/>
    <cellStyle name="40% - Accent6 31 5 2" xfId="18708" xr:uid="{00000000-0005-0000-0000-00009C430000}"/>
    <cellStyle name="40% - Accent6 31 6" xfId="5426" xr:uid="{00000000-0005-0000-0000-00009D430000}"/>
    <cellStyle name="40% - Accent6 31 6 2" xfId="16714" xr:uid="{00000000-0005-0000-0000-00009E430000}"/>
    <cellStyle name="40% - Accent6 31 7" xfId="14720" xr:uid="{00000000-0005-0000-0000-00009F430000}"/>
    <cellStyle name="40% - Accent6 31 8" xfId="13406" xr:uid="{00000000-0005-0000-0000-0000A0430000}"/>
    <cellStyle name="40% - Accent6 32" xfId="1471" xr:uid="{00000000-0005-0000-0000-0000A1430000}"/>
    <cellStyle name="40% - Accent6 32 2" xfId="4427" xr:uid="{00000000-0005-0000-0000-0000A2430000}"/>
    <cellStyle name="40% - Accent6 32 2 2" xfId="12406" xr:uid="{00000000-0005-0000-0000-0000A3430000}"/>
    <cellStyle name="40% - Accent6 32 2 2 2" xfId="23694" xr:uid="{00000000-0005-0000-0000-0000A4430000}"/>
    <cellStyle name="40% - Accent6 32 2 3" xfId="10412" xr:uid="{00000000-0005-0000-0000-0000A5430000}"/>
    <cellStyle name="40% - Accent6 32 2 3 2" xfId="21700" xr:uid="{00000000-0005-0000-0000-0000A6430000}"/>
    <cellStyle name="40% - Accent6 32 2 4" xfId="8418" xr:uid="{00000000-0005-0000-0000-0000A7430000}"/>
    <cellStyle name="40% - Accent6 32 2 4 2" xfId="19706" xr:uid="{00000000-0005-0000-0000-0000A8430000}"/>
    <cellStyle name="40% - Accent6 32 2 5" xfId="6424" xr:uid="{00000000-0005-0000-0000-0000A9430000}"/>
    <cellStyle name="40% - Accent6 32 2 5 2" xfId="17712" xr:uid="{00000000-0005-0000-0000-0000AA430000}"/>
    <cellStyle name="40% - Accent6 32 2 6" xfId="15718" xr:uid="{00000000-0005-0000-0000-0000AB430000}"/>
    <cellStyle name="40% - Accent6 32 3" xfId="11409" xr:uid="{00000000-0005-0000-0000-0000AC430000}"/>
    <cellStyle name="40% - Accent6 32 3 2" xfId="22697" xr:uid="{00000000-0005-0000-0000-0000AD430000}"/>
    <cellStyle name="40% - Accent6 32 4" xfId="9415" xr:uid="{00000000-0005-0000-0000-0000AE430000}"/>
    <cellStyle name="40% - Accent6 32 4 2" xfId="20703" xr:uid="{00000000-0005-0000-0000-0000AF430000}"/>
    <cellStyle name="40% - Accent6 32 5" xfId="7421" xr:uid="{00000000-0005-0000-0000-0000B0430000}"/>
    <cellStyle name="40% - Accent6 32 5 2" xfId="18709" xr:uid="{00000000-0005-0000-0000-0000B1430000}"/>
    <cellStyle name="40% - Accent6 32 6" xfId="5427" xr:uid="{00000000-0005-0000-0000-0000B2430000}"/>
    <cellStyle name="40% - Accent6 32 6 2" xfId="16715" xr:uid="{00000000-0005-0000-0000-0000B3430000}"/>
    <cellStyle name="40% - Accent6 32 7" xfId="14721" xr:uid="{00000000-0005-0000-0000-0000B4430000}"/>
    <cellStyle name="40% - Accent6 32 8" xfId="13407" xr:uid="{00000000-0005-0000-0000-0000B5430000}"/>
    <cellStyle name="40% - Accent6 33" xfId="1472" xr:uid="{00000000-0005-0000-0000-0000B6430000}"/>
    <cellStyle name="40% - Accent6 33 2" xfId="4428" xr:uid="{00000000-0005-0000-0000-0000B7430000}"/>
    <cellStyle name="40% - Accent6 33 2 2" xfId="12407" xr:uid="{00000000-0005-0000-0000-0000B8430000}"/>
    <cellStyle name="40% - Accent6 33 2 2 2" xfId="23695" xr:uid="{00000000-0005-0000-0000-0000B9430000}"/>
    <cellStyle name="40% - Accent6 33 2 3" xfId="10413" xr:uid="{00000000-0005-0000-0000-0000BA430000}"/>
    <cellStyle name="40% - Accent6 33 2 3 2" xfId="21701" xr:uid="{00000000-0005-0000-0000-0000BB430000}"/>
    <cellStyle name="40% - Accent6 33 2 4" xfId="8419" xr:uid="{00000000-0005-0000-0000-0000BC430000}"/>
    <cellStyle name="40% - Accent6 33 2 4 2" xfId="19707" xr:uid="{00000000-0005-0000-0000-0000BD430000}"/>
    <cellStyle name="40% - Accent6 33 2 5" xfId="6425" xr:uid="{00000000-0005-0000-0000-0000BE430000}"/>
    <cellStyle name="40% - Accent6 33 2 5 2" xfId="17713" xr:uid="{00000000-0005-0000-0000-0000BF430000}"/>
    <cellStyle name="40% - Accent6 33 2 6" xfId="15719" xr:uid="{00000000-0005-0000-0000-0000C0430000}"/>
    <cellStyle name="40% - Accent6 33 3" xfId="11410" xr:uid="{00000000-0005-0000-0000-0000C1430000}"/>
    <cellStyle name="40% - Accent6 33 3 2" xfId="22698" xr:uid="{00000000-0005-0000-0000-0000C2430000}"/>
    <cellStyle name="40% - Accent6 33 4" xfId="9416" xr:uid="{00000000-0005-0000-0000-0000C3430000}"/>
    <cellStyle name="40% - Accent6 33 4 2" xfId="20704" xr:uid="{00000000-0005-0000-0000-0000C4430000}"/>
    <cellStyle name="40% - Accent6 33 5" xfId="7422" xr:uid="{00000000-0005-0000-0000-0000C5430000}"/>
    <cellStyle name="40% - Accent6 33 5 2" xfId="18710" xr:uid="{00000000-0005-0000-0000-0000C6430000}"/>
    <cellStyle name="40% - Accent6 33 6" xfId="5428" xr:uid="{00000000-0005-0000-0000-0000C7430000}"/>
    <cellStyle name="40% - Accent6 33 6 2" xfId="16716" xr:uid="{00000000-0005-0000-0000-0000C8430000}"/>
    <cellStyle name="40% - Accent6 33 7" xfId="14722" xr:uid="{00000000-0005-0000-0000-0000C9430000}"/>
    <cellStyle name="40% - Accent6 33 8" xfId="13408" xr:uid="{00000000-0005-0000-0000-0000CA430000}"/>
    <cellStyle name="40% - Accent6 34" xfId="1473" xr:uid="{00000000-0005-0000-0000-0000CB430000}"/>
    <cellStyle name="40% - Accent6 34 2" xfId="4429" xr:uid="{00000000-0005-0000-0000-0000CC430000}"/>
    <cellStyle name="40% - Accent6 34 2 2" xfId="12408" xr:uid="{00000000-0005-0000-0000-0000CD430000}"/>
    <cellStyle name="40% - Accent6 34 2 2 2" xfId="23696" xr:uid="{00000000-0005-0000-0000-0000CE430000}"/>
    <cellStyle name="40% - Accent6 34 2 3" xfId="10414" xr:uid="{00000000-0005-0000-0000-0000CF430000}"/>
    <cellStyle name="40% - Accent6 34 2 3 2" xfId="21702" xr:uid="{00000000-0005-0000-0000-0000D0430000}"/>
    <cellStyle name="40% - Accent6 34 2 4" xfId="8420" xr:uid="{00000000-0005-0000-0000-0000D1430000}"/>
    <cellStyle name="40% - Accent6 34 2 4 2" xfId="19708" xr:uid="{00000000-0005-0000-0000-0000D2430000}"/>
    <cellStyle name="40% - Accent6 34 2 5" xfId="6426" xr:uid="{00000000-0005-0000-0000-0000D3430000}"/>
    <cellStyle name="40% - Accent6 34 2 5 2" xfId="17714" xr:uid="{00000000-0005-0000-0000-0000D4430000}"/>
    <cellStyle name="40% - Accent6 34 2 6" xfId="15720" xr:uid="{00000000-0005-0000-0000-0000D5430000}"/>
    <cellStyle name="40% - Accent6 34 3" xfId="11411" xr:uid="{00000000-0005-0000-0000-0000D6430000}"/>
    <cellStyle name="40% - Accent6 34 3 2" xfId="22699" xr:uid="{00000000-0005-0000-0000-0000D7430000}"/>
    <cellStyle name="40% - Accent6 34 4" xfId="9417" xr:uid="{00000000-0005-0000-0000-0000D8430000}"/>
    <cellStyle name="40% - Accent6 34 4 2" xfId="20705" xr:uid="{00000000-0005-0000-0000-0000D9430000}"/>
    <cellStyle name="40% - Accent6 34 5" xfId="7423" xr:uid="{00000000-0005-0000-0000-0000DA430000}"/>
    <cellStyle name="40% - Accent6 34 5 2" xfId="18711" xr:uid="{00000000-0005-0000-0000-0000DB430000}"/>
    <cellStyle name="40% - Accent6 34 6" xfId="5429" xr:uid="{00000000-0005-0000-0000-0000DC430000}"/>
    <cellStyle name="40% - Accent6 34 6 2" xfId="16717" xr:uid="{00000000-0005-0000-0000-0000DD430000}"/>
    <cellStyle name="40% - Accent6 34 7" xfId="14723" xr:uid="{00000000-0005-0000-0000-0000DE430000}"/>
    <cellStyle name="40% - Accent6 34 8" xfId="13409" xr:uid="{00000000-0005-0000-0000-0000DF430000}"/>
    <cellStyle name="40% - Accent6 35" xfId="1474" xr:uid="{00000000-0005-0000-0000-0000E0430000}"/>
    <cellStyle name="40% - Accent6 35 2" xfId="4430" xr:uid="{00000000-0005-0000-0000-0000E1430000}"/>
    <cellStyle name="40% - Accent6 35 2 2" xfId="12409" xr:uid="{00000000-0005-0000-0000-0000E2430000}"/>
    <cellStyle name="40% - Accent6 35 2 2 2" xfId="23697" xr:uid="{00000000-0005-0000-0000-0000E3430000}"/>
    <cellStyle name="40% - Accent6 35 2 3" xfId="10415" xr:uid="{00000000-0005-0000-0000-0000E4430000}"/>
    <cellStyle name="40% - Accent6 35 2 3 2" xfId="21703" xr:uid="{00000000-0005-0000-0000-0000E5430000}"/>
    <cellStyle name="40% - Accent6 35 2 4" xfId="8421" xr:uid="{00000000-0005-0000-0000-0000E6430000}"/>
    <cellStyle name="40% - Accent6 35 2 4 2" xfId="19709" xr:uid="{00000000-0005-0000-0000-0000E7430000}"/>
    <cellStyle name="40% - Accent6 35 2 5" xfId="6427" xr:uid="{00000000-0005-0000-0000-0000E8430000}"/>
    <cellStyle name="40% - Accent6 35 2 5 2" xfId="17715" xr:uid="{00000000-0005-0000-0000-0000E9430000}"/>
    <cellStyle name="40% - Accent6 35 2 6" xfId="15721" xr:uid="{00000000-0005-0000-0000-0000EA430000}"/>
    <cellStyle name="40% - Accent6 35 3" xfId="11412" xr:uid="{00000000-0005-0000-0000-0000EB430000}"/>
    <cellStyle name="40% - Accent6 35 3 2" xfId="22700" xr:uid="{00000000-0005-0000-0000-0000EC430000}"/>
    <cellStyle name="40% - Accent6 35 4" xfId="9418" xr:uid="{00000000-0005-0000-0000-0000ED430000}"/>
    <cellStyle name="40% - Accent6 35 4 2" xfId="20706" xr:uid="{00000000-0005-0000-0000-0000EE430000}"/>
    <cellStyle name="40% - Accent6 35 5" xfId="7424" xr:uid="{00000000-0005-0000-0000-0000EF430000}"/>
    <cellStyle name="40% - Accent6 35 5 2" xfId="18712" xr:uid="{00000000-0005-0000-0000-0000F0430000}"/>
    <cellStyle name="40% - Accent6 35 6" xfId="5430" xr:uid="{00000000-0005-0000-0000-0000F1430000}"/>
    <cellStyle name="40% - Accent6 35 6 2" xfId="16718" xr:uid="{00000000-0005-0000-0000-0000F2430000}"/>
    <cellStyle name="40% - Accent6 35 7" xfId="14724" xr:uid="{00000000-0005-0000-0000-0000F3430000}"/>
    <cellStyle name="40% - Accent6 35 8" xfId="13410" xr:uid="{00000000-0005-0000-0000-0000F4430000}"/>
    <cellStyle name="40% - Accent6 36" xfId="1475" xr:uid="{00000000-0005-0000-0000-0000F5430000}"/>
    <cellStyle name="40% - Accent6 36 2" xfId="4431" xr:uid="{00000000-0005-0000-0000-0000F6430000}"/>
    <cellStyle name="40% - Accent6 36 2 2" xfId="12410" xr:uid="{00000000-0005-0000-0000-0000F7430000}"/>
    <cellStyle name="40% - Accent6 36 2 2 2" xfId="23698" xr:uid="{00000000-0005-0000-0000-0000F8430000}"/>
    <cellStyle name="40% - Accent6 36 2 3" xfId="10416" xr:uid="{00000000-0005-0000-0000-0000F9430000}"/>
    <cellStyle name="40% - Accent6 36 2 3 2" xfId="21704" xr:uid="{00000000-0005-0000-0000-0000FA430000}"/>
    <cellStyle name="40% - Accent6 36 2 4" xfId="8422" xr:uid="{00000000-0005-0000-0000-0000FB430000}"/>
    <cellStyle name="40% - Accent6 36 2 4 2" xfId="19710" xr:uid="{00000000-0005-0000-0000-0000FC430000}"/>
    <cellStyle name="40% - Accent6 36 2 5" xfId="6428" xr:uid="{00000000-0005-0000-0000-0000FD430000}"/>
    <cellStyle name="40% - Accent6 36 2 5 2" xfId="17716" xr:uid="{00000000-0005-0000-0000-0000FE430000}"/>
    <cellStyle name="40% - Accent6 36 2 6" xfId="15722" xr:uid="{00000000-0005-0000-0000-0000FF430000}"/>
    <cellStyle name="40% - Accent6 36 3" xfId="11413" xr:uid="{00000000-0005-0000-0000-000000440000}"/>
    <cellStyle name="40% - Accent6 36 3 2" xfId="22701" xr:uid="{00000000-0005-0000-0000-000001440000}"/>
    <cellStyle name="40% - Accent6 36 4" xfId="9419" xr:uid="{00000000-0005-0000-0000-000002440000}"/>
    <cellStyle name="40% - Accent6 36 4 2" xfId="20707" xr:uid="{00000000-0005-0000-0000-000003440000}"/>
    <cellStyle name="40% - Accent6 36 5" xfId="7425" xr:uid="{00000000-0005-0000-0000-000004440000}"/>
    <cellStyle name="40% - Accent6 36 5 2" xfId="18713" xr:uid="{00000000-0005-0000-0000-000005440000}"/>
    <cellStyle name="40% - Accent6 36 6" xfId="5431" xr:uid="{00000000-0005-0000-0000-000006440000}"/>
    <cellStyle name="40% - Accent6 36 6 2" xfId="16719" xr:uid="{00000000-0005-0000-0000-000007440000}"/>
    <cellStyle name="40% - Accent6 36 7" xfId="14725" xr:uid="{00000000-0005-0000-0000-000008440000}"/>
    <cellStyle name="40% - Accent6 36 8" xfId="13411" xr:uid="{00000000-0005-0000-0000-000009440000}"/>
    <cellStyle name="40% - Accent6 37" xfId="1476" xr:uid="{00000000-0005-0000-0000-00000A440000}"/>
    <cellStyle name="40% - Accent6 37 2" xfId="4432" xr:uid="{00000000-0005-0000-0000-00000B440000}"/>
    <cellStyle name="40% - Accent6 37 2 2" xfId="12411" xr:uid="{00000000-0005-0000-0000-00000C440000}"/>
    <cellStyle name="40% - Accent6 37 2 2 2" xfId="23699" xr:uid="{00000000-0005-0000-0000-00000D440000}"/>
    <cellStyle name="40% - Accent6 37 2 3" xfId="10417" xr:uid="{00000000-0005-0000-0000-00000E440000}"/>
    <cellStyle name="40% - Accent6 37 2 3 2" xfId="21705" xr:uid="{00000000-0005-0000-0000-00000F440000}"/>
    <cellStyle name="40% - Accent6 37 2 4" xfId="8423" xr:uid="{00000000-0005-0000-0000-000010440000}"/>
    <cellStyle name="40% - Accent6 37 2 4 2" xfId="19711" xr:uid="{00000000-0005-0000-0000-000011440000}"/>
    <cellStyle name="40% - Accent6 37 2 5" xfId="6429" xr:uid="{00000000-0005-0000-0000-000012440000}"/>
    <cellStyle name="40% - Accent6 37 2 5 2" xfId="17717" xr:uid="{00000000-0005-0000-0000-000013440000}"/>
    <cellStyle name="40% - Accent6 37 2 6" xfId="15723" xr:uid="{00000000-0005-0000-0000-000014440000}"/>
    <cellStyle name="40% - Accent6 37 3" xfId="11414" xr:uid="{00000000-0005-0000-0000-000015440000}"/>
    <cellStyle name="40% - Accent6 37 3 2" xfId="22702" xr:uid="{00000000-0005-0000-0000-000016440000}"/>
    <cellStyle name="40% - Accent6 37 4" xfId="9420" xr:uid="{00000000-0005-0000-0000-000017440000}"/>
    <cellStyle name="40% - Accent6 37 4 2" xfId="20708" xr:uid="{00000000-0005-0000-0000-000018440000}"/>
    <cellStyle name="40% - Accent6 37 5" xfId="7426" xr:uid="{00000000-0005-0000-0000-000019440000}"/>
    <cellStyle name="40% - Accent6 37 5 2" xfId="18714" xr:uid="{00000000-0005-0000-0000-00001A440000}"/>
    <cellStyle name="40% - Accent6 37 6" xfId="5432" xr:uid="{00000000-0005-0000-0000-00001B440000}"/>
    <cellStyle name="40% - Accent6 37 6 2" xfId="16720" xr:uid="{00000000-0005-0000-0000-00001C440000}"/>
    <cellStyle name="40% - Accent6 37 7" xfId="14726" xr:uid="{00000000-0005-0000-0000-00001D440000}"/>
    <cellStyle name="40% - Accent6 37 8" xfId="13412" xr:uid="{00000000-0005-0000-0000-00001E440000}"/>
    <cellStyle name="40% - Accent6 38" xfId="1477" xr:uid="{00000000-0005-0000-0000-00001F440000}"/>
    <cellStyle name="40% - Accent6 38 2" xfId="4433" xr:uid="{00000000-0005-0000-0000-000020440000}"/>
    <cellStyle name="40% - Accent6 38 2 2" xfId="12412" xr:uid="{00000000-0005-0000-0000-000021440000}"/>
    <cellStyle name="40% - Accent6 38 2 2 2" xfId="23700" xr:uid="{00000000-0005-0000-0000-000022440000}"/>
    <cellStyle name="40% - Accent6 38 2 3" xfId="10418" xr:uid="{00000000-0005-0000-0000-000023440000}"/>
    <cellStyle name="40% - Accent6 38 2 3 2" xfId="21706" xr:uid="{00000000-0005-0000-0000-000024440000}"/>
    <cellStyle name="40% - Accent6 38 2 4" xfId="8424" xr:uid="{00000000-0005-0000-0000-000025440000}"/>
    <cellStyle name="40% - Accent6 38 2 4 2" xfId="19712" xr:uid="{00000000-0005-0000-0000-000026440000}"/>
    <cellStyle name="40% - Accent6 38 2 5" xfId="6430" xr:uid="{00000000-0005-0000-0000-000027440000}"/>
    <cellStyle name="40% - Accent6 38 2 5 2" xfId="17718" xr:uid="{00000000-0005-0000-0000-000028440000}"/>
    <cellStyle name="40% - Accent6 38 2 6" xfId="15724" xr:uid="{00000000-0005-0000-0000-000029440000}"/>
    <cellStyle name="40% - Accent6 38 3" xfId="11415" xr:uid="{00000000-0005-0000-0000-00002A440000}"/>
    <cellStyle name="40% - Accent6 38 3 2" xfId="22703" xr:uid="{00000000-0005-0000-0000-00002B440000}"/>
    <cellStyle name="40% - Accent6 38 4" xfId="9421" xr:uid="{00000000-0005-0000-0000-00002C440000}"/>
    <cellStyle name="40% - Accent6 38 4 2" xfId="20709" xr:uid="{00000000-0005-0000-0000-00002D440000}"/>
    <cellStyle name="40% - Accent6 38 5" xfId="7427" xr:uid="{00000000-0005-0000-0000-00002E440000}"/>
    <cellStyle name="40% - Accent6 38 5 2" xfId="18715" xr:uid="{00000000-0005-0000-0000-00002F440000}"/>
    <cellStyle name="40% - Accent6 38 6" xfId="5433" xr:uid="{00000000-0005-0000-0000-000030440000}"/>
    <cellStyle name="40% - Accent6 38 6 2" xfId="16721" xr:uid="{00000000-0005-0000-0000-000031440000}"/>
    <cellStyle name="40% - Accent6 38 7" xfId="14727" xr:uid="{00000000-0005-0000-0000-000032440000}"/>
    <cellStyle name="40% - Accent6 38 8" xfId="13413" xr:uid="{00000000-0005-0000-0000-000033440000}"/>
    <cellStyle name="40% - Accent6 39" xfId="1478" xr:uid="{00000000-0005-0000-0000-000034440000}"/>
    <cellStyle name="40% - Accent6 39 2" xfId="4434" xr:uid="{00000000-0005-0000-0000-000035440000}"/>
    <cellStyle name="40% - Accent6 39 2 2" xfId="12413" xr:uid="{00000000-0005-0000-0000-000036440000}"/>
    <cellStyle name="40% - Accent6 39 2 2 2" xfId="23701" xr:uid="{00000000-0005-0000-0000-000037440000}"/>
    <cellStyle name="40% - Accent6 39 2 3" xfId="10419" xr:uid="{00000000-0005-0000-0000-000038440000}"/>
    <cellStyle name="40% - Accent6 39 2 3 2" xfId="21707" xr:uid="{00000000-0005-0000-0000-000039440000}"/>
    <cellStyle name="40% - Accent6 39 2 4" xfId="8425" xr:uid="{00000000-0005-0000-0000-00003A440000}"/>
    <cellStyle name="40% - Accent6 39 2 4 2" xfId="19713" xr:uid="{00000000-0005-0000-0000-00003B440000}"/>
    <cellStyle name="40% - Accent6 39 2 5" xfId="6431" xr:uid="{00000000-0005-0000-0000-00003C440000}"/>
    <cellStyle name="40% - Accent6 39 2 5 2" xfId="17719" xr:uid="{00000000-0005-0000-0000-00003D440000}"/>
    <cellStyle name="40% - Accent6 39 2 6" xfId="15725" xr:uid="{00000000-0005-0000-0000-00003E440000}"/>
    <cellStyle name="40% - Accent6 39 3" xfId="11416" xr:uid="{00000000-0005-0000-0000-00003F440000}"/>
    <cellStyle name="40% - Accent6 39 3 2" xfId="22704" xr:uid="{00000000-0005-0000-0000-000040440000}"/>
    <cellStyle name="40% - Accent6 39 4" xfId="9422" xr:uid="{00000000-0005-0000-0000-000041440000}"/>
    <cellStyle name="40% - Accent6 39 4 2" xfId="20710" xr:uid="{00000000-0005-0000-0000-000042440000}"/>
    <cellStyle name="40% - Accent6 39 5" xfId="7428" xr:uid="{00000000-0005-0000-0000-000043440000}"/>
    <cellStyle name="40% - Accent6 39 5 2" xfId="18716" xr:uid="{00000000-0005-0000-0000-000044440000}"/>
    <cellStyle name="40% - Accent6 39 6" xfId="5434" xr:uid="{00000000-0005-0000-0000-000045440000}"/>
    <cellStyle name="40% - Accent6 39 6 2" xfId="16722" xr:uid="{00000000-0005-0000-0000-000046440000}"/>
    <cellStyle name="40% - Accent6 39 7" xfId="14728" xr:uid="{00000000-0005-0000-0000-000047440000}"/>
    <cellStyle name="40% - Accent6 39 8" xfId="13414" xr:uid="{00000000-0005-0000-0000-000048440000}"/>
    <cellStyle name="40% - Accent6 4" xfId="1479" xr:uid="{00000000-0005-0000-0000-000049440000}"/>
    <cellStyle name="40% - Accent6 4 10" xfId="24627" xr:uid="{00000000-0005-0000-0000-00004A440000}"/>
    <cellStyle name="40% - Accent6 4 11" xfId="25017" xr:uid="{00000000-0005-0000-0000-00004B440000}"/>
    <cellStyle name="40% - Accent6 4 2" xfId="4435" xr:uid="{00000000-0005-0000-0000-00004C440000}"/>
    <cellStyle name="40% - Accent6 4 2 2" xfId="12414" xr:uid="{00000000-0005-0000-0000-00004D440000}"/>
    <cellStyle name="40% - Accent6 4 2 2 2" xfId="23702" xr:uid="{00000000-0005-0000-0000-00004E440000}"/>
    <cellStyle name="40% - Accent6 4 2 3" xfId="10420" xr:uid="{00000000-0005-0000-0000-00004F440000}"/>
    <cellStyle name="40% - Accent6 4 2 3 2" xfId="21708" xr:uid="{00000000-0005-0000-0000-000050440000}"/>
    <cellStyle name="40% - Accent6 4 2 4" xfId="8426" xr:uid="{00000000-0005-0000-0000-000051440000}"/>
    <cellStyle name="40% - Accent6 4 2 4 2" xfId="19714" xr:uid="{00000000-0005-0000-0000-000052440000}"/>
    <cellStyle name="40% - Accent6 4 2 5" xfId="6432" xr:uid="{00000000-0005-0000-0000-000053440000}"/>
    <cellStyle name="40% - Accent6 4 2 5 2" xfId="17720" xr:uid="{00000000-0005-0000-0000-000054440000}"/>
    <cellStyle name="40% - Accent6 4 2 6" xfId="15726" xr:uid="{00000000-0005-0000-0000-000055440000}"/>
    <cellStyle name="40% - Accent6 4 2 7" xfId="24388" xr:uid="{00000000-0005-0000-0000-000056440000}"/>
    <cellStyle name="40% - Accent6 4 2 8" xfId="24852" xr:uid="{00000000-0005-0000-0000-000057440000}"/>
    <cellStyle name="40% - Accent6 4 2 9" xfId="25219" xr:uid="{00000000-0005-0000-0000-000058440000}"/>
    <cellStyle name="40% - Accent6 4 3" xfId="11417" xr:uid="{00000000-0005-0000-0000-000059440000}"/>
    <cellStyle name="40% - Accent6 4 3 2" xfId="22705" xr:uid="{00000000-0005-0000-0000-00005A440000}"/>
    <cellStyle name="40% - Accent6 4 4" xfId="9423" xr:uid="{00000000-0005-0000-0000-00005B440000}"/>
    <cellStyle name="40% - Accent6 4 4 2" xfId="20711" xr:uid="{00000000-0005-0000-0000-00005C440000}"/>
    <cellStyle name="40% - Accent6 4 5" xfId="7429" xr:uid="{00000000-0005-0000-0000-00005D440000}"/>
    <cellStyle name="40% - Accent6 4 5 2" xfId="18717" xr:uid="{00000000-0005-0000-0000-00005E440000}"/>
    <cellStyle name="40% - Accent6 4 6" xfId="5435" xr:uid="{00000000-0005-0000-0000-00005F440000}"/>
    <cellStyle name="40% - Accent6 4 6 2" xfId="16723" xr:uid="{00000000-0005-0000-0000-000060440000}"/>
    <cellStyle name="40% - Accent6 4 7" xfId="14729" xr:uid="{00000000-0005-0000-0000-000061440000}"/>
    <cellStyle name="40% - Accent6 4 8" xfId="13415" xr:uid="{00000000-0005-0000-0000-000062440000}"/>
    <cellStyle name="40% - Accent6 4 9" xfId="24000" xr:uid="{00000000-0005-0000-0000-000063440000}"/>
    <cellStyle name="40% - Accent6 40" xfId="1480" xr:uid="{00000000-0005-0000-0000-000064440000}"/>
    <cellStyle name="40% - Accent6 40 2" xfId="4436" xr:uid="{00000000-0005-0000-0000-000065440000}"/>
    <cellStyle name="40% - Accent6 40 2 2" xfId="12415" xr:uid="{00000000-0005-0000-0000-000066440000}"/>
    <cellStyle name="40% - Accent6 40 2 2 2" xfId="23703" xr:uid="{00000000-0005-0000-0000-000067440000}"/>
    <cellStyle name="40% - Accent6 40 2 3" xfId="10421" xr:uid="{00000000-0005-0000-0000-000068440000}"/>
    <cellStyle name="40% - Accent6 40 2 3 2" xfId="21709" xr:uid="{00000000-0005-0000-0000-000069440000}"/>
    <cellStyle name="40% - Accent6 40 2 4" xfId="8427" xr:uid="{00000000-0005-0000-0000-00006A440000}"/>
    <cellStyle name="40% - Accent6 40 2 4 2" xfId="19715" xr:uid="{00000000-0005-0000-0000-00006B440000}"/>
    <cellStyle name="40% - Accent6 40 2 5" xfId="6433" xr:uid="{00000000-0005-0000-0000-00006C440000}"/>
    <cellStyle name="40% - Accent6 40 2 5 2" xfId="17721" xr:uid="{00000000-0005-0000-0000-00006D440000}"/>
    <cellStyle name="40% - Accent6 40 2 6" xfId="15727" xr:uid="{00000000-0005-0000-0000-00006E440000}"/>
    <cellStyle name="40% - Accent6 40 3" xfId="11418" xr:uid="{00000000-0005-0000-0000-00006F440000}"/>
    <cellStyle name="40% - Accent6 40 3 2" xfId="22706" xr:uid="{00000000-0005-0000-0000-000070440000}"/>
    <cellStyle name="40% - Accent6 40 4" xfId="9424" xr:uid="{00000000-0005-0000-0000-000071440000}"/>
    <cellStyle name="40% - Accent6 40 4 2" xfId="20712" xr:uid="{00000000-0005-0000-0000-000072440000}"/>
    <cellStyle name="40% - Accent6 40 5" xfId="7430" xr:uid="{00000000-0005-0000-0000-000073440000}"/>
    <cellStyle name="40% - Accent6 40 5 2" xfId="18718" xr:uid="{00000000-0005-0000-0000-000074440000}"/>
    <cellStyle name="40% - Accent6 40 6" xfId="5436" xr:uid="{00000000-0005-0000-0000-000075440000}"/>
    <cellStyle name="40% - Accent6 40 6 2" xfId="16724" xr:uid="{00000000-0005-0000-0000-000076440000}"/>
    <cellStyle name="40% - Accent6 40 7" xfId="14730" xr:uid="{00000000-0005-0000-0000-000077440000}"/>
    <cellStyle name="40% - Accent6 40 8" xfId="13416" xr:uid="{00000000-0005-0000-0000-000078440000}"/>
    <cellStyle name="40% - Accent6 41" xfId="1481" xr:uid="{00000000-0005-0000-0000-000079440000}"/>
    <cellStyle name="40% - Accent6 41 2" xfId="4437" xr:uid="{00000000-0005-0000-0000-00007A440000}"/>
    <cellStyle name="40% - Accent6 41 2 2" xfId="12416" xr:uid="{00000000-0005-0000-0000-00007B440000}"/>
    <cellStyle name="40% - Accent6 41 2 2 2" xfId="23704" xr:uid="{00000000-0005-0000-0000-00007C440000}"/>
    <cellStyle name="40% - Accent6 41 2 3" xfId="10422" xr:uid="{00000000-0005-0000-0000-00007D440000}"/>
    <cellStyle name="40% - Accent6 41 2 3 2" xfId="21710" xr:uid="{00000000-0005-0000-0000-00007E440000}"/>
    <cellStyle name="40% - Accent6 41 2 4" xfId="8428" xr:uid="{00000000-0005-0000-0000-00007F440000}"/>
    <cellStyle name="40% - Accent6 41 2 4 2" xfId="19716" xr:uid="{00000000-0005-0000-0000-000080440000}"/>
    <cellStyle name="40% - Accent6 41 2 5" xfId="6434" xr:uid="{00000000-0005-0000-0000-000081440000}"/>
    <cellStyle name="40% - Accent6 41 2 5 2" xfId="17722" xr:uid="{00000000-0005-0000-0000-000082440000}"/>
    <cellStyle name="40% - Accent6 41 2 6" xfId="15728" xr:uid="{00000000-0005-0000-0000-000083440000}"/>
    <cellStyle name="40% - Accent6 41 3" xfId="11419" xr:uid="{00000000-0005-0000-0000-000084440000}"/>
    <cellStyle name="40% - Accent6 41 3 2" xfId="22707" xr:uid="{00000000-0005-0000-0000-000085440000}"/>
    <cellStyle name="40% - Accent6 41 4" xfId="9425" xr:uid="{00000000-0005-0000-0000-000086440000}"/>
    <cellStyle name="40% - Accent6 41 4 2" xfId="20713" xr:uid="{00000000-0005-0000-0000-000087440000}"/>
    <cellStyle name="40% - Accent6 41 5" xfId="7431" xr:uid="{00000000-0005-0000-0000-000088440000}"/>
    <cellStyle name="40% - Accent6 41 5 2" xfId="18719" xr:uid="{00000000-0005-0000-0000-000089440000}"/>
    <cellStyle name="40% - Accent6 41 6" xfId="5437" xr:uid="{00000000-0005-0000-0000-00008A440000}"/>
    <cellStyle name="40% - Accent6 41 6 2" xfId="16725" xr:uid="{00000000-0005-0000-0000-00008B440000}"/>
    <cellStyle name="40% - Accent6 41 7" xfId="14731" xr:uid="{00000000-0005-0000-0000-00008C440000}"/>
    <cellStyle name="40% - Accent6 41 8" xfId="13417" xr:uid="{00000000-0005-0000-0000-00008D440000}"/>
    <cellStyle name="40% - Accent6 42" xfId="1482" xr:uid="{00000000-0005-0000-0000-00008E440000}"/>
    <cellStyle name="40% - Accent6 42 2" xfId="4438" xr:uid="{00000000-0005-0000-0000-00008F440000}"/>
    <cellStyle name="40% - Accent6 42 2 2" xfId="12417" xr:uid="{00000000-0005-0000-0000-000090440000}"/>
    <cellStyle name="40% - Accent6 42 2 2 2" xfId="23705" xr:uid="{00000000-0005-0000-0000-000091440000}"/>
    <cellStyle name="40% - Accent6 42 2 3" xfId="10423" xr:uid="{00000000-0005-0000-0000-000092440000}"/>
    <cellStyle name="40% - Accent6 42 2 3 2" xfId="21711" xr:uid="{00000000-0005-0000-0000-000093440000}"/>
    <cellStyle name="40% - Accent6 42 2 4" xfId="8429" xr:uid="{00000000-0005-0000-0000-000094440000}"/>
    <cellStyle name="40% - Accent6 42 2 4 2" xfId="19717" xr:uid="{00000000-0005-0000-0000-000095440000}"/>
    <cellStyle name="40% - Accent6 42 2 5" xfId="6435" xr:uid="{00000000-0005-0000-0000-000096440000}"/>
    <cellStyle name="40% - Accent6 42 2 5 2" xfId="17723" xr:uid="{00000000-0005-0000-0000-000097440000}"/>
    <cellStyle name="40% - Accent6 42 2 6" xfId="15729" xr:uid="{00000000-0005-0000-0000-000098440000}"/>
    <cellStyle name="40% - Accent6 42 3" xfId="11420" xr:uid="{00000000-0005-0000-0000-000099440000}"/>
    <cellStyle name="40% - Accent6 42 3 2" xfId="22708" xr:uid="{00000000-0005-0000-0000-00009A440000}"/>
    <cellStyle name="40% - Accent6 42 4" xfId="9426" xr:uid="{00000000-0005-0000-0000-00009B440000}"/>
    <cellStyle name="40% - Accent6 42 4 2" xfId="20714" xr:uid="{00000000-0005-0000-0000-00009C440000}"/>
    <cellStyle name="40% - Accent6 42 5" xfId="7432" xr:uid="{00000000-0005-0000-0000-00009D440000}"/>
    <cellStyle name="40% - Accent6 42 5 2" xfId="18720" xr:uid="{00000000-0005-0000-0000-00009E440000}"/>
    <cellStyle name="40% - Accent6 42 6" xfId="5438" xr:uid="{00000000-0005-0000-0000-00009F440000}"/>
    <cellStyle name="40% - Accent6 42 6 2" xfId="16726" xr:uid="{00000000-0005-0000-0000-0000A0440000}"/>
    <cellStyle name="40% - Accent6 42 7" xfId="14732" xr:uid="{00000000-0005-0000-0000-0000A1440000}"/>
    <cellStyle name="40% - Accent6 42 8" xfId="13418" xr:uid="{00000000-0005-0000-0000-0000A2440000}"/>
    <cellStyle name="40% - Accent6 43" xfId="1483" xr:uid="{00000000-0005-0000-0000-0000A3440000}"/>
    <cellStyle name="40% - Accent6 43 2" xfId="4439" xr:uid="{00000000-0005-0000-0000-0000A4440000}"/>
    <cellStyle name="40% - Accent6 43 2 2" xfId="12418" xr:uid="{00000000-0005-0000-0000-0000A5440000}"/>
    <cellStyle name="40% - Accent6 43 2 2 2" xfId="23706" xr:uid="{00000000-0005-0000-0000-0000A6440000}"/>
    <cellStyle name="40% - Accent6 43 2 3" xfId="10424" xr:uid="{00000000-0005-0000-0000-0000A7440000}"/>
    <cellStyle name="40% - Accent6 43 2 3 2" xfId="21712" xr:uid="{00000000-0005-0000-0000-0000A8440000}"/>
    <cellStyle name="40% - Accent6 43 2 4" xfId="8430" xr:uid="{00000000-0005-0000-0000-0000A9440000}"/>
    <cellStyle name="40% - Accent6 43 2 4 2" xfId="19718" xr:uid="{00000000-0005-0000-0000-0000AA440000}"/>
    <cellStyle name="40% - Accent6 43 2 5" xfId="6436" xr:uid="{00000000-0005-0000-0000-0000AB440000}"/>
    <cellStyle name="40% - Accent6 43 2 5 2" xfId="17724" xr:uid="{00000000-0005-0000-0000-0000AC440000}"/>
    <cellStyle name="40% - Accent6 43 2 6" xfId="15730" xr:uid="{00000000-0005-0000-0000-0000AD440000}"/>
    <cellStyle name="40% - Accent6 43 3" xfId="11421" xr:uid="{00000000-0005-0000-0000-0000AE440000}"/>
    <cellStyle name="40% - Accent6 43 3 2" xfId="22709" xr:uid="{00000000-0005-0000-0000-0000AF440000}"/>
    <cellStyle name="40% - Accent6 43 4" xfId="9427" xr:uid="{00000000-0005-0000-0000-0000B0440000}"/>
    <cellStyle name="40% - Accent6 43 4 2" xfId="20715" xr:uid="{00000000-0005-0000-0000-0000B1440000}"/>
    <cellStyle name="40% - Accent6 43 5" xfId="7433" xr:uid="{00000000-0005-0000-0000-0000B2440000}"/>
    <cellStyle name="40% - Accent6 43 5 2" xfId="18721" xr:uid="{00000000-0005-0000-0000-0000B3440000}"/>
    <cellStyle name="40% - Accent6 43 6" xfId="5439" xr:uid="{00000000-0005-0000-0000-0000B4440000}"/>
    <cellStyle name="40% - Accent6 43 6 2" xfId="16727" xr:uid="{00000000-0005-0000-0000-0000B5440000}"/>
    <cellStyle name="40% - Accent6 43 7" xfId="14733" xr:uid="{00000000-0005-0000-0000-0000B6440000}"/>
    <cellStyle name="40% - Accent6 43 8" xfId="13419" xr:uid="{00000000-0005-0000-0000-0000B7440000}"/>
    <cellStyle name="40% - Accent6 44" xfId="1484" xr:uid="{00000000-0005-0000-0000-0000B8440000}"/>
    <cellStyle name="40% - Accent6 44 2" xfId="4440" xr:uid="{00000000-0005-0000-0000-0000B9440000}"/>
    <cellStyle name="40% - Accent6 44 2 2" xfId="12419" xr:uid="{00000000-0005-0000-0000-0000BA440000}"/>
    <cellStyle name="40% - Accent6 44 2 2 2" xfId="23707" xr:uid="{00000000-0005-0000-0000-0000BB440000}"/>
    <cellStyle name="40% - Accent6 44 2 3" xfId="10425" xr:uid="{00000000-0005-0000-0000-0000BC440000}"/>
    <cellStyle name="40% - Accent6 44 2 3 2" xfId="21713" xr:uid="{00000000-0005-0000-0000-0000BD440000}"/>
    <cellStyle name="40% - Accent6 44 2 4" xfId="8431" xr:uid="{00000000-0005-0000-0000-0000BE440000}"/>
    <cellStyle name="40% - Accent6 44 2 4 2" xfId="19719" xr:uid="{00000000-0005-0000-0000-0000BF440000}"/>
    <cellStyle name="40% - Accent6 44 2 5" xfId="6437" xr:uid="{00000000-0005-0000-0000-0000C0440000}"/>
    <cellStyle name="40% - Accent6 44 2 5 2" xfId="17725" xr:uid="{00000000-0005-0000-0000-0000C1440000}"/>
    <cellStyle name="40% - Accent6 44 2 6" xfId="15731" xr:uid="{00000000-0005-0000-0000-0000C2440000}"/>
    <cellStyle name="40% - Accent6 44 3" xfId="11422" xr:uid="{00000000-0005-0000-0000-0000C3440000}"/>
    <cellStyle name="40% - Accent6 44 3 2" xfId="22710" xr:uid="{00000000-0005-0000-0000-0000C4440000}"/>
    <cellStyle name="40% - Accent6 44 4" xfId="9428" xr:uid="{00000000-0005-0000-0000-0000C5440000}"/>
    <cellStyle name="40% - Accent6 44 4 2" xfId="20716" xr:uid="{00000000-0005-0000-0000-0000C6440000}"/>
    <cellStyle name="40% - Accent6 44 5" xfId="7434" xr:uid="{00000000-0005-0000-0000-0000C7440000}"/>
    <cellStyle name="40% - Accent6 44 5 2" xfId="18722" xr:uid="{00000000-0005-0000-0000-0000C8440000}"/>
    <cellStyle name="40% - Accent6 44 6" xfId="5440" xr:uid="{00000000-0005-0000-0000-0000C9440000}"/>
    <cellStyle name="40% - Accent6 44 6 2" xfId="16728" xr:uid="{00000000-0005-0000-0000-0000CA440000}"/>
    <cellStyle name="40% - Accent6 44 7" xfId="14734" xr:uid="{00000000-0005-0000-0000-0000CB440000}"/>
    <cellStyle name="40% - Accent6 44 8" xfId="13420" xr:uid="{00000000-0005-0000-0000-0000CC440000}"/>
    <cellStyle name="40% - Accent6 45" xfId="1485" xr:uid="{00000000-0005-0000-0000-0000CD440000}"/>
    <cellStyle name="40% - Accent6 45 2" xfId="4441" xr:uid="{00000000-0005-0000-0000-0000CE440000}"/>
    <cellStyle name="40% - Accent6 45 2 2" xfId="12420" xr:uid="{00000000-0005-0000-0000-0000CF440000}"/>
    <cellStyle name="40% - Accent6 45 2 2 2" xfId="23708" xr:uid="{00000000-0005-0000-0000-0000D0440000}"/>
    <cellStyle name="40% - Accent6 45 2 3" xfId="10426" xr:uid="{00000000-0005-0000-0000-0000D1440000}"/>
    <cellStyle name="40% - Accent6 45 2 3 2" xfId="21714" xr:uid="{00000000-0005-0000-0000-0000D2440000}"/>
    <cellStyle name="40% - Accent6 45 2 4" xfId="8432" xr:uid="{00000000-0005-0000-0000-0000D3440000}"/>
    <cellStyle name="40% - Accent6 45 2 4 2" xfId="19720" xr:uid="{00000000-0005-0000-0000-0000D4440000}"/>
    <cellStyle name="40% - Accent6 45 2 5" xfId="6438" xr:uid="{00000000-0005-0000-0000-0000D5440000}"/>
    <cellStyle name="40% - Accent6 45 2 5 2" xfId="17726" xr:uid="{00000000-0005-0000-0000-0000D6440000}"/>
    <cellStyle name="40% - Accent6 45 2 6" xfId="15732" xr:uid="{00000000-0005-0000-0000-0000D7440000}"/>
    <cellStyle name="40% - Accent6 45 3" xfId="11423" xr:uid="{00000000-0005-0000-0000-0000D8440000}"/>
    <cellStyle name="40% - Accent6 45 3 2" xfId="22711" xr:uid="{00000000-0005-0000-0000-0000D9440000}"/>
    <cellStyle name="40% - Accent6 45 4" xfId="9429" xr:uid="{00000000-0005-0000-0000-0000DA440000}"/>
    <cellStyle name="40% - Accent6 45 4 2" xfId="20717" xr:uid="{00000000-0005-0000-0000-0000DB440000}"/>
    <cellStyle name="40% - Accent6 45 5" xfId="7435" xr:uid="{00000000-0005-0000-0000-0000DC440000}"/>
    <cellStyle name="40% - Accent6 45 5 2" xfId="18723" xr:uid="{00000000-0005-0000-0000-0000DD440000}"/>
    <cellStyle name="40% - Accent6 45 6" xfId="5441" xr:uid="{00000000-0005-0000-0000-0000DE440000}"/>
    <cellStyle name="40% - Accent6 45 6 2" xfId="16729" xr:uid="{00000000-0005-0000-0000-0000DF440000}"/>
    <cellStyle name="40% - Accent6 45 7" xfId="14735" xr:uid="{00000000-0005-0000-0000-0000E0440000}"/>
    <cellStyle name="40% - Accent6 45 8" xfId="13421" xr:uid="{00000000-0005-0000-0000-0000E1440000}"/>
    <cellStyle name="40% - Accent6 46" xfId="1486" xr:uid="{00000000-0005-0000-0000-0000E2440000}"/>
    <cellStyle name="40% - Accent6 46 2" xfId="4442" xr:uid="{00000000-0005-0000-0000-0000E3440000}"/>
    <cellStyle name="40% - Accent6 46 2 2" xfId="12421" xr:uid="{00000000-0005-0000-0000-0000E4440000}"/>
    <cellStyle name="40% - Accent6 46 2 2 2" xfId="23709" xr:uid="{00000000-0005-0000-0000-0000E5440000}"/>
    <cellStyle name="40% - Accent6 46 2 3" xfId="10427" xr:uid="{00000000-0005-0000-0000-0000E6440000}"/>
    <cellStyle name="40% - Accent6 46 2 3 2" xfId="21715" xr:uid="{00000000-0005-0000-0000-0000E7440000}"/>
    <cellStyle name="40% - Accent6 46 2 4" xfId="8433" xr:uid="{00000000-0005-0000-0000-0000E8440000}"/>
    <cellStyle name="40% - Accent6 46 2 4 2" xfId="19721" xr:uid="{00000000-0005-0000-0000-0000E9440000}"/>
    <cellStyle name="40% - Accent6 46 2 5" xfId="6439" xr:uid="{00000000-0005-0000-0000-0000EA440000}"/>
    <cellStyle name="40% - Accent6 46 2 5 2" xfId="17727" xr:uid="{00000000-0005-0000-0000-0000EB440000}"/>
    <cellStyle name="40% - Accent6 46 2 6" xfId="15733" xr:uid="{00000000-0005-0000-0000-0000EC440000}"/>
    <cellStyle name="40% - Accent6 46 3" xfId="11424" xr:uid="{00000000-0005-0000-0000-0000ED440000}"/>
    <cellStyle name="40% - Accent6 46 3 2" xfId="22712" xr:uid="{00000000-0005-0000-0000-0000EE440000}"/>
    <cellStyle name="40% - Accent6 46 4" xfId="9430" xr:uid="{00000000-0005-0000-0000-0000EF440000}"/>
    <cellStyle name="40% - Accent6 46 4 2" xfId="20718" xr:uid="{00000000-0005-0000-0000-0000F0440000}"/>
    <cellStyle name="40% - Accent6 46 5" xfId="7436" xr:uid="{00000000-0005-0000-0000-0000F1440000}"/>
    <cellStyle name="40% - Accent6 46 5 2" xfId="18724" xr:uid="{00000000-0005-0000-0000-0000F2440000}"/>
    <cellStyle name="40% - Accent6 46 6" xfId="5442" xr:uid="{00000000-0005-0000-0000-0000F3440000}"/>
    <cellStyle name="40% - Accent6 46 6 2" xfId="16730" xr:uid="{00000000-0005-0000-0000-0000F4440000}"/>
    <cellStyle name="40% - Accent6 46 7" xfId="14736" xr:uid="{00000000-0005-0000-0000-0000F5440000}"/>
    <cellStyle name="40% - Accent6 46 8" xfId="13422" xr:uid="{00000000-0005-0000-0000-0000F6440000}"/>
    <cellStyle name="40% - Accent6 47" xfId="1487" xr:uid="{00000000-0005-0000-0000-0000F7440000}"/>
    <cellStyle name="40% - Accent6 47 2" xfId="4443" xr:uid="{00000000-0005-0000-0000-0000F8440000}"/>
    <cellStyle name="40% - Accent6 47 2 2" xfId="12422" xr:uid="{00000000-0005-0000-0000-0000F9440000}"/>
    <cellStyle name="40% - Accent6 47 2 2 2" xfId="23710" xr:uid="{00000000-0005-0000-0000-0000FA440000}"/>
    <cellStyle name="40% - Accent6 47 2 3" xfId="10428" xr:uid="{00000000-0005-0000-0000-0000FB440000}"/>
    <cellStyle name="40% - Accent6 47 2 3 2" xfId="21716" xr:uid="{00000000-0005-0000-0000-0000FC440000}"/>
    <cellStyle name="40% - Accent6 47 2 4" xfId="8434" xr:uid="{00000000-0005-0000-0000-0000FD440000}"/>
    <cellStyle name="40% - Accent6 47 2 4 2" xfId="19722" xr:uid="{00000000-0005-0000-0000-0000FE440000}"/>
    <cellStyle name="40% - Accent6 47 2 5" xfId="6440" xr:uid="{00000000-0005-0000-0000-0000FF440000}"/>
    <cellStyle name="40% - Accent6 47 2 5 2" xfId="17728" xr:uid="{00000000-0005-0000-0000-000000450000}"/>
    <cellStyle name="40% - Accent6 47 2 6" xfId="15734" xr:uid="{00000000-0005-0000-0000-000001450000}"/>
    <cellStyle name="40% - Accent6 47 3" xfId="11425" xr:uid="{00000000-0005-0000-0000-000002450000}"/>
    <cellStyle name="40% - Accent6 47 3 2" xfId="22713" xr:uid="{00000000-0005-0000-0000-000003450000}"/>
    <cellStyle name="40% - Accent6 47 4" xfId="9431" xr:uid="{00000000-0005-0000-0000-000004450000}"/>
    <cellStyle name="40% - Accent6 47 4 2" xfId="20719" xr:uid="{00000000-0005-0000-0000-000005450000}"/>
    <cellStyle name="40% - Accent6 47 5" xfId="7437" xr:uid="{00000000-0005-0000-0000-000006450000}"/>
    <cellStyle name="40% - Accent6 47 5 2" xfId="18725" xr:uid="{00000000-0005-0000-0000-000007450000}"/>
    <cellStyle name="40% - Accent6 47 6" xfId="5443" xr:uid="{00000000-0005-0000-0000-000008450000}"/>
    <cellStyle name="40% - Accent6 47 6 2" xfId="16731" xr:uid="{00000000-0005-0000-0000-000009450000}"/>
    <cellStyle name="40% - Accent6 47 7" xfId="14737" xr:uid="{00000000-0005-0000-0000-00000A450000}"/>
    <cellStyle name="40% - Accent6 47 8" xfId="13423" xr:uid="{00000000-0005-0000-0000-00000B450000}"/>
    <cellStyle name="40% - Accent6 48" xfId="1488" xr:uid="{00000000-0005-0000-0000-00000C450000}"/>
    <cellStyle name="40% - Accent6 48 2" xfId="4444" xr:uid="{00000000-0005-0000-0000-00000D450000}"/>
    <cellStyle name="40% - Accent6 48 2 2" xfId="12423" xr:uid="{00000000-0005-0000-0000-00000E450000}"/>
    <cellStyle name="40% - Accent6 48 2 2 2" xfId="23711" xr:uid="{00000000-0005-0000-0000-00000F450000}"/>
    <cellStyle name="40% - Accent6 48 2 3" xfId="10429" xr:uid="{00000000-0005-0000-0000-000010450000}"/>
    <cellStyle name="40% - Accent6 48 2 3 2" xfId="21717" xr:uid="{00000000-0005-0000-0000-000011450000}"/>
    <cellStyle name="40% - Accent6 48 2 4" xfId="8435" xr:uid="{00000000-0005-0000-0000-000012450000}"/>
    <cellStyle name="40% - Accent6 48 2 4 2" xfId="19723" xr:uid="{00000000-0005-0000-0000-000013450000}"/>
    <cellStyle name="40% - Accent6 48 2 5" xfId="6441" xr:uid="{00000000-0005-0000-0000-000014450000}"/>
    <cellStyle name="40% - Accent6 48 2 5 2" xfId="17729" xr:uid="{00000000-0005-0000-0000-000015450000}"/>
    <cellStyle name="40% - Accent6 48 2 6" xfId="15735" xr:uid="{00000000-0005-0000-0000-000016450000}"/>
    <cellStyle name="40% - Accent6 48 3" xfId="11426" xr:uid="{00000000-0005-0000-0000-000017450000}"/>
    <cellStyle name="40% - Accent6 48 3 2" xfId="22714" xr:uid="{00000000-0005-0000-0000-000018450000}"/>
    <cellStyle name="40% - Accent6 48 4" xfId="9432" xr:uid="{00000000-0005-0000-0000-000019450000}"/>
    <cellStyle name="40% - Accent6 48 4 2" xfId="20720" xr:uid="{00000000-0005-0000-0000-00001A450000}"/>
    <cellStyle name="40% - Accent6 48 5" xfId="7438" xr:uid="{00000000-0005-0000-0000-00001B450000}"/>
    <cellStyle name="40% - Accent6 48 5 2" xfId="18726" xr:uid="{00000000-0005-0000-0000-00001C450000}"/>
    <cellStyle name="40% - Accent6 48 6" xfId="5444" xr:uid="{00000000-0005-0000-0000-00001D450000}"/>
    <cellStyle name="40% - Accent6 48 6 2" xfId="16732" xr:uid="{00000000-0005-0000-0000-00001E450000}"/>
    <cellStyle name="40% - Accent6 48 7" xfId="14738" xr:uid="{00000000-0005-0000-0000-00001F450000}"/>
    <cellStyle name="40% - Accent6 48 8" xfId="13424" xr:uid="{00000000-0005-0000-0000-000020450000}"/>
    <cellStyle name="40% - Accent6 49" xfId="1489" xr:uid="{00000000-0005-0000-0000-000021450000}"/>
    <cellStyle name="40% - Accent6 49 2" xfId="4445" xr:uid="{00000000-0005-0000-0000-000022450000}"/>
    <cellStyle name="40% - Accent6 49 2 2" xfId="12424" xr:uid="{00000000-0005-0000-0000-000023450000}"/>
    <cellStyle name="40% - Accent6 49 2 2 2" xfId="23712" xr:uid="{00000000-0005-0000-0000-000024450000}"/>
    <cellStyle name="40% - Accent6 49 2 3" xfId="10430" xr:uid="{00000000-0005-0000-0000-000025450000}"/>
    <cellStyle name="40% - Accent6 49 2 3 2" xfId="21718" xr:uid="{00000000-0005-0000-0000-000026450000}"/>
    <cellStyle name="40% - Accent6 49 2 4" xfId="8436" xr:uid="{00000000-0005-0000-0000-000027450000}"/>
    <cellStyle name="40% - Accent6 49 2 4 2" xfId="19724" xr:uid="{00000000-0005-0000-0000-000028450000}"/>
    <cellStyle name="40% - Accent6 49 2 5" xfId="6442" xr:uid="{00000000-0005-0000-0000-000029450000}"/>
    <cellStyle name="40% - Accent6 49 2 5 2" xfId="17730" xr:uid="{00000000-0005-0000-0000-00002A450000}"/>
    <cellStyle name="40% - Accent6 49 2 6" xfId="15736" xr:uid="{00000000-0005-0000-0000-00002B450000}"/>
    <cellStyle name="40% - Accent6 49 3" xfId="11427" xr:uid="{00000000-0005-0000-0000-00002C450000}"/>
    <cellStyle name="40% - Accent6 49 3 2" xfId="22715" xr:uid="{00000000-0005-0000-0000-00002D450000}"/>
    <cellStyle name="40% - Accent6 49 4" xfId="9433" xr:uid="{00000000-0005-0000-0000-00002E450000}"/>
    <cellStyle name="40% - Accent6 49 4 2" xfId="20721" xr:uid="{00000000-0005-0000-0000-00002F450000}"/>
    <cellStyle name="40% - Accent6 49 5" xfId="7439" xr:uid="{00000000-0005-0000-0000-000030450000}"/>
    <cellStyle name="40% - Accent6 49 5 2" xfId="18727" xr:uid="{00000000-0005-0000-0000-000031450000}"/>
    <cellStyle name="40% - Accent6 49 6" xfId="5445" xr:uid="{00000000-0005-0000-0000-000032450000}"/>
    <cellStyle name="40% - Accent6 49 6 2" xfId="16733" xr:uid="{00000000-0005-0000-0000-000033450000}"/>
    <cellStyle name="40% - Accent6 49 7" xfId="14739" xr:uid="{00000000-0005-0000-0000-000034450000}"/>
    <cellStyle name="40% - Accent6 49 8" xfId="13425" xr:uid="{00000000-0005-0000-0000-000035450000}"/>
    <cellStyle name="40% - Accent6 5" xfId="1490" xr:uid="{00000000-0005-0000-0000-000036450000}"/>
    <cellStyle name="40% - Accent6 5 10" xfId="24628" xr:uid="{00000000-0005-0000-0000-000037450000}"/>
    <cellStyle name="40% - Accent6 5 11" xfId="25018" xr:uid="{00000000-0005-0000-0000-000038450000}"/>
    <cellStyle name="40% - Accent6 5 2" xfId="4446" xr:uid="{00000000-0005-0000-0000-000039450000}"/>
    <cellStyle name="40% - Accent6 5 2 2" xfId="12425" xr:uid="{00000000-0005-0000-0000-00003A450000}"/>
    <cellStyle name="40% - Accent6 5 2 2 2" xfId="23713" xr:uid="{00000000-0005-0000-0000-00003B450000}"/>
    <cellStyle name="40% - Accent6 5 2 3" xfId="10431" xr:uid="{00000000-0005-0000-0000-00003C450000}"/>
    <cellStyle name="40% - Accent6 5 2 3 2" xfId="21719" xr:uid="{00000000-0005-0000-0000-00003D450000}"/>
    <cellStyle name="40% - Accent6 5 2 4" xfId="8437" xr:uid="{00000000-0005-0000-0000-00003E450000}"/>
    <cellStyle name="40% - Accent6 5 2 4 2" xfId="19725" xr:uid="{00000000-0005-0000-0000-00003F450000}"/>
    <cellStyle name="40% - Accent6 5 2 5" xfId="6443" xr:uid="{00000000-0005-0000-0000-000040450000}"/>
    <cellStyle name="40% - Accent6 5 2 5 2" xfId="17731" xr:uid="{00000000-0005-0000-0000-000041450000}"/>
    <cellStyle name="40% - Accent6 5 2 6" xfId="15737" xr:uid="{00000000-0005-0000-0000-000042450000}"/>
    <cellStyle name="40% - Accent6 5 2 7" xfId="24389" xr:uid="{00000000-0005-0000-0000-000043450000}"/>
    <cellStyle name="40% - Accent6 5 2 8" xfId="24853" xr:uid="{00000000-0005-0000-0000-000044450000}"/>
    <cellStyle name="40% - Accent6 5 2 9" xfId="25220" xr:uid="{00000000-0005-0000-0000-000045450000}"/>
    <cellStyle name="40% - Accent6 5 3" xfId="11428" xr:uid="{00000000-0005-0000-0000-000046450000}"/>
    <cellStyle name="40% - Accent6 5 3 2" xfId="22716" xr:uid="{00000000-0005-0000-0000-000047450000}"/>
    <cellStyle name="40% - Accent6 5 4" xfId="9434" xr:uid="{00000000-0005-0000-0000-000048450000}"/>
    <cellStyle name="40% - Accent6 5 4 2" xfId="20722" xr:uid="{00000000-0005-0000-0000-000049450000}"/>
    <cellStyle name="40% - Accent6 5 5" xfId="7440" xr:uid="{00000000-0005-0000-0000-00004A450000}"/>
    <cellStyle name="40% - Accent6 5 5 2" xfId="18728" xr:uid="{00000000-0005-0000-0000-00004B450000}"/>
    <cellStyle name="40% - Accent6 5 6" xfId="5446" xr:uid="{00000000-0005-0000-0000-00004C450000}"/>
    <cellStyle name="40% - Accent6 5 6 2" xfId="16734" xr:uid="{00000000-0005-0000-0000-00004D450000}"/>
    <cellStyle name="40% - Accent6 5 7" xfId="14740" xr:uid="{00000000-0005-0000-0000-00004E450000}"/>
    <cellStyle name="40% - Accent6 5 8" xfId="13426" xr:uid="{00000000-0005-0000-0000-00004F450000}"/>
    <cellStyle name="40% - Accent6 5 9" xfId="24001" xr:uid="{00000000-0005-0000-0000-000050450000}"/>
    <cellStyle name="40% - Accent6 50" xfId="1491" xr:uid="{00000000-0005-0000-0000-000051450000}"/>
    <cellStyle name="40% - Accent6 50 2" xfId="4447" xr:uid="{00000000-0005-0000-0000-000052450000}"/>
    <cellStyle name="40% - Accent6 50 2 2" xfId="12426" xr:uid="{00000000-0005-0000-0000-000053450000}"/>
    <cellStyle name="40% - Accent6 50 2 2 2" xfId="23714" xr:uid="{00000000-0005-0000-0000-000054450000}"/>
    <cellStyle name="40% - Accent6 50 2 3" xfId="10432" xr:uid="{00000000-0005-0000-0000-000055450000}"/>
    <cellStyle name="40% - Accent6 50 2 3 2" xfId="21720" xr:uid="{00000000-0005-0000-0000-000056450000}"/>
    <cellStyle name="40% - Accent6 50 2 4" xfId="8438" xr:uid="{00000000-0005-0000-0000-000057450000}"/>
    <cellStyle name="40% - Accent6 50 2 4 2" xfId="19726" xr:uid="{00000000-0005-0000-0000-000058450000}"/>
    <cellStyle name="40% - Accent6 50 2 5" xfId="6444" xr:uid="{00000000-0005-0000-0000-000059450000}"/>
    <cellStyle name="40% - Accent6 50 2 5 2" xfId="17732" xr:uid="{00000000-0005-0000-0000-00005A450000}"/>
    <cellStyle name="40% - Accent6 50 2 6" xfId="15738" xr:uid="{00000000-0005-0000-0000-00005B450000}"/>
    <cellStyle name="40% - Accent6 50 3" xfId="11429" xr:uid="{00000000-0005-0000-0000-00005C450000}"/>
    <cellStyle name="40% - Accent6 50 3 2" xfId="22717" xr:uid="{00000000-0005-0000-0000-00005D450000}"/>
    <cellStyle name="40% - Accent6 50 4" xfId="9435" xr:uid="{00000000-0005-0000-0000-00005E450000}"/>
    <cellStyle name="40% - Accent6 50 4 2" xfId="20723" xr:uid="{00000000-0005-0000-0000-00005F450000}"/>
    <cellStyle name="40% - Accent6 50 5" xfId="7441" xr:uid="{00000000-0005-0000-0000-000060450000}"/>
    <cellStyle name="40% - Accent6 50 5 2" xfId="18729" xr:uid="{00000000-0005-0000-0000-000061450000}"/>
    <cellStyle name="40% - Accent6 50 6" xfId="5447" xr:uid="{00000000-0005-0000-0000-000062450000}"/>
    <cellStyle name="40% - Accent6 50 6 2" xfId="16735" xr:uid="{00000000-0005-0000-0000-000063450000}"/>
    <cellStyle name="40% - Accent6 50 7" xfId="14741" xr:uid="{00000000-0005-0000-0000-000064450000}"/>
    <cellStyle name="40% - Accent6 50 8" xfId="13427" xr:uid="{00000000-0005-0000-0000-000065450000}"/>
    <cellStyle name="40% - Accent6 51" xfId="1492" xr:uid="{00000000-0005-0000-0000-000066450000}"/>
    <cellStyle name="40% - Accent6 51 2" xfId="4448" xr:uid="{00000000-0005-0000-0000-000067450000}"/>
    <cellStyle name="40% - Accent6 51 2 2" xfId="12427" xr:uid="{00000000-0005-0000-0000-000068450000}"/>
    <cellStyle name="40% - Accent6 51 2 2 2" xfId="23715" xr:uid="{00000000-0005-0000-0000-000069450000}"/>
    <cellStyle name="40% - Accent6 51 2 3" xfId="10433" xr:uid="{00000000-0005-0000-0000-00006A450000}"/>
    <cellStyle name="40% - Accent6 51 2 3 2" xfId="21721" xr:uid="{00000000-0005-0000-0000-00006B450000}"/>
    <cellStyle name="40% - Accent6 51 2 4" xfId="8439" xr:uid="{00000000-0005-0000-0000-00006C450000}"/>
    <cellStyle name="40% - Accent6 51 2 4 2" xfId="19727" xr:uid="{00000000-0005-0000-0000-00006D450000}"/>
    <cellStyle name="40% - Accent6 51 2 5" xfId="6445" xr:uid="{00000000-0005-0000-0000-00006E450000}"/>
    <cellStyle name="40% - Accent6 51 2 5 2" xfId="17733" xr:uid="{00000000-0005-0000-0000-00006F450000}"/>
    <cellStyle name="40% - Accent6 51 2 6" xfId="15739" xr:uid="{00000000-0005-0000-0000-000070450000}"/>
    <cellStyle name="40% - Accent6 51 3" xfId="11430" xr:uid="{00000000-0005-0000-0000-000071450000}"/>
    <cellStyle name="40% - Accent6 51 3 2" xfId="22718" xr:uid="{00000000-0005-0000-0000-000072450000}"/>
    <cellStyle name="40% - Accent6 51 4" xfId="9436" xr:uid="{00000000-0005-0000-0000-000073450000}"/>
    <cellStyle name="40% - Accent6 51 4 2" xfId="20724" xr:uid="{00000000-0005-0000-0000-000074450000}"/>
    <cellStyle name="40% - Accent6 51 5" xfId="7442" xr:uid="{00000000-0005-0000-0000-000075450000}"/>
    <cellStyle name="40% - Accent6 51 5 2" xfId="18730" xr:uid="{00000000-0005-0000-0000-000076450000}"/>
    <cellStyle name="40% - Accent6 51 6" xfId="5448" xr:uid="{00000000-0005-0000-0000-000077450000}"/>
    <cellStyle name="40% - Accent6 51 6 2" xfId="16736" xr:uid="{00000000-0005-0000-0000-000078450000}"/>
    <cellStyle name="40% - Accent6 51 7" xfId="14742" xr:uid="{00000000-0005-0000-0000-000079450000}"/>
    <cellStyle name="40% - Accent6 51 8" xfId="13428" xr:uid="{00000000-0005-0000-0000-00007A450000}"/>
    <cellStyle name="40% - Accent6 52" xfId="1493" xr:uid="{00000000-0005-0000-0000-00007B450000}"/>
    <cellStyle name="40% - Accent6 52 2" xfId="4449" xr:uid="{00000000-0005-0000-0000-00007C450000}"/>
    <cellStyle name="40% - Accent6 52 2 2" xfId="12428" xr:uid="{00000000-0005-0000-0000-00007D450000}"/>
    <cellStyle name="40% - Accent6 52 2 2 2" xfId="23716" xr:uid="{00000000-0005-0000-0000-00007E450000}"/>
    <cellStyle name="40% - Accent6 52 2 3" xfId="10434" xr:uid="{00000000-0005-0000-0000-00007F450000}"/>
    <cellStyle name="40% - Accent6 52 2 3 2" xfId="21722" xr:uid="{00000000-0005-0000-0000-000080450000}"/>
    <cellStyle name="40% - Accent6 52 2 4" xfId="8440" xr:uid="{00000000-0005-0000-0000-000081450000}"/>
    <cellStyle name="40% - Accent6 52 2 4 2" xfId="19728" xr:uid="{00000000-0005-0000-0000-000082450000}"/>
    <cellStyle name="40% - Accent6 52 2 5" xfId="6446" xr:uid="{00000000-0005-0000-0000-000083450000}"/>
    <cellStyle name="40% - Accent6 52 2 5 2" xfId="17734" xr:uid="{00000000-0005-0000-0000-000084450000}"/>
    <cellStyle name="40% - Accent6 52 2 6" xfId="15740" xr:uid="{00000000-0005-0000-0000-000085450000}"/>
    <cellStyle name="40% - Accent6 52 3" xfId="11431" xr:uid="{00000000-0005-0000-0000-000086450000}"/>
    <cellStyle name="40% - Accent6 52 3 2" xfId="22719" xr:uid="{00000000-0005-0000-0000-000087450000}"/>
    <cellStyle name="40% - Accent6 52 4" xfId="9437" xr:uid="{00000000-0005-0000-0000-000088450000}"/>
    <cellStyle name="40% - Accent6 52 4 2" xfId="20725" xr:uid="{00000000-0005-0000-0000-000089450000}"/>
    <cellStyle name="40% - Accent6 52 5" xfId="7443" xr:uid="{00000000-0005-0000-0000-00008A450000}"/>
    <cellStyle name="40% - Accent6 52 5 2" xfId="18731" xr:uid="{00000000-0005-0000-0000-00008B450000}"/>
    <cellStyle name="40% - Accent6 52 6" xfId="5449" xr:uid="{00000000-0005-0000-0000-00008C450000}"/>
    <cellStyle name="40% - Accent6 52 6 2" xfId="16737" xr:uid="{00000000-0005-0000-0000-00008D450000}"/>
    <cellStyle name="40% - Accent6 52 7" xfId="14743" xr:uid="{00000000-0005-0000-0000-00008E450000}"/>
    <cellStyle name="40% - Accent6 52 8" xfId="13429" xr:uid="{00000000-0005-0000-0000-00008F450000}"/>
    <cellStyle name="40% - Accent6 53" xfId="1494" xr:uid="{00000000-0005-0000-0000-000090450000}"/>
    <cellStyle name="40% - Accent6 53 2" xfId="4450" xr:uid="{00000000-0005-0000-0000-000091450000}"/>
    <cellStyle name="40% - Accent6 53 2 2" xfId="12429" xr:uid="{00000000-0005-0000-0000-000092450000}"/>
    <cellStyle name="40% - Accent6 53 2 2 2" xfId="23717" xr:uid="{00000000-0005-0000-0000-000093450000}"/>
    <cellStyle name="40% - Accent6 53 2 3" xfId="10435" xr:uid="{00000000-0005-0000-0000-000094450000}"/>
    <cellStyle name="40% - Accent6 53 2 3 2" xfId="21723" xr:uid="{00000000-0005-0000-0000-000095450000}"/>
    <cellStyle name="40% - Accent6 53 2 4" xfId="8441" xr:uid="{00000000-0005-0000-0000-000096450000}"/>
    <cellStyle name="40% - Accent6 53 2 4 2" xfId="19729" xr:uid="{00000000-0005-0000-0000-000097450000}"/>
    <cellStyle name="40% - Accent6 53 2 5" xfId="6447" xr:uid="{00000000-0005-0000-0000-000098450000}"/>
    <cellStyle name="40% - Accent6 53 2 5 2" xfId="17735" xr:uid="{00000000-0005-0000-0000-000099450000}"/>
    <cellStyle name="40% - Accent6 53 2 6" xfId="15741" xr:uid="{00000000-0005-0000-0000-00009A450000}"/>
    <cellStyle name="40% - Accent6 53 3" xfId="11432" xr:uid="{00000000-0005-0000-0000-00009B450000}"/>
    <cellStyle name="40% - Accent6 53 3 2" xfId="22720" xr:uid="{00000000-0005-0000-0000-00009C450000}"/>
    <cellStyle name="40% - Accent6 53 4" xfId="9438" xr:uid="{00000000-0005-0000-0000-00009D450000}"/>
    <cellStyle name="40% - Accent6 53 4 2" xfId="20726" xr:uid="{00000000-0005-0000-0000-00009E450000}"/>
    <cellStyle name="40% - Accent6 53 5" xfId="7444" xr:uid="{00000000-0005-0000-0000-00009F450000}"/>
    <cellStyle name="40% - Accent6 53 5 2" xfId="18732" xr:uid="{00000000-0005-0000-0000-0000A0450000}"/>
    <cellStyle name="40% - Accent6 53 6" xfId="5450" xr:uid="{00000000-0005-0000-0000-0000A1450000}"/>
    <cellStyle name="40% - Accent6 53 6 2" xfId="16738" xr:uid="{00000000-0005-0000-0000-0000A2450000}"/>
    <cellStyle name="40% - Accent6 53 7" xfId="14744" xr:uid="{00000000-0005-0000-0000-0000A3450000}"/>
    <cellStyle name="40% - Accent6 53 8" xfId="13430" xr:uid="{00000000-0005-0000-0000-0000A4450000}"/>
    <cellStyle name="40% - Accent6 54" xfId="1495" xr:uid="{00000000-0005-0000-0000-0000A5450000}"/>
    <cellStyle name="40% - Accent6 54 2" xfId="4451" xr:uid="{00000000-0005-0000-0000-0000A6450000}"/>
    <cellStyle name="40% - Accent6 54 2 2" xfId="12430" xr:uid="{00000000-0005-0000-0000-0000A7450000}"/>
    <cellStyle name="40% - Accent6 54 2 2 2" xfId="23718" xr:uid="{00000000-0005-0000-0000-0000A8450000}"/>
    <cellStyle name="40% - Accent6 54 2 3" xfId="10436" xr:uid="{00000000-0005-0000-0000-0000A9450000}"/>
    <cellStyle name="40% - Accent6 54 2 3 2" xfId="21724" xr:uid="{00000000-0005-0000-0000-0000AA450000}"/>
    <cellStyle name="40% - Accent6 54 2 4" xfId="8442" xr:uid="{00000000-0005-0000-0000-0000AB450000}"/>
    <cellStyle name="40% - Accent6 54 2 4 2" xfId="19730" xr:uid="{00000000-0005-0000-0000-0000AC450000}"/>
    <cellStyle name="40% - Accent6 54 2 5" xfId="6448" xr:uid="{00000000-0005-0000-0000-0000AD450000}"/>
    <cellStyle name="40% - Accent6 54 2 5 2" xfId="17736" xr:uid="{00000000-0005-0000-0000-0000AE450000}"/>
    <cellStyle name="40% - Accent6 54 2 6" xfId="15742" xr:uid="{00000000-0005-0000-0000-0000AF450000}"/>
    <cellStyle name="40% - Accent6 54 3" xfId="11433" xr:uid="{00000000-0005-0000-0000-0000B0450000}"/>
    <cellStyle name="40% - Accent6 54 3 2" xfId="22721" xr:uid="{00000000-0005-0000-0000-0000B1450000}"/>
    <cellStyle name="40% - Accent6 54 4" xfId="9439" xr:uid="{00000000-0005-0000-0000-0000B2450000}"/>
    <cellStyle name="40% - Accent6 54 4 2" xfId="20727" xr:uid="{00000000-0005-0000-0000-0000B3450000}"/>
    <cellStyle name="40% - Accent6 54 5" xfId="7445" xr:uid="{00000000-0005-0000-0000-0000B4450000}"/>
    <cellStyle name="40% - Accent6 54 5 2" xfId="18733" xr:uid="{00000000-0005-0000-0000-0000B5450000}"/>
    <cellStyle name="40% - Accent6 54 6" xfId="5451" xr:uid="{00000000-0005-0000-0000-0000B6450000}"/>
    <cellStyle name="40% - Accent6 54 6 2" xfId="16739" xr:uid="{00000000-0005-0000-0000-0000B7450000}"/>
    <cellStyle name="40% - Accent6 54 7" xfId="14745" xr:uid="{00000000-0005-0000-0000-0000B8450000}"/>
    <cellStyle name="40% - Accent6 54 8" xfId="13431" xr:uid="{00000000-0005-0000-0000-0000B9450000}"/>
    <cellStyle name="40% - Accent6 55" xfId="1496" xr:uid="{00000000-0005-0000-0000-0000BA450000}"/>
    <cellStyle name="40% - Accent6 55 2" xfId="4452" xr:uid="{00000000-0005-0000-0000-0000BB450000}"/>
    <cellStyle name="40% - Accent6 55 2 2" xfId="12431" xr:uid="{00000000-0005-0000-0000-0000BC450000}"/>
    <cellStyle name="40% - Accent6 55 2 2 2" xfId="23719" xr:uid="{00000000-0005-0000-0000-0000BD450000}"/>
    <cellStyle name="40% - Accent6 55 2 3" xfId="10437" xr:uid="{00000000-0005-0000-0000-0000BE450000}"/>
    <cellStyle name="40% - Accent6 55 2 3 2" xfId="21725" xr:uid="{00000000-0005-0000-0000-0000BF450000}"/>
    <cellStyle name="40% - Accent6 55 2 4" xfId="8443" xr:uid="{00000000-0005-0000-0000-0000C0450000}"/>
    <cellStyle name="40% - Accent6 55 2 4 2" xfId="19731" xr:uid="{00000000-0005-0000-0000-0000C1450000}"/>
    <cellStyle name="40% - Accent6 55 2 5" xfId="6449" xr:uid="{00000000-0005-0000-0000-0000C2450000}"/>
    <cellStyle name="40% - Accent6 55 2 5 2" xfId="17737" xr:uid="{00000000-0005-0000-0000-0000C3450000}"/>
    <cellStyle name="40% - Accent6 55 2 6" xfId="15743" xr:uid="{00000000-0005-0000-0000-0000C4450000}"/>
    <cellStyle name="40% - Accent6 55 3" xfId="11434" xr:uid="{00000000-0005-0000-0000-0000C5450000}"/>
    <cellStyle name="40% - Accent6 55 3 2" xfId="22722" xr:uid="{00000000-0005-0000-0000-0000C6450000}"/>
    <cellStyle name="40% - Accent6 55 4" xfId="9440" xr:uid="{00000000-0005-0000-0000-0000C7450000}"/>
    <cellStyle name="40% - Accent6 55 4 2" xfId="20728" xr:uid="{00000000-0005-0000-0000-0000C8450000}"/>
    <cellStyle name="40% - Accent6 55 5" xfId="7446" xr:uid="{00000000-0005-0000-0000-0000C9450000}"/>
    <cellStyle name="40% - Accent6 55 5 2" xfId="18734" xr:uid="{00000000-0005-0000-0000-0000CA450000}"/>
    <cellStyle name="40% - Accent6 55 6" xfId="5452" xr:uid="{00000000-0005-0000-0000-0000CB450000}"/>
    <cellStyle name="40% - Accent6 55 6 2" xfId="16740" xr:uid="{00000000-0005-0000-0000-0000CC450000}"/>
    <cellStyle name="40% - Accent6 55 7" xfId="14746" xr:uid="{00000000-0005-0000-0000-0000CD450000}"/>
    <cellStyle name="40% - Accent6 55 8" xfId="13432" xr:uid="{00000000-0005-0000-0000-0000CE450000}"/>
    <cellStyle name="40% - Accent6 56" xfId="1497" xr:uid="{00000000-0005-0000-0000-0000CF450000}"/>
    <cellStyle name="40% - Accent6 56 2" xfId="4453" xr:uid="{00000000-0005-0000-0000-0000D0450000}"/>
    <cellStyle name="40% - Accent6 56 2 2" xfId="12432" xr:uid="{00000000-0005-0000-0000-0000D1450000}"/>
    <cellStyle name="40% - Accent6 56 2 2 2" xfId="23720" xr:uid="{00000000-0005-0000-0000-0000D2450000}"/>
    <cellStyle name="40% - Accent6 56 2 3" xfId="10438" xr:uid="{00000000-0005-0000-0000-0000D3450000}"/>
    <cellStyle name="40% - Accent6 56 2 3 2" xfId="21726" xr:uid="{00000000-0005-0000-0000-0000D4450000}"/>
    <cellStyle name="40% - Accent6 56 2 4" xfId="8444" xr:uid="{00000000-0005-0000-0000-0000D5450000}"/>
    <cellStyle name="40% - Accent6 56 2 4 2" xfId="19732" xr:uid="{00000000-0005-0000-0000-0000D6450000}"/>
    <cellStyle name="40% - Accent6 56 2 5" xfId="6450" xr:uid="{00000000-0005-0000-0000-0000D7450000}"/>
    <cellStyle name="40% - Accent6 56 2 5 2" xfId="17738" xr:uid="{00000000-0005-0000-0000-0000D8450000}"/>
    <cellStyle name="40% - Accent6 56 2 6" xfId="15744" xr:uid="{00000000-0005-0000-0000-0000D9450000}"/>
    <cellStyle name="40% - Accent6 56 3" xfId="11435" xr:uid="{00000000-0005-0000-0000-0000DA450000}"/>
    <cellStyle name="40% - Accent6 56 3 2" xfId="22723" xr:uid="{00000000-0005-0000-0000-0000DB450000}"/>
    <cellStyle name="40% - Accent6 56 4" xfId="9441" xr:uid="{00000000-0005-0000-0000-0000DC450000}"/>
    <cellStyle name="40% - Accent6 56 4 2" xfId="20729" xr:uid="{00000000-0005-0000-0000-0000DD450000}"/>
    <cellStyle name="40% - Accent6 56 5" xfId="7447" xr:uid="{00000000-0005-0000-0000-0000DE450000}"/>
    <cellStyle name="40% - Accent6 56 5 2" xfId="18735" xr:uid="{00000000-0005-0000-0000-0000DF450000}"/>
    <cellStyle name="40% - Accent6 56 6" xfId="5453" xr:uid="{00000000-0005-0000-0000-0000E0450000}"/>
    <cellStyle name="40% - Accent6 56 6 2" xfId="16741" xr:uid="{00000000-0005-0000-0000-0000E1450000}"/>
    <cellStyle name="40% - Accent6 56 7" xfId="14747" xr:uid="{00000000-0005-0000-0000-0000E2450000}"/>
    <cellStyle name="40% - Accent6 56 8" xfId="13433" xr:uid="{00000000-0005-0000-0000-0000E3450000}"/>
    <cellStyle name="40% - Accent6 57" xfId="1498" xr:uid="{00000000-0005-0000-0000-0000E4450000}"/>
    <cellStyle name="40% - Accent6 57 2" xfId="4454" xr:uid="{00000000-0005-0000-0000-0000E5450000}"/>
    <cellStyle name="40% - Accent6 57 2 2" xfId="12433" xr:uid="{00000000-0005-0000-0000-0000E6450000}"/>
    <cellStyle name="40% - Accent6 57 2 2 2" xfId="23721" xr:uid="{00000000-0005-0000-0000-0000E7450000}"/>
    <cellStyle name="40% - Accent6 57 2 3" xfId="10439" xr:uid="{00000000-0005-0000-0000-0000E8450000}"/>
    <cellStyle name="40% - Accent6 57 2 3 2" xfId="21727" xr:uid="{00000000-0005-0000-0000-0000E9450000}"/>
    <cellStyle name="40% - Accent6 57 2 4" xfId="8445" xr:uid="{00000000-0005-0000-0000-0000EA450000}"/>
    <cellStyle name="40% - Accent6 57 2 4 2" xfId="19733" xr:uid="{00000000-0005-0000-0000-0000EB450000}"/>
    <cellStyle name="40% - Accent6 57 2 5" xfId="6451" xr:uid="{00000000-0005-0000-0000-0000EC450000}"/>
    <cellStyle name="40% - Accent6 57 2 5 2" xfId="17739" xr:uid="{00000000-0005-0000-0000-0000ED450000}"/>
    <cellStyle name="40% - Accent6 57 2 6" xfId="15745" xr:uid="{00000000-0005-0000-0000-0000EE450000}"/>
    <cellStyle name="40% - Accent6 57 3" xfId="11436" xr:uid="{00000000-0005-0000-0000-0000EF450000}"/>
    <cellStyle name="40% - Accent6 57 3 2" xfId="22724" xr:uid="{00000000-0005-0000-0000-0000F0450000}"/>
    <cellStyle name="40% - Accent6 57 4" xfId="9442" xr:uid="{00000000-0005-0000-0000-0000F1450000}"/>
    <cellStyle name="40% - Accent6 57 4 2" xfId="20730" xr:uid="{00000000-0005-0000-0000-0000F2450000}"/>
    <cellStyle name="40% - Accent6 57 5" xfId="7448" xr:uid="{00000000-0005-0000-0000-0000F3450000}"/>
    <cellStyle name="40% - Accent6 57 5 2" xfId="18736" xr:uid="{00000000-0005-0000-0000-0000F4450000}"/>
    <cellStyle name="40% - Accent6 57 6" xfId="5454" xr:uid="{00000000-0005-0000-0000-0000F5450000}"/>
    <cellStyle name="40% - Accent6 57 6 2" xfId="16742" xr:uid="{00000000-0005-0000-0000-0000F6450000}"/>
    <cellStyle name="40% - Accent6 57 7" xfId="14748" xr:uid="{00000000-0005-0000-0000-0000F7450000}"/>
    <cellStyle name="40% - Accent6 57 8" xfId="13434" xr:uid="{00000000-0005-0000-0000-0000F8450000}"/>
    <cellStyle name="40% - Accent6 58" xfId="1499" xr:uid="{00000000-0005-0000-0000-0000F9450000}"/>
    <cellStyle name="40% - Accent6 58 2" xfId="4455" xr:uid="{00000000-0005-0000-0000-0000FA450000}"/>
    <cellStyle name="40% - Accent6 58 2 2" xfId="12434" xr:uid="{00000000-0005-0000-0000-0000FB450000}"/>
    <cellStyle name="40% - Accent6 58 2 2 2" xfId="23722" xr:uid="{00000000-0005-0000-0000-0000FC450000}"/>
    <cellStyle name="40% - Accent6 58 2 3" xfId="10440" xr:uid="{00000000-0005-0000-0000-0000FD450000}"/>
    <cellStyle name="40% - Accent6 58 2 3 2" xfId="21728" xr:uid="{00000000-0005-0000-0000-0000FE450000}"/>
    <cellStyle name="40% - Accent6 58 2 4" xfId="8446" xr:uid="{00000000-0005-0000-0000-0000FF450000}"/>
    <cellStyle name="40% - Accent6 58 2 4 2" xfId="19734" xr:uid="{00000000-0005-0000-0000-000000460000}"/>
    <cellStyle name="40% - Accent6 58 2 5" xfId="6452" xr:uid="{00000000-0005-0000-0000-000001460000}"/>
    <cellStyle name="40% - Accent6 58 2 5 2" xfId="17740" xr:uid="{00000000-0005-0000-0000-000002460000}"/>
    <cellStyle name="40% - Accent6 58 2 6" xfId="15746" xr:uid="{00000000-0005-0000-0000-000003460000}"/>
    <cellStyle name="40% - Accent6 58 3" xfId="11437" xr:uid="{00000000-0005-0000-0000-000004460000}"/>
    <cellStyle name="40% - Accent6 58 3 2" xfId="22725" xr:uid="{00000000-0005-0000-0000-000005460000}"/>
    <cellStyle name="40% - Accent6 58 4" xfId="9443" xr:uid="{00000000-0005-0000-0000-000006460000}"/>
    <cellStyle name="40% - Accent6 58 4 2" xfId="20731" xr:uid="{00000000-0005-0000-0000-000007460000}"/>
    <cellStyle name="40% - Accent6 58 5" xfId="7449" xr:uid="{00000000-0005-0000-0000-000008460000}"/>
    <cellStyle name="40% - Accent6 58 5 2" xfId="18737" xr:uid="{00000000-0005-0000-0000-000009460000}"/>
    <cellStyle name="40% - Accent6 58 6" xfId="5455" xr:uid="{00000000-0005-0000-0000-00000A460000}"/>
    <cellStyle name="40% - Accent6 58 6 2" xfId="16743" xr:uid="{00000000-0005-0000-0000-00000B460000}"/>
    <cellStyle name="40% - Accent6 58 7" xfId="14749" xr:uid="{00000000-0005-0000-0000-00000C460000}"/>
    <cellStyle name="40% - Accent6 58 8" xfId="13435" xr:uid="{00000000-0005-0000-0000-00000D460000}"/>
    <cellStyle name="40% - Accent6 59" xfId="1500" xr:uid="{00000000-0005-0000-0000-00000E460000}"/>
    <cellStyle name="40% - Accent6 59 2" xfId="4456" xr:uid="{00000000-0005-0000-0000-00000F460000}"/>
    <cellStyle name="40% - Accent6 59 2 2" xfId="12435" xr:uid="{00000000-0005-0000-0000-000010460000}"/>
    <cellStyle name="40% - Accent6 59 2 2 2" xfId="23723" xr:uid="{00000000-0005-0000-0000-000011460000}"/>
    <cellStyle name="40% - Accent6 59 2 3" xfId="10441" xr:uid="{00000000-0005-0000-0000-000012460000}"/>
    <cellStyle name="40% - Accent6 59 2 3 2" xfId="21729" xr:uid="{00000000-0005-0000-0000-000013460000}"/>
    <cellStyle name="40% - Accent6 59 2 4" xfId="8447" xr:uid="{00000000-0005-0000-0000-000014460000}"/>
    <cellStyle name="40% - Accent6 59 2 4 2" xfId="19735" xr:uid="{00000000-0005-0000-0000-000015460000}"/>
    <cellStyle name="40% - Accent6 59 2 5" xfId="6453" xr:uid="{00000000-0005-0000-0000-000016460000}"/>
    <cellStyle name="40% - Accent6 59 2 5 2" xfId="17741" xr:uid="{00000000-0005-0000-0000-000017460000}"/>
    <cellStyle name="40% - Accent6 59 2 6" xfId="15747" xr:uid="{00000000-0005-0000-0000-000018460000}"/>
    <cellStyle name="40% - Accent6 59 3" xfId="11438" xr:uid="{00000000-0005-0000-0000-000019460000}"/>
    <cellStyle name="40% - Accent6 59 3 2" xfId="22726" xr:uid="{00000000-0005-0000-0000-00001A460000}"/>
    <cellStyle name="40% - Accent6 59 4" xfId="9444" xr:uid="{00000000-0005-0000-0000-00001B460000}"/>
    <cellStyle name="40% - Accent6 59 4 2" xfId="20732" xr:uid="{00000000-0005-0000-0000-00001C460000}"/>
    <cellStyle name="40% - Accent6 59 5" xfId="7450" xr:uid="{00000000-0005-0000-0000-00001D460000}"/>
    <cellStyle name="40% - Accent6 59 5 2" xfId="18738" xr:uid="{00000000-0005-0000-0000-00001E460000}"/>
    <cellStyle name="40% - Accent6 59 6" xfId="5456" xr:uid="{00000000-0005-0000-0000-00001F460000}"/>
    <cellStyle name="40% - Accent6 59 6 2" xfId="16744" xr:uid="{00000000-0005-0000-0000-000020460000}"/>
    <cellStyle name="40% - Accent6 59 7" xfId="14750" xr:uid="{00000000-0005-0000-0000-000021460000}"/>
    <cellStyle name="40% - Accent6 59 8" xfId="13436" xr:uid="{00000000-0005-0000-0000-000022460000}"/>
    <cellStyle name="40% - Accent6 6" xfId="1501" xr:uid="{00000000-0005-0000-0000-000023460000}"/>
    <cellStyle name="40% - Accent6 6 10" xfId="24629" xr:uid="{00000000-0005-0000-0000-000024460000}"/>
    <cellStyle name="40% - Accent6 6 11" xfId="25019" xr:uid="{00000000-0005-0000-0000-000025460000}"/>
    <cellStyle name="40% - Accent6 6 2" xfId="4457" xr:uid="{00000000-0005-0000-0000-000026460000}"/>
    <cellStyle name="40% - Accent6 6 2 2" xfId="12436" xr:uid="{00000000-0005-0000-0000-000027460000}"/>
    <cellStyle name="40% - Accent6 6 2 2 2" xfId="23724" xr:uid="{00000000-0005-0000-0000-000028460000}"/>
    <cellStyle name="40% - Accent6 6 2 3" xfId="10442" xr:uid="{00000000-0005-0000-0000-000029460000}"/>
    <cellStyle name="40% - Accent6 6 2 3 2" xfId="21730" xr:uid="{00000000-0005-0000-0000-00002A460000}"/>
    <cellStyle name="40% - Accent6 6 2 4" xfId="8448" xr:uid="{00000000-0005-0000-0000-00002B460000}"/>
    <cellStyle name="40% - Accent6 6 2 4 2" xfId="19736" xr:uid="{00000000-0005-0000-0000-00002C460000}"/>
    <cellStyle name="40% - Accent6 6 2 5" xfId="6454" xr:uid="{00000000-0005-0000-0000-00002D460000}"/>
    <cellStyle name="40% - Accent6 6 2 5 2" xfId="17742" xr:uid="{00000000-0005-0000-0000-00002E460000}"/>
    <cellStyle name="40% - Accent6 6 2 6" xfId="15748" xr:uid="{00000000-0005-0000-0000-00002F460000}"/>
    <cellStyle name="40% - Accent6 6 2 7" xfId="24390" xr:uid="{00000000-0005-0000-0000-000030460000}"/>
    <cellStyle name="40% - Accent6 6 2 8" xfId="24854" xr:uid="{00000000-0005-0000-0000-000031460000}"/>
    <cellStyle name="40% - Accent6 6 2 9" xfId="25221" xr:uid="{00000000-0005-0000-0000-000032460000}"/>
    <cellStyle name="40% - Accent6 6 3" xfId="11439" xr:uid="{00000000-0005-0000-0000-000033460000}"/>
    <cellStyle name="40% - Accent6 6 3 2" xfId="22727" xr:uid="{00000000-0005-0000-0000-000034460000}"/>
    <cellStyle name="40% - Accent6 6 4" xfId="9445" xr:uid="{00000000-0005-0000-0000-000035460000}"/>
    <cellStyle name="40% - Accent6 6 4 2" xfId="20733" xr:uid="{00000000-0005-0000-0000-000036460000}"/>
    <cellStyle name="40% - Accent6 6 5" xfId="7451" xr:uid="{00000000-0005-0000-0000-000037460000}"/>
    <cellStyle name="40% - Accent6 6 5 2" xfId="18739" xr:uid="{00000000-0005-0000-0000-000038460000}"/>
    <cellStyle name="40% - Accent6 6 6" xfId="5457" xr:uid="{00000000-0005-0000-0000-000039460000}"/>
    <cellStyle name="40% - Accent6 6 6 2" xfId="16745" xr:uid="{00000000-0005-0000-0000-00003A460000}"/>
    <cellStyle name="40% - Accent6 6 7" xfId="14751" xr:uid="{00000000-0005-0000-0000-00003B460000}"/>
    <cellStyle name="40% - Accent6 6 8" xfId="13437" xr:uid="{00000000-0005-0000-0000-00003C460000}"/>
    <cellStyle name="40% - Accent6 6 9" xfId="24002" xr:uid="{00000000-0005-0000-0000-00003D460000}"/>
    <cellStyle name="40% - Accent6 60" xfId="1502" xr:uid="{00000000-0005-0000-0000-00003E460000}"/>
    <cellStyle name="40% - Accent6 60 2" xfId="4458" xr:uid="{00000000-0005-0000-0000-00003F460000}"/>
    <cellStyle name="40% - Accent6 60 2 2" xfId="12437" xr:uid="{00000000-0005-0000-0000-000040460000}"/>
    <cellStyle name="40% - Accent6 60 2 2 2" xfId="23725" xr:uid="{00000000-0005-0000-0000-000041460000}"/>
    <cellStyle name="40% - Accent6 60 2 3" xfId="10443" xr:uid="{00000000-0005-0000-0000-000042460000}"/>
    <cellStyle name="40% - Accent6 60 2 3 2" xfId="21731" xr:uid="{00000000-0005-0000-0000-000043460000}"/>
    <cellStyle name="40% - Accent6 60 2 4" xfId="8449" xr:uid="{00000000-0005-0000-0000-000044460000}"/>
    <cellStyle name="40% - Accent6 60 2 4 2" xfId="19737" xr:uid="{00000000-0005-0000-0000-000045460000}"/>
    <cellStyle name="40% - Accent6 60 2 5" xfId="6455" xr:uid="{00000000-0005-0000-0000-000046460000}"/>
    <cellStyle name="40% - Accent6 60 2 5 2" xfId="17743" xr:uid="{00000000-0005-0000-0000-000047460000}"/>
    <cellStyle name="40% - Accent6 60 2 6" xfId="15749" xr:uid="{00000000-0005-0000-0000-000048460000}"/>
    <cellStyle name="40% - Accent6 60 3" xfId="11440" xr:uid="{00000000-0005-0000-0000-000049460000}"/>
    <cellStyle name="40% - Accent6 60 3 2" xfId="22728" xr:uid="{00000000-0005-0000-0000-00004A460000}"/>
    <cellStyle name="40% - Accent6 60 4" xfId="9446" xr:uid="{00000000-0005-0000-0000-00004B460000}"/>
    <cellStyle name="40% - Accent6 60 4 2" xfId="20734" xr:uid="{00000000-0005-0000-0000-00004C460000}"/>
    <cellStyle name="40% - Accent6 60 5" xfId="7452" xr:uid="{00000000-0005-0000-0000-00004D460000}"/>
    <cellStyle name="40% - Accent6 60 5 2" xfId="18740" xr:uid="{00000000-0005-0000-0000-00004E460000}"/>
    <cellStyle name="40% - Accent6 60 6" xfId="5458" xr:uid="{00000000-0005-0000-0000-00004F460000}"/>
    <cellStyle name="40% - Accent6 60 6 2" xfId="16746" xr:uid="{00000000-0005-0000-0000-000050460000}"/>
    <cellStyle name="40% - Accent6 60 7" xfId="14752" xr:uid="{00000000-0005-0000-0000-000051460000}"/>
    <cellStyle name="40% - Accent6 60 8" xfId="13438" xr:uid="{00000000-0005-0000-0000-000052460000}"/>
    <cellStyle name="40% - Accent6 61" xfId="1503" xr:uid="{00000000-0005-0000-0000-000053460000}"/>
    <cellStyle name="40% - Accent6 61 2" xfId="4459" xr:uid="{00000000-0005-0000-0000-000054460000}"/>
    <cellStyle name="40% - Accent6 61 2 2" xfId="12438" xr:uid="{00000000-0005-0000-0000-000055460000}"/>
    <cellStyle name="40% - Accent6 61 2 2 2" xfId="23726" xr:uid="{00000000-0005-0000-0000-000056460000}"/>
    <cellStyle name="40% - Accent6 61 2 3" xfId="10444" xr:uid="{00000000-0005-0000-0000-000057460000}"/>
    <cellStyle name="40% - Accent6 61 2 3 2" xfId="21732" xr:uid="{00000000-0005-0000-0000-000058460000}"/>
    <cellStyle name="40% - Accent6 61 2 4" xfId="8450" xr:uid="{00000000-0005-0000-0000-000059460000}"/>
    <cellStyle name="40% - Accent6 61 2 4 2" xfId="19738" xr:uid="{00000000-0005-0000-0000-00005A460000}"/>
    <cellStyle name="40% - Accent6 61 2 5" xfId="6456" xr:uid="{00000000-0005-0000-0000-00005B460000}"/>
    <cellStyle name="40% - Accent6 61 2 5 2" xfId="17744" xr:uid="{00000000-0005-0000-0000-00005C460000}"/>
    <cellStyle name="40% - Accent6 61 2 6" xfId="15750" xr:uid="{00000000-0005-0000-0000-00005D460000}"/>
    <cellStyle name="40% - Accent6 61 3" xfId="11441" xr:uid="{00000000-0005-0000-0000-00005E460000}"/>
    <cellStyle name="40% - Accent6 61 3 2" xfId="22729" xr:uid="{00000000-0005-0000-0000-00005F460000}"/>
    <cellStyle name="40% - Accent6 61 4" xfId="9447" xr:uid="{00000000-0005-0000-0000-000060460000}"/>
    <cellStyle name="40% - Accent6 61 4 2" xfId="20735" xr:uid="{00000000-0005-0000-0000-000061460000}"/>
    <cellStyle name="40% - Accent6 61 5" xfId="7453" xr:uid="{00000000-0005-0000-0000-000062460000}"/>
    <cellStyle name="40% - Accent6 61 5 2" xfId="18741" xr:uid="{00000000-0005-0000-0000-000063460000}"/>
    <cellStyle name="40% - Accent6 61 6" xfId="5459" xr:uid="{00000000-0005-0000-0000-000064460000}"/>
    <cellStyle name="40% - Accent6 61 6 2" xfId="16747" xr:uid="{00000000-0005-0000-0000-000065460000}"/>
    <cellStyle name="40% - Accent6 61 7" xfId="14753" xr:uid="{00000000-0005-0000-0000-000066460000}"/>
    <cellStyle name="40% - Accent6 61 8" xfId="13439" xr:uid="{00000000-0005-0000-0000-000067460000}"/>
    <cellStyle name="40% - Accent6 62" xfId="1504" xr:uid="{00000000-0005-0000-0000-000068460000}"/>
    <cellStyle name="40% - Accent6 62 2" xfId="4460" xr:uid="{00000000-0005-0000-0000-000069460000}"/>
    <cellStyle name="40% - Accent6 62 2 2" xfId="12439" xr:uid="{00000000-0005-0000-0000-00006A460000}"/>
    <cellStyle name="40% - Accent6 62 2 2 2" xfId="23727" xr:uid="{00000000-0005-0000-0000-00006B460000}"/>
    <cellStyle name="40% - Accent6 62 2 3" xfId="10445" xr:uid="{00000000-0005-0000-0000-00006C460000}"/>
    <cellStyle name="40% - Accent6 62 2 3 2" xfId="21733" xr:uid="{00000000-0005-0000-0000-00006D460000}"/>
    <cellStyle name="40% - Accent6 62 2 4" xfId="8451" xr:uid="{00000000-0005-0000-0000-00006E460000}"/>
    <cellStyle name="40% - Accent6 62 2 4 2" xfId="19739" xr:uid="{00000000-0005-0000-0000-00006F460000}"/>
    <cellStyle name="40% - Accent6 62 2 5" xfId="6457" xr:uid="{00000000-0005-0000-0000-000070460000}"/>
    <cellStyle name="40% - Accent6 62 2 5 2" xfId="17745" xr:uid="{00000000-0005-0000-0000-000071460000}"/>
    <cellStyle name="40% - Accent6 62 2 6" xfId="15751" xr:uid="{00000000-0005-0000-0000-000072460000}"/>
    <cellStyle name="40% - Accent6 62 3" xfId="11442" xr:uid="{00000000-0005-0000-0000-000073460000}"/>
    <cellStyle name="40% - Accent6 62 3 2" xfId="22730" xr:uid="{00000000-0005-0000-0000-000074460000}"/>
    <cellStyle name="40% - Accent6 62 4" xfId="9448" xr:uid="{00000000-0005-0000-0000-000075460000}"/>
    <cellStyle name="40% - Accent6 62 4 2" xfId="20736" xr:uid="{00000000-0005-0000-0000-000076460000}"/>
    <cellStyle name="40% - Accent6 62 5" xfId="7454" xr:uid="{00000000-0005-0000-0000-000077460000}"/>
    <cellStyle name="40% - Accent6 62 5 2" xfId="18742" xr:uid="{00000000-0005-0000-0000-000078460000}"/>
    <cellStyle name="40% - Accent6 62 6" xfId="5460" xr:uid="{00000000-0005-0000-0000-000079460000}"/>
    <cellStyle name="40% - Accent6 62 6 2" xfId="16748" xr:uid="{00000000-0005-0000-0000-00007A460000}"/>
    <cellStyle name="40% - Accent6 62 7" xfId="14754" xr:uid="{00000000-0005-0000-0000-00007B460000}"/>
    <cellStyle name="40% - Accent6 62 8" xfId="13440" xr:uid="{00000000-0005-0000-0000-00007C460000}"/>
    <cellStyle name="40% - Accent6 63" xfId="1505" xr:uid="{00000000-0005-0000-0000-00007D460000}"/>
    <cellStyle name="40% - Accent6 63 2" xfId="4461" xr:uid="{00000000-0005-0000-0000-00007E460000}"/>
    <cellStyle name="40% - Accent6 63 2 2" xfId="12440" xr:uid="{00000000-0005-0000-0000-00007F460000}"/>
    <cellStyle name="40% - Accent6 63 2 2 2" xfId="23728" xr:uid="{00000000-0005-0000-0000-000080460000}"/>
    <cellStyle name="40% - Accent6 63 2 3" xfId="10446" xr:uid="{00000000-0005-0000-0000-000081460000}"/>
    <cellStyle name="40% - Accent6 63 2 3 2" xfId="21734" xr:uid="{00000000-0005-0000-0000-000082460000}"/>
    <cellStyle name="40% - Accent6 63 2 4" xfId="8452" xr:uid="{00000000-0005-0000-0000-000083460000}"/>
    <cellStyle name="40% - Accent6 63 2 4 2" xfId="19740" xr:uid="{00000000-0005-0000-0000-000084460000}"/>
    <cellStyle name="40% - Accent6 63 2 5" xfId="6458" xr:uid="{00000000-0005-0000-0000-000085460000}"/>
    <cellStyle name="40% - Accent6 63 2 5 2" xfId="17746" xr:uid="{00000000-0005-0000-0000-000086460000}"/>
    <cellStyle name="40% - Accent6 63 2 6" xfId="15752" xr:uid="{00000000-0005-0000-0000-000087460000}"/>
    <cellStyle name="40% - Accent6 63 3" xfId="11443" xr:uid="{00000000-0005-0000-0000-000088460000}"/>
    <cellStyle name="40% - Accent6 63 3 2" xfId="22731" xr:uid="{00000000-0005-0000-0000-000089460000}"/>
    <cellStyle name="40% - Accent6 63 4" xfId="9449" xr:uid="{00000000-0005-0000-0000-00008A460000}"/>
    <cellStyle name="40% - Accent6 63 4 2" xfId="20737" xr:uid="{00000000-0005-0000-0000-00008B460000}"/>
    <cellStyle name="40% - Accent6 63 5" xfId="7455" xr:uid="{00000000-0005-0000-0000-00008C460000}"/>
    <cellStyle name="40% - Accent6 63 5 2" xfId="18743" xr:uid="{00000000-0005-0000-0000-00008D460000}"/>
    <cellStyle name="40% - Accent6 63 6" xfId="5461" xr:uid="{00000000-0005-0000-0000-00008E460000}"/>
    <cellStyle name="40% - Accent6 63 6 2" xfId="16749" xr:uid="{00000000-0005-0000-0000-00008F460000}"/>
    <cellStyle name="40% - Accent6 63 7" xfId="14755" xr:uid="{00000000-0005-0000-0000-000090460000}"/>
    <cellStyle name="40% - Accent6 63 8" xfId="13441" xr:uid="{00000000-0005-0000-0000-000091460000}"/>
    <cellStyle name="40% - Accent6 64" xfId="1506" xr:uid="{00000000-0005-0000-0000-000092460000}"/>
    <cellStyle name="40% - Accent6 64 2" xfId="4462" xr:uid="{00000000-0005-0000-0000-000093460000}"/>
    <cellStyle name="40% - Accent6 64 2 2" xfId="12441" xr:uid="{00000000-0005-0000-0000-000094460000}"/>
    <cellStyle name="40% - Accent6 64 2 2 2" xfId="23729" xr:uid="{00000000-0005-0000-0000-000095460000}"/>
    <cellStyle name="40% - Accent6 64 2 3" xfId="10447" xr:uid="{00000000-0005-0000-0000-000096460000}"/>
    <cellStyle name="40% - Accent6 64 2 3 2" xfId="21735" xr:uid="{00000000-0005-0000-0000-000097460000}"/>
    <cellStyle name="40% - Accent6 64 2 4" xfId="8453" xr:uid="{00000000-0005-0000-0000-000098460000}"/>
    <cellStyle name="40% - Accent6 64 2 4 2" xfId="19741" xr:uid="{00000000-0005-0000-0000-000099460000}"/>
    <cellStyle name="40% - Accent6 64 2 5" xfId="6459" xr:uid="{00000000-0005-0000-0000-00009A460000}"/>
    <cellStyle name="40% - Accent6 64 2 5 2" xfId="17747" xr:uid="{00000000-0005-0000-0000-00009B460000}"/>
    <cellStyle name="40% - Accent6 64 2 6" xfId="15753" xr:uid="{00000000-0005-0000-0000-00009C460000}"/>
    <cellStyle name="40% - Accent6 64 3" xfId="11444" xr:uid="{00000000-0005-0000-0000-00009D460000}"/>
    <cellStyle name="40% - Accent6 64 3 2" xfId="22732" xr:uid="{00000000-0005-0000-0000-00009E460000}"/>
    <cellStyle name="40% - Accent6 64 4" xfId="9450" xr:uid="{00000000-0005-0000-0000-00009F460000}"/>
    <cellStyle name="40% - Accent6 64 4 2" xfId="20738" xr:uid="{00000000-0005-0000-0000-0000A0460000}"/>
    <cellStyle name="40% - Accent6 64 5" xfId="7456" xr:uid="{00000000-0005-0000-0000-0000A1460000}"/>
    <cellStyle name="40% - Accent6 64 5 2" xfId="18744" xr:uid="{00000000-0005-0000-0000-0000A2460000}"/>
    <cellStyle name="40% - Accent6 64 6" xfId="5462" xr:uid="{00000000-0005-0000-0000-0000A3460000}"/>
    <cellStyle name="40% - Accent6 64 6 2" xfId="16750" xr:uid="{00000000-0005-0000-0000-0000A4460000}"/>
    <cellStyle name="40% - Accent6 64 7" xfId="14756" xr:uid="{00000000-0005-0000-0000-0000A5460000}"/>
    <cellStyle name="40% - Accent6 64 8" xfId="13442" xr:uid="{00000000-0005-0000-0000-0000A6460000}"/>
    <cellStyle name="40% - Accent6 65" xfId="1507" xr:uid="{00000000-0005-0000-0000-0000A7460000}"/>
    <cellStyle name="40% - Accent6 65 2" xfId="4463" xr:uid="{00000000-0005-0000-0000-0000A8460000}"/>
    <cellStyle name="40% - Accent6 65 2 2" xfId="12442" xr:uid="{00000000-0005-0000-0000-0000A9460000}"/>
    <cellStyle name="40% - Accent6 65 2 2 2" xfId="23730" xr:uid="{00000000-0005-0000-0000-0000AA460000}"/>
    <cellStyle name="40% - Accent6 65 2 3" xfId="10448" xr:uid="{00000000-0005-0000-0000-0000AB460000}"/>
    <cellStyle name="40% - Accent6 65 2 3 2" xfId="21736" xr:uid="{00000000-0005-0000-0000-0000AC460000}"/>
    <cellStyle name="40% - Accent6 65 2 4" xfId="8454" xr:uid="{00000000-0005-0000-0000-0000AD460000}"/>
    <cellStyle name="40% - Accent6 65 2 4 2" xfId="19742" xr:uid="{00000000-0005-0000-0000-0000AE460000}"/>
    <cellStyle name="40% - Accent6 65 2 5" xfId="6460" xr:uid="{00000000-0005-0000-0000-0000AF460000}"/>
    <cellStyle name="40% - Accent6 65 2 5 2" xfId="17748" xr:uid="{00000000-0005-0000-0000-0000B0460000}"/>
    <cellStyle name="40% - Accent6 65 2 6" xfId="15754" xr:uid="{00000000-0005-0000-0000-0000B1460000}"/>
    <cellStyle name="40% - Accent6 65 3" xfId="11445" xr:uid="{00000000-0005-0000-0000-0000B2460000}"/>
    <cellStyle name="40% - Accent6 65 3 2" xfId="22733" xr:uid="{00000000-0005-0000-0000-0000B3460000}"/>
    <cellStyle name="40% - Accent6 65 4" xfId="9451" xr:uid="{00000000-0005-0000-0000-0000B4460000}"/>
    <cellStyle name="40% - Accent6 65 4 2" xfId="20739" xr:uid="{00000000-0005-0000-0000-0000B5460000}"/>
    <cellStyle name="40% - Accent6 65 5" xfId="7457" xr:uid="{00000000-0005-0000-0000-0000B6460000}"/>
    <cellStyle name="40% - Accent6 65 5 2" xfId="18745" xr:uid="{00000000-0005-0000-0000-0000B7460000}"/>
    <cellStyle name="40% - Accent6 65 6" xfId="5463" xr:uid="{00000000-0005-0000-0000-0000B8460000}"/>
    <cellStyle name="40% - Accent6 65 6 2" xfId="16751" xr:uid="{00000000-0005-0000-0000-0000B9460000}"/>
    <cellStyle name="40% - Accent6 65 7" xfId="14757" xr:uid="{00000000-0005-0000-0000-0000BA460000}"/>
    <cellStyle name="40% - Accent6 65 8" xfId="13443" xr:uid="{00000000-0005-0000-0000-0000BB460000}"/>
    <cellStyle name="40% - Accent6 66" xfId="1508" xr:uid="{00000000-0005-0000-0000-0000BC460000}"/>
    <cellStyle name="40% - Accent6 66 2" xfId="4464" xr:uid="{00000000-0005-0000-0000-0000BD460000}"/>
    <cellStyle name="40% - Accent6 66 2 2" xfId="12443" xr:uid="{00000000-0005-0000-0000-0000BE460000}"/>
    <cellStyle name="40% - Accent6 66 2 2 2" xfId="23731" xr:uid="{00000000-0005-0000-0000-0000BF460000}"/>
    <cellStyle name="40% - Accent6 66 2 3" xfId="10449" xr:uid="{00000000-0005-0000-0000-0000C0460000}"/>
    <cellStyle name="40% - Accent6 66 2 3 2" xfId="21737" xr:uid="{00000000-0005-0000-0000-0000C1460000}"/>
    <cellStyle name="40% - Accent6 66 2 4" xfId="8455" xr:uid="{00000000-0005-0000-0000-0000C2460000}"/>
    <cellStyle name="40% - Accent6 66 2 4 2" xfId="19743" xr:uid="{00000000-0005-0000-0000-0000C3460000}"/>
    <cellStyle name="40% - Accent6 66 2 5" xfId="6461" xr:uid="{00000000-0005-0000-0000-0000C4460000}"/>
    <cellStyle name="40% - Accent6 66 2 5 2" xfId="17749" xr:uid="{00000000-0005-0000-0000-0000C5460000}"/>
    <cellStyle name="40% - Accent6 66 2 6" xfId="15755" xr:uid="{00000000-0005-0000-0000-0000C6460000}"/>
    <cellStyle name="40% - Accent6 66 3" xfId="11446" xr:uid="{00000000-0005-0000-0000-0000C7460000}"/>
    <cellStyle name="40% - Accent6 66 3 2" xfId="22734" xr:uid="{00000000-0005-0000-0000-0000C8460000}"/>
    <cellStyle name="40% - Accent6 66 4" xfId="9452" xr:uid="{00000000-0005-0000-0000-0000C9460000}"/>
    <cellStyle name="40% - Accent6 66 4 2" xfId="20740" xr:uid="{00000000-0005-0000-0000-0000CA460000}"/>
    <cellStyle name="40% - Accent6 66 5" xfId="7458" xr:uid="{00000000-0005-0000-0000-0000CB460000}"/>
    <cellStyle name="40% - Accent6 66 5 2" xfId="18746" xr:uid="{00000000-0005-0000-0000-0000CC460000}"/>
    <cellStyle name="40% - Accent6 66 6" xfId="5464" xr:uid="{00000000-0005-0000-0000-0000CD460000}"/>
    <cellStyle name="40% - Accent6 66 6 2" xfId="16752" xr:uid="{00000000-0005-0000-0000-0000CE460000}"/>
    <cellStyle name="40% - Accent6 66 7" xfId="14758" xr:uid="{00000000-0005-0000-0000-0000CF460000}"/>
    <cellStyle name="40% - Accent6 66 8" xfId="13444" xr:uid="{00000000-0005-0000-0000-0000D0460000}"/>
    <cellStyle name="40% - Accent6 67" xfId="1509" xr:uid="{00000000-0005-0000-0000-0000D1460000}"/>
    <cellStyle name="40% - Accent6 67 2" xfId="4465" xr:uid="{00000000-0005-0000-0000-0000D2460000}"/>
    <cellStyle name="40% - Accent6 67 2 2" xfId="12444" xr:uid="{00000000-0005-0000-0000-0000D3460000}"/>
    <cellStyle name="40% - Accent6 67 2 2 2" xfId="23732" xr:uid="{00000000-0005-0000-0000-0000D4460000}"/>
    <cellStyle name="40% - Accent6 67 2 3" xfId="10450" xr:uid="{00000000-0005-0000-0000-0000D5460000}"/>
    <cellStyle name="40% - Accent6 67 2 3 2" xfId="21738" xr:uid="{00000000-0005-0000-0000-0000D6460000}"/>
    <cellStyle name="40% - Accent6 67 2 4" xfId="8456" xr:uid="{00000000-0005-0000-0000-0000D7460000}"/>
    <cellStyle name="40% - Accent6 67 2 4 2" xfId="19744" xr:uid="{00000000-0005-0000-0000-0000D8460000}"/>
    <cellStyle name="40% - Accent6 67 2 5" xfId="6462" xr:uid="{00000000-0005-0000-0000-0000D9460000}"/>
    <cellStyle name="40% - Accent6 67 2 5 2" xfId="17750" xr:uid="{00000000-0005-0000-0000-0000DA460000}"/>
    <cellStyle name="40% - Accent6 67 2 6" xfId="15756" xr:uid="{00000000-0005-0000-0000-0000DB460000}"/>
    <cellStyle name="40% - Accent6 67 3" xfId="11447" xr:uid="{00000000-0005-0000-0000-0000DC460000}"/>
    <cellStyle name="40% - Accent6 67 3 2" xfId="22735" xr:uid="{00000000-0005-0000-0000-0000DD460000}"/>
    <cellStyle name="40% - Accent6 67 4" xfId="9453" xr:uid="{00000000-0005-0000-0000-0000DE460000}"/>
    <cellStyle name="40% - Accent6 67 4 2" xfId="20741" xr:uid="{00000000-0005-0000-0000-0000DF460000}"/>
    <cellStyle name="40% - Accent6 67 5" xfId="7459" xr:uid="{00000000-0005-0000-0000-0000E0460000}"/>
    <cellStyle name="40% - Accent6 67 5 2" xfId="18747" xr:uid="{00000000-0005-0000-0000-0000E1460000}"/>
    <cellStyle name="40% - Accent6 67 6" xfId="5465" xr:uid="{00000000-0005-0000-0000-0000E2460000}"/>
    <cellStyle name="40% - Accent6 67 6 2" xfId="16753" xr:uid="{00000000-0005-0000-0000-0000E3460000}"/>
    <cellStyle name="40% - Accent6 67 7" xfId="14759" xr:uid="{00000000-0005-0000-0000-0000E4460000}"/>
    <cellStyle name="40% - Accent6 67 8" xfId="13445" xr:uid="{00000000-0005-0000-0000-0000E5460000}"/>
    <cellStyle name="40% - Accent6 68" xfId="1510" xr:uid="{00000000-0005-0000-0000-0000E6460000}"/>
    <cellStyle name="40% - Accent6 68 2" xfId="4466" xr:uid="{00000000-0005-0000-0000-0000E7460000}"/>
    <cellStyle name="40% - Accent6 68 2 2" xfId="12445" xr:uid="{00000000-0005-0000-0000-0000E8460000}"/>
    <cellStyle name="40% - Accent6 68 2 2 2" xfId="23733" xr:uid="{00000000-0005-0000-0000-0000E9460000}"/>
    <cellStyle name="40% - Accent6 68 2 3" xfId="10451" xr:uid="{00000000-0005-0000-0000-0000EA460000}"/>
    <cellStyle name="40% - Accent6 68 2 3 2" xfId="21739" xr:uid="{00000000-0005-0000-0000-0000EB460000}"/>
    <cellStyle name="40% - Accent6 68 2 4" xfId="8457" xr:uid="{00000000-0005-0000-0000-0000EC460000}"/>
    <cellStyle name="40% - Accent6 68 2 4 2" xfId="19745" xr:uid="{00000000-0005-0000-0000-0000ED460000}"/>
    <cellStyle name="40% - Accent6 68 2 5" xfId="6463" xr:uid="{00000000-0005-0000-0000-0000EE460000}"/>
    <cellStyle name="40% - Accent6 68 2 5 2" xfId="17751" xr:uid="{00000000-0005-0000-0000-0000EF460000}"/>
    <cellStyle name="40% - Accent6 68 2 6" xfId="15757" xr:uid="{00000000-0005-0000-0000-0000F0460000}"/>
    <cellStyle name="40% - Accent6 68 3" xfId="11448" xr:uid="{00000000-0005-0000-0000-0000F1460000}"/>
    <cellStyle name="40% - Accent6 68 3 2" xfId="22736" xr:uid="{00000000-0005-0000-0000-0000F2460000}"/>
    <cellStyle name="40% - Accent6 68 4" xfId="9454" xr:uid="{00000000-0005-0000-0000-0000F3460000}"/>
    <cellStyle name="40% - Accent6 68 4 2" xfId="20742" xr:uid="{00000000-0005-0000-0000-0000F4460000}"/>
    <cellStyle name="40% - Accent6 68 5" xfId="7460" xr:uid="{00000000-0005-0000-0000-0000F5460000}"/>
    <cellStyle name="40% - Accent6 68 5 2" xfId="18748" xr:uid="{00000000-0005-0000-0000-0000F6460000}"/>
    <cellStyle name="40% - Accent6 68 6" xfId="5466" xr:uid="{00000000-0005-0000-0000-0000F7460000}"/>
    <cellStyle name="40% - Accent6 68 6 2" xfId="16754" xr:uid="{00000000-0005-0000-0000-0000F8460000}"/>
    <cellStyle name="40% - Accent6 68 7" xfId="14760" xr:uid="{00000000-0005-0000-0000-0000F9460000}"/>
    <cellStyle name="40% - Accent6 68 8" xfId="13446" xr:uid="{00000000-0005-0000-0000-0000FA460000}"/>
    <cellStyle name="40% - Accent6 69" xfId="1511" xr:uid="{00000000-0005-0000-0000-0000FB460000}"/>
    <cellStyle name="40% - Accent6 69 2" xfId="4467" xr:uid="{00000000-0005-0000-0000-0000FC460000}"/>
    <cellStyle name="40% - Accent6 69 2 2" xfId="12446" xr:uid="{00000000-0005-0000-0000-0000FD460000}"/>
    <cellStyle name="40% - Accent6 69 2 2 2" xfId="23734" xr:uid="{00000000-0005-0000-0000-0000FE460000}"/>
    <cellStyle name="40% - Accent6 69 2 3" xfId="10452" xr:uid="{00000000-0005-0000-0000-0000FF460000}"/>
    <cellStyle name="40% - Accent6 69 2 3 2" xfId="21740" xr:uid="{00000000-0005-0000-0000-000000470000}"/>
    <cellStyle name="40% - Accent6 69 2 4" xfId="8458" xr:uid="{00000000-0005-0000-0000-000001470000}"/>
    <cellStyle name="40% - Accent6 69 2 4 2" xfId="19746" xr:uid="{00000000-0005-0000-0000-000002470000}"/>
    <cellStyle name="40% - Accent6 69 2 5" xfId="6464" xr:uid="{00000000-0005-0000-0000-000003470000}"/>
    <cellStyle name="40% - Accent6 69 2 5 2" xfId="17752" xr:uid="{00000000-0005-0000-0000-000004470000}"/>
    <cellStyle name="40% - Accent6 69 2 6" xfId="15758" xr:uid="{00000000-0005-0000-0000-000005470000}"/>
    <cellStyle name="40% - Accent6 69 3" xfId="11449" xr:uid="{00000000-0005-0000-0000-000006470000}"/>
    <cellStyle name="40% - Accent6 69 3 2" xfId="22737" xr:uid="{00000000-0005-0000-0000-000007470000}"/>
    <cellStyle name="40% - Accent6 69 4" xfId="9455" xr:uid="{00000000-0005-0000-0000-000008470000}"/>
    <cellStyle name="40% - Accent6 69 4 2" xfId="20743" xr:uid="{00000000-0005-0000-0000-000009470000}"/>
    <cellStyle name="40% - Accent6 69 5" xfId="7461" xr:uid="{00000000-0005-0000-0000-00000A470000}"/>
    <cellStyle name="40% - Accent6 69 5 2" xfId="18749" xr:uid="{00000000-0005-0000-0000-00000B470000}"/>
    <cellStyle name="40% - Accent6 69 6" xfId="5467" xr:uid="{00000000-0005-0000-0000-00000C470000}"/>
    <cellStyle name="40% - Accent6 69 6 2" xfId="16755" xr:uid="{00000000-0005-0000-0000-00000D470000}"/>
    <cellStyle name="40% - Accent6 69 7" xfId="14761" xr:uid="{00000000-0005-0000-0000-00000E470000}"/>
    <cellStyle name="40% - Accent6 69 8" xfId="13447" xr:uid="{00000000-0005-0000-0000-00000F470000}"/>
    <cellStyle name="40% - Accent6 7" xfId="1512" xr:uid="{00000000-0005-0000-0000-000010470000}"/>
    <cellStyle name="40% - Accent6 7 10" xfId="24630" xr:uid="{00000000-0005-0000-0000-000011470000}"/>
    <cellStyle name="40% - Accent6 7 11" xfId="25020" xr:uid="{00000000-0005-0000-0000-000012470000}"/>
    <cellStyle name="40% - Accent6 7 2" xfId="4468" xr:uid="{00000000-0005-0000-0000-000013470000}"/>
    <cellStyle name="40% - Accent6 7 2 2" xfId="12447" xr:uid="{00000000-0005-0000-0000-000014470000}"/>
    <cellStyle name="40% - Accent6 7 2 2 2" xfId="23735" xr:uid="{00000000-0005-0000-0000-000015470000}"/>
    <cellStyle name="40% - Accent6 7 2 3" xfId="10453" xr:uid="{00000000-0005-0000-0000-000016470000}"/>
    <cellStyle name="40% - Accent6 7 2 3 2" xfId="21741" xr:uid="{00000000-0005-0000-0000-000017470000}"/>
    <cellStyle name="40% - Accent6 7 2 4" xfId="8459" xr:uid="{00000000-0005-0000-0000-000018470000}"/>
    <cellStyle name="40% - Accent6 7 2 4 2" xfId="19747" xr:uid="{00000000-0005-0000-0000-000019470000}"/>
    <cellStyle name="40% - Accent6 7 2 5" xfId="6465" xr:uid="{00000000-0005-0000-0000-00001A470000}"/>
    <cellStyle name="40% - Accent6 7 2 5 2" xfId="17753" xr:uid="{00000000-0005-0000-0000-00001B470000}"/>
    <cellStyle name="40% - Accent6 7 2 6" xfId="15759" xr:uid="{00000000-0005-0000-0000-00001C470000}"/>
    <cellStyle name="40% - Accent6 7 2 7" xfId="24391" xr:uid="{00000000-0005-0000-0000-00001D470000}"/>
    <cellStyle name="40% - Accent6 7 2 8" xfId="24855" xr:uid="{00000000-0005-0000-0000-00001E470000}"/>
    <cellStyle name="40% - Accent6 7 2 9" xfId="25222" xr:uid="{00000000-0005-0000-0000-00001F470000}"/>
    <cellStyle name="40% - Accent6 7 3" xfId="11450" xr:uid="{00000000-0005-0000-0000-000020470000}"/>
    <cellStyle name="40% - Accent6 7 3 2" xfId="22738" xr:uid="{00000000-0005-0000-0000-000021470000}"/>
    <cellStyle name="40% - Accent6 7 4" xfId="9456" xr:uid="{00000000-0005-0000-0000-000022470000}"/>
    <cellStyle name="40% - Accent6 7 4 2" xfId="20744" xr:uid="{00000000-0005-0000-0000-000023470000}"/>
    <cellStyle name="40% - Accent6 7 5" xfId="7462" xr:uid="{00000000-0005-0000-0000-000024470000}"/>
    <cellStyle name="40% - Accent6 7 5 2" xfId="18750" xr:uid="{00000000-0005-0000-0000-000025470000}"/>
    <cellStyle name="40% - Accent6 7 6" xfId="5468" xr:uid="{00000000-0005-0000-0000-000026470000}"/>
    <cellStyle name="40% - Accent6 7 6 2" xfId="16756" xr:uid="{00000000-0005-0000-0000-000027470000}"/>
    <cellStyle name="40% - Accent6 7 7" xfId="14762" xr:uid="{00000000-0005-0000-0000-000028470000}"/>
    <cellStyle name="40% - Accent6 7 8" xfId="13448" xr:uid="{00000000-0005-0000-0000-000029470000}"/>
    <cellStyle name="40% - Accent6 7 9" xfId="24003" xr:uid="{00000000-0005-0000-0000-00002A470000}"/>
    <cellStyle name="40% - Accent6 70" xfId="1513" xr:uid="{00000000-0005-0000-0000-00002B470000}"/>
    <cellStyle name="40% - Accent6 70 2" xfId="4469" xr:uid="{00000000-0005-0000-0000-00002C470000}"/>
    <cellStyle name="40% - Accent6 70 2 2" xfId="12448" xr:uid="{00000000-0005-0000-0000-00002D470000}"/>
    <cellStyle name="40% - Accent6 70 2 2 2" xfId="23736" xr:uid="{00000000-0005-0000-0000-00002E470000}"/>
    <cellStyle name="40% - Accent6 70 2 3" xfId="10454" xr:uid="{00000000-0005-0000-0000-00002F470000}"/>
    <cellStyle name="40% - Accent6 70 2 3 2" xfId="21742" xr:uid="{00000000-0005-0000-0000-000030470000}"/>
    <cellStyle name="40% - Accent6 70 2 4" xfId="8460" xr:uid="{00000000-0005-0000-0000-000031470000}"/>
    <cellStyle name="40% - Accent6 70 2 4 2" xfId="19748" xr:uid="{00000000-0005-0000-0000-000032470000}"/>
    <cellStyle name="40% - Accent6 70 2 5" xfId="6466" xr:uid="{00000000-0005-0000-0000-000033470000}"/>
    <cellStyle name="40% - Accent6 70 2 5 2" xfId="17754" xr:uid="{00000000-0005-0000-0000-000034470000}"/>
    <cellStyle name="40% - Accent6 70 2 6" xfId="15760" xr:uid="{00000000-0005-0000-0000-000035470000}"/>
    <cellStyle name="40% - Accent6 70 3" xfId="11451" xr:uid="{00000000-0005-0000-0000-000036470000}"/>
    <cellStyle name="40% - Accent6 70 3 2" xfId="22739" xr:uid="{00000000-0005-0000-0000-000037470000}"/>
    <cellStyle name="40% - Accent6 70 4" xfId="9457" xr:uid="{00000000-0005-0000-0000-000038470000}"/>
    <cellStyle name="40% - Accent6 70 4 2" xfId="20745" xr:uid="{00000000-0005-0000-0000-000039470000}"/>
    <cellStyle name="40% - Accent6 70 5" xfId="7463" xr:uid="{00000000-0005-0000-0000-00003A470000}"/>
    <cellStyle name="40% - Accent6 70 5 2" xfId="18751" xr:uid="{00000000-0005-0000-0000-00003B470000}"/>
    <cellStyle name="40% - Accent6 70 6" xfId="5469" xr:uid="{00000000-0005-0000-0000-00003C470000}"/>
    <cellStyle name="40% - Accent6 70 6 2" xfId="16757" xr:uid="{00000000-0005-0000-0000-00003D470000}"/>
    <cellStyle name="40% - Accent6 70 7" xfId="14763" xr:uid="{00000000-0005-0000-0000-00003E470000}"/>
    <cellStyle name="40% - Accent6 70 8" xfId="13449" xr:uid="{00000000-0005-0000-0000-00003F470000}"/>
    <cellStyle name="40% - Accent6 71" xfId="1514" xr:uid="{00000000-0005-0000-0000-000040470000}"/>
    <cellStyle name="40% - Accent6 71 2" xfId="4470" xr:uid="{00000000-0005-0000-0000-000041470000}"/>
    <cellStyle name="40% - Accent6 71 2 2" xfId="12449" xr:uid="{00000000-0005-0000-0000-000042470000}"/>
    <cellStyle name="40% - Accent6 71 2 2 2" xfId="23737" xr:uid="{00000000-0005-0000-0000-000043470000}"/>
    <cellStyle name="40% - Accent6 71 2 3" xfId="10455" xr:uid="{00000000-0005-0000-0000-000044470000}"/>
    <cellStyle name="40% - Accent6 71 2 3 2" xfId="21743" xr:uid="{00000000-0005-0000-0000-000045470000}"/>
    <cellStyle name="40% - Accent6 71 2 4" xfId="8461" xr:uid="{00000000-0005-0000-0000-000046470000}"/>
    <cellStyle name="40% - Accent6 71 2 4 2" xfId="19749" xr:uid="{00000000-0005-0000-0000-000047470000}"/>
    <cellStyle name="40% - Accent6 71 2 5" xfId="6467" xr:uid="{00000000-0005-0000-0000-000048470000}"/>
    <cellStyle name="40% - Accent6 71 2 5 2" xfId="17755" xr:uid="{00000000-0005-0000-0000-000049470000}"/>
    <cellStyle name="40% - Accent6 71 2 6" xfId="15761" xr:uid="{00000000-0005-0000-0000-00004A470000}"/>
    <cellStyle name="40% - Accent6 71 3" xfId="11452" xr:uid="{00000000-0005-0000-0000-00004B470000}"/>
    <cellStyle name="40% - Accent6 71 3 2" xfId="22740" xr:uid="{00000000-0005-0000-0000-00004C470000}"/>
    <cellStyle name="40% - Accent6 71 4" xfId="9458" xr:uid="{00000000-0005-0000-0000-00004D470000}"/>
    <cellStyle name="40% - Accent6 71 4 2" xfId="20746" xr:uid="{00000000-0005-0000-0000-00004E470000}"/>
    <cellStyle name="40% - Accent6 71 5" xfId="7464" xr:uid="{00000000-0005-0000-0000-00004F470000}"/>
    <cellStyle name="40% - Accent6 71 5 2" xfId="18752" xr:uid="{00000000-0005-0000-0000-000050470000}"/>
    <cellStyle name="40% - Accent6 71 6" xfId="5470" xr:uid="{00000000-0005-0000-0000-000051470000}"/>
    <cellStyle name="40% - Accent6 71 6 2" xfId="16758" xr:uid="{00000000-0005-0000-0000-000052470000}"/>
    <cellStyle name="40% - Accent6 71 7" xfId="14764" xr:uid="{00000000-0005-0000-0000-000053470000}"/>
    <cellStyle name="40% - Accent6 71 8" xfId="13450" xr:uid="{00000000-0005-0000-0000-000054470000}"/>
    <cellStyle name="40% - Accent6 72" xfId="1515" xr:uid="{00000000-0005-0000-0000-000055470000}"/>
    <cellStyle name="40% - Accent6 72 2" xfId="4471" xr:uid="{00000000-0005-0000-0000-000056470000}"/>
    <cellStyle name="40% - Accent6 72 2 2" xfId="12450" xr:uid="{00000000-0005-0000-0000-000057470000}"/>
    <cellStyle name="40% - Accent6 72 2 2 2" xfId="23738" xr:uid="{00000000-0005-0000-0000-000058470000}"/>
    <cellStyle name="40% - Accent6 72 2 3" xfId="10456" xr:uid="{00000000-0005-0000-0000-000059470000}"/>
    <cellStyle name="40% - Accent6 72 2 3 2" xfId="21744" xr:uid="{00000000-0005-0000-0000-00005A470000}"/>
    <cellStyle name="40% - Accent6 72 2 4" xfId="8462" xr:uid="{00000000-0005-0000-0000-00005B470000}"/>
    <cellStyle name="40% - Accent6 72 2 4 2" xfId="19750" xr:uid="{00000000-0005-0000-0000-00005C470000}"/>
    <cellStyle name="40% - Accent6 72 2 5" xfId="6468" xr:uid="{00000000-0005-0000-0000-00005D470000}"/>
    <cellStyle name="40% - Accent6 72 2 5 2" xfId="17756" xr:uid="{00000000-0005-0000-0000-00005E470000}"/>
    <cellStyle name="40% - Accent6 72 2 6" xfId="15762" xr:uid="{00000000-0005-0000-0000-00005F470000}"/>
    <cellStyle name="40% - Accent6 72 3" xfId="11453" xr:uid="{00000000-0005-0000-0000-000060470000}"/>
    <cellStyle name="40% - Accent6 72 3 2" xfId="22741" xr:uid="{00000000-0005-0000-0000-000061470000}"/>
    <cellStyle name="40% - Accent6 72 4" xfId="9459" xr:uid="{00000000-0005-0000-0000-000062470000}"/>
    <cellStyle name="40% - Accent6 72 4 2" xfId="20747" xr:uid="{00000000-0005-0000-0000-000063470000}"/>
    <cellStyle name="40% - Accent6 72 5" xfId="7465" xr:uid="{00000000-0005-0000-0000-000064470000}"/>
    <cellStyle name="40% - Accent6 72 5 2" xfId="18753" xr:uid="{00000000-0005-0000-0000-000065470000}"/>
    <cellStyle name="40% - Accent6 72 6" xfId="5471" xr:uid="{00000000-0005-0000-0000-000066470000}"/>
    <cellStyle name="40% - Accent6 72 6 2" xfId="16759" xr:uid="{00000000-0005-0000-0000-000067470000}"/>
    <cellStyle name="40% - Accent6 72 7" xfId="14765" xr:uid="{00000000-0005-0000-0000-000068470000}"/>
    <cellStyle name="40% - Accent6 72 8" xfId="13451" xr:uid="{00000000-0005-0000-0000-000069470000}"/>
    <cellStyle name="40% - Accent6 8" xfId="1516" xr:uid="{00000000-0005-0000-0000-00006A470000}"/>
    <cellStyle name="40% - Accent6 8 2" xfId="4472" xr:uid="{00000000-0005-0000-0000-00006B470000}"/>
    <cellStyle name="40% - Accent6 8 2 2" xfId="12451" xr:uid="{00000000-0005-0000-0000-00006C470000}"/>
    <cellStyle name="40% - Accent6 8 2 2 2" xfId="23739" xr:uid="{00000000-0005-0000-0000-00006D470000}"/>
    <cellStyle name="40% - Accent6 8 2 3" xfId="10457" xr:uid="{00000000-0005-0000-0000-00006E470000}"/>
    <cellStyle name="40% - Accent6 8 2 3 2" xfId="21745" xr:uid="{00000000-0005-0000-0000-00006F470000}"/>
    <cellStyle name="40% - Accent6 8 2 4" xfId="8463" xr:uid="{00000000-0005-0000-0000-000070470000}"/>
    <cellStyle name="40% - Accent6 8 2 4 2" xfId="19751" xr:uid="{00000000-0005-0000-0000-000071470000}"/>
    <cellStyle name="40% - Accent6 8 2 5" xfId="6469" xr:uid="{00000000-0005-0000-0000-000072470000}"/>
    <cellStyle name="40% - Accent6 8 2 5 2" xfId="17757" xr:uid="{00000000-0005-0000-0000-000073470000}"/>
    <cellStyle name="40% - Accent6 8 2 6" xfId="15763" xr:uid="{00000000-0005-0000-0000-000074470000}"/>
    <cellStyle name="40% - Accent6 8 3" xfId="11454" xr:uid="{00000000-0005-0000-0000-000075470000}"/>
    <cellStyle name="40% - Accent6 8 3 2" xfId="22742" xr:uid="{00000000-0005-0000-0000-000076470000}"/>
    <cellStyle name="40% - Accent6 8 4" xfId="9460" xr:uid="{00000000-0005-0000-0000-000077470000}"/>
    <cellStyle name="40% - Accent6 8 4 2" xfId="20748" xr:uid="{00000000-0005-0000-0000-000078470000}"/>
    <cellStyle name="40% - Accent6 8 5" xfId="7466" xr:uid="{00000000-0005-0000-0000-000079470000}"/>
    <cellStyle name="40% - Accent6 8 5 2" xfId="18754" xr:uid="{00000000-0005-0000-0000-00007A470000}"/>
    <cellStyle name="40% - Accent6 8 6" xfId="5472" xr:uid="{00000000-0005-0000-0000-00007B470000}"/>
    <cellStyle name="40% - Accent6 8 6 2" xfId="16760" xr:uid="{00000000-0005-0000-0000-00007C470000}"/>
    <cellStyle name="40% - Accent6 8 7" xfId="14766" xr:uid="{00000000-0005-0000-0000-00007D470000}"/>
    <cellStyle name="40% - Accent6 8 8" xfId="13452" xr:uid="{00000000-0005-0000-0000-00007E470000}"/>
    <cellStyle name="40% - Accent6 9" xfId="1517" xr:uid="{00000000-0005-0000-0000-00007F470000}"/>
    <cellStyle name="40% - Accent6 9 2" xfId="4473" xr:uid="{00000000-0005-0000-0000-000080470000}"/>
    <cellStyle name="40% - Accent6 9 2 2" xfId="12452" xr:uid="{00000000-0005-0000-0000-000081470000}"/>
    <cellStyle name="40% - Accent6 9 2 2 2" xfId="23740" xr:uid="{00000000-0005-0000-0000-000082470000}"/>
    <cellStyle name="40% - Accent6 9 2 3" xfId="10458" xr:uid="{00000000-0005-0000-0000-000083470000}"/>
    <cellStyle name="40% - Accent6 9 2 3 2" xfId="21746" xr:uid="{00000000-0005-0000-0000-000084470000}"/>
    <cellStyle name="40% - Accent6 9 2 4" xfId="8464" xr:uid="{00000000-0005-0000-0000-000085470000}"/>
    <cellStyle name="40% - Accent6 9 2 4 2" xfId="19752" xr:uid="{00000000-0005-0000-0000-000086470000}"/>
    <cellStyle name="40% - Accent6 9 2 5" xfId="6470" xr:uid="{00000000-0005-0000-0000-000087470000}"/>
    <cellStyle name="40% - Accent6 9 2 5 2" xfId="17758" xr:uid="{00000000-0005-0000-0000-000088470000}"/>
    <cellStyle name="40% - Accent6 9 2 6" xfId="15764" xr:uid="{00000000-0005-0000-0000-000089470000}"/>
    <cellStyle name="40% - Accent6 9 3" xfId="11455" xr:uid="{00000000-0005-0000-0000-00008A470000}"/>
    <cellStyle name="40% - Accent6 9 3 2" xfId="22743" xr:uid="{00000000-0005-0000-0000-00008B470000}"/>
    <cellStyle name="40% - Accent6 9 4" xfId="9461" xr:uid="{00000000-0005-0000-0000-00008C470000}"/>
    <cellStyle name="40% - Accent6 9 4 2" xfId="20749" xr:uid="{00000000-0005-0000-0000-00008D470000}"/>
    <cellStyle name="40% - Accent6 9 5" xfId="7467" xr:uid="{00000000-0005-0000-0000-00008E470000}"/>
    <cellStyle name="40% - Accent6 9 5 2" xfId="18755" xr:uid="{00000000-0005-0000-0000-00008F470000}"/>
    <cellStyle name="40% - Accent6 9 6" xfId="5473" xr:uid="{00000000-0005-0000-0000-000090470000}"/>
    <cellStyle name="40% - Accent6 9 6 2" xfId="16761" xr:uid="{00000000-0005-0000-0000-000091470000}"/>
    <cellStyle name="40% - Accent6 9 7" xfId="14767" xr:uid="{00000000-0005-0000-0000-000092470000}"/>
    <cellStyle name="40% - Accent6 9 8" xfId="13453" xr:uid="{00000000-0005-0000-0000-000093470000}"/>
    <cellStyle name="60% - Accent1 10" xfId="1518" xr:uid="{00000000-0005-0000-0000-000094470000}"/>
    <cellStyle name="60% - Accent1 11" xfId="1519" xr:uid="{00000000-0005-0000-0000-000095470000}"/>
    <cellStyle name="60% - Accent1 12" xfId="1520" xr:uid="{00000000-0005-0000-0000-000096470000}"/>
    <cellStyle name="60% - Accent1 13" xfId="1521" xr:uid="{00000000-0005-0000-0000-000097470000}"/>
    <cellStyle name="60% - Accent1 14" xfId="1522" xr:uid="{00000000-0005-0000-0000-000098470000}"/>
    <cellStyle name="60% - Accent1 15" xfId="1523" xr:uid="{00000000-0005-0000-0000-000099470000}"/>
    <cellStyle name="60% - Accent1 16" xfId="1524" xr:uid="{00000000-0005-0000-0000-00009A470000}"/>
    <cellStyle name="60% - Accent1 17" xfId="1525" xr:uid="{00000000-0005-0000-0000-00009B470000}"/>
    <cellStyle name="60% - Accent1 18" xfId="1526" xr:uid="{00000000-0005-0000-0000-00009C470000}"/>
    <cellStyle name="60% - Accent1 19" xfId="1527" xr:uid="{00000000-0005-0000-0000-00009D470000}"/>
    <cellStyle name="60% - Accent1 2" xfId="1528" xr:uid="{00000000-0005-0000-0000-00009E470000}"/>
    <cellStyle name="60% - Accent1 20" xfId="1529" xr:uid="{00000000-0005-0000-0000-00009F470000}"/>
    <cellStyle name="60% - Accent1 21" xfId="1530" xr:uid="{00000000-0005-0000-0000-0000A0470000}"/>
    <cellStyle name="60% - Accent1 22" xfId="1531" xr:uid="{00000000-0005-0000-0000-0000A1470000}"/>
    <cellStyle name="60% - Accent1 23" xfId="1532" xr:uid="{00000000-0005-0000-0000-0000A2470000}"/>
    <cellStyle name="60% - Accent1 24" xfId="1533" xr:uid="{00000000-0005-0000-0000-0000A3470000}"/>
    <cellStyle name="60% - Accent1 25" xfId="1534" xr:uid="{00000000-0005-0000-0000-0000A4470000}"/>
    <cellStyle name="60% - Accent1 26" xfId="1535" xr:uid="{00000000-0005-0000-0000-0000A5470000}"/>
    <cellStyle name="60% - Accent1 27" xfId="1536" xr:uid="{00000000-0005-0000-0000-0000A6470000}"/>
    <cellStyle name="60% - Accent1 28" xfId="1537" xr:uid="{00000000-0005-0000-0000-0000A7470000}"/>
    <cellStyle name="60% - Accent1 29" xfId="1538" xr:uid="{00000000-0005-0000-0000-0000A8470000}"/>
    <cellStyle name="60% - Accent1 3" xfId="1539" xr:uid="{00000000-0005-0000-0000-0000A9470000}"/>
    <cellStyle name="60% - Accent1 30" xfId="1540" xr:uid="{00000000-0005-0000-0000-0000AA470000}"/>
    <cellStyle name="60% - Accent1 31" xfId="1541" xr:uid="{00000000-0005-0000-0000-0000AB470000}"/>
    <cellStyle name="60% - Accent1 32" xfId="1542" xr:uid="{00000000-0005-0000-0000-0000AC470000}"/>
    <cellStyle name="60% - Accent1 33" xfId="1543" xr:uid="{00000000-0005-0000-0000-0000AD470000}"/>
    <cellStyle name="60% - Accent1 34" xfId="1544" xr:uid="{00000000-0005-0000-0000-0000AE470000}"/>
    <cellStyle name="60% - Accent1 35" xfId="1545" xr:uid="{00000000-0005-0000-0000-0000AF470000}"/>
    <cellStyle name="60% - Accent1 36" xfId="1546" xr:uid="{00000000-0005-0000-0000-0000B0470000}"/>
    <cellStyle name="60% - Accent1 37" xfId="1547" xr:uid="{00000000-0005-0000-0000-0000B1470000}"/>
    <cellStyle name="60% - Accent1 38" xfId="1548" xr:uid="{00000000-0005-0000-0000-0000B2470000}"/>
    <cellStyle name="60% - Accent1 39" xfId="1549" xr:uid="{00000000-0005-0000-0000-0000B3470000}"/>
    <cellStyle name="60% - Accent1 4" xfId="1550" xr:uid="{00000000-0005-0000-0000-0000B4470000}"/>
    <cellStyle name="60% - Accent1 40" xfId="1551" xr:uid="{00000000-0005-0000-0000-0000B5470000}"/>
    <cellStyle name="60% - Accent1 41" xfId="1552" xr:uid="{00000000-0005-0000-0000-0000B6470000}"/>
    <cellStyle name="60% - Accent1 42" xfId="1553" xr:uid="{00000000-0005-0000-0000-0000B7470000}"/>
    <cellStyle name="60% - Accent1 43" xfId="1554" xr:uid="{00000000-0005-0000-0000-0000B8470000}"/>
    <cellStyle name="60% - Accent1 44" xfId="1555" xr:uid="{00000000-0005-0000-0000-0000B9470000}"/>
    <cellStyle name="60% - Accent1 45" xfId="1556" xr:uid="{00000000-0005-0000-0000-0000BA470000}"/>
    <cellStyle name="60% - Accent1 46" xfId="1557" xr:uid="{00000000-0005-0000-0000-0000BB470000}"/>
    <cellStyle name="60% - Accent1 47" xfId="1558" xr:uid="{00000000-0005-0000-0000-0000BC470000}"/>
    <cellStyle name="60% - Accent1 48" xfId="1559" xr:uid="{00000000-0005-0000-0000-0000BD470000}"/>
    <cellStyle name="60% - Accent1 49" xfId="1560" xr:uid="{00000000-0005-0000-0000-0000BE470000}"/>
    <cellStyle name="60% - Accent1 5" xfId="1561" xr:uid="{00000000-0005-0000-0000-0000BF470000}"/>
    <cellStyle name="60% - Accent1 50" xfId="1562" xr:uid="{00000000-0005-0000-0000-0000C0470000}"/>
    <cellStyle name="60% - Accent1 51" xfId="1563" xr:uid="{00000000-0005-0000-0000-0000C1470000}"/>
    <cellStyle name="60% - Accent1 52" xfId="1564" xr:uid="{00000000-0005-0000-0000-0000C2470000}"/>
    <cellStyle name="60% - Accent1 53" xfId="1565" xr:uid="{00000000-0005-0000-0000-0000C3470000}"/>
    <cellStyle name="60% - Accent1 54" xfId="1566" xr:uid="{00000000-0005-0000-0000-0000C4470000}"/>
    <cellStyle name="60% - Accent1 55" xfId="1567" xr:uid="{00000000-0005-0000-0000-0000C5470000}"/>
    <cellStyle name="60% - Accent1 56" xfId="1568" xr:uid="{00000000-0005-0000-0000-0000C6470000}"/>
    <cellStyle name="60% - Accent1 57" xfId="1569" xr:uid="{00000000-0005-0000-0000-0000C7470000}"/>
    <cellStyle name="60% - Accent1 58" xfId="1570" xr:uid="{00000000-0005-0000-0000-0000C8470000}"/>
    <cellStyle name="60% - Accent1 59" xfId="1571" xr:uid="{00000000-0005-0000-0000-0000C9470000}"/>
    <cellStyle name="60% - Accent1 6" xfId="1572" xr:uid="{00000000-0005-0000-0000-0000CA470000}"/>
    <cellStyle name="60% - Accent1 60" xfId="1573" xr:uid="{00000000-0005-0000-0000-0000CB470000}"/>
    <cellStyle name="60% - Accent1 61" xfId="1574" xr:uid="{00000000-0005-0000-0000-0000CC470000}"/>
    <cellStyle name="60% - Accent1 62" xfId="1575" xr:uid="{00000000-0005-0000-0000-0000CD470000}"/>
    <cellStyle name="60% - Accent1 63" xfId="1576" xr:uid="{00000000-0005-0000-0000-0000CE470000}"/>
    <cellStyle name="60% - Accent1 64" xfId="1577" xr:uid="{00000000-0005-0000-0000-0000CF470000}"/>
    <cellStyle name="60% - Accent1 65" xfId="1578" xr:uid="{00000000-0005-0000-0000-0000D0470000}"/>
    <cellStyle name="60% - Accent1 66" xfId="1579" xr:uid="{00000000-0005-0000-0000-0000D1470000}"/>
    <cellStyle name="60% - Accent1 67" xfId="1580" xr:uid="{00000000-0005-0000-0000-0000D2470000}"/>
    <cellStyle name="60% - Accent1 68" xfId="1581" xr:uid="{00000000-0005-0000-0000-0000D3470000}"/>
    <cellStyle name="60% - Accent1 69" xfId="1582" xr:uid="{00000000-0005-0000-0000-0000D4470000}"/>
    <cellStyle name="60% - Accent1 7" xfId="1583" xr:uid="{00000000-0005-0000-0000-0000D5470000}"/>
    <cellStyle name="60% - Accent1 70" xfId="1584" xr:uid="{00000000-0005-0000-0000-0000D6470000}"/>
    <cellStyle name="60% - Accent1 71" xfId="1585" xr:uid="{00000000-0005-0000-0000-0000D7470000}"/>
    <cellStyle name="60% - Accent1 72" xfId="1586" xr:uid="{00000000-0005-0000-0000-0000D8470000}"/>
    <cellStyle name="60% - Accent1 8" xfId="1587" xr:uid="{00000000-0005-0000-0000-0000D9470000}"/>
    <cellStyle name="60% - Accent1 9" xfId="1588" xr:uid="{00000000-0005-0000-0000-0000DA470000}"/>
    <cellStyle name="60% - Accent2 10" xfId="1589" xr:uid="{00000000-0005-0000-0000-0000DB470000}"/>
    <cellStyle name="60% - Accent2 11" xfId="1590" xr:uid="{00000000-0005-0000-0000-0000DC470000}"/>
    <cellStyle name="60% - Accent2 12" xfId="1591" xr:uid="{00000000-0005-0000-0000-0000DD470000}"/>
    <cellStyle name="60% - Accent2 13" xfId="1592" xr:uid="{00000000-0005-0000-0000-0000DE470000}"/>
    <cellStyle name="60% - Accent2 14" xfId="1593" xr:uid="{00000000-0005-0000-0000-0000DF470000}"/>
    <cellStyle name="60% - Accent2 15" xfId="1594" xr:uid="{00000000-0005-0000-0000-0000E0470000}"/>
    <cellStyle name="60% - Accent2 16" xfId="1595" xr:uid="{00000000-0005-0000-0000-0000E1470000}"/>
    <cellStyle name="60% - Accent2 17" xfId="1596" xr:uid="{00000000-0005-0000-0000-0000E2470000}"/>
    <cellStyle name="60% - Accent2 18" xfId="1597" xr:uid="{00000000-0005-0000-0000-0000E3470000}"/>
    <cellStyle name="60% - Accent2 19" xfId="1598" xr:uid="{00000000-0005-0000-0000-0000E4470000}"/>
    <cellStyle name="60% - Accent2 2" xfId="1599" xr:uid="{00000000-0005-0000-0000-0000E5470000}"/>
    <cellStyle name="60% - Accent2 20" xfId="1600" xr:uid="{00000000-0005-0000-0000-0000E6470000}"/>
    <cellStyle name="60% - Accent2 21" xfId="1601" xr:uid="{00000000-0005-0000-0000-0000E7470000}"/>
    <cellStyle name="60% - Accent2 22" xfId="1602" xr:uid="{00000000-0005-0000-0000-0000E8470000}"/>
    <cellStyle name="60% - Accent2 23" xfId="1603" xr:uid="{00000000-0005-0000-0000-0000E9470000}"/>
    <cellStyle name="60% - Accent2 24" xfId="1604" xr:uid="{00000000-0005-0000-0000-0000EA470000}"/>
    <cellStyle name="60% - Accent2 25" xfId="1605" xr:uid="{00000000-0005-0000-0000-0000EB470000}"/>
    <cellStyle name="60% - Accent2 26" xfId="1606" xr:uid="{00000000-0005-0000-0000-0000EC470000}"/>
    <cellStyle name="60% - Accent2 27" xfId="1607" xr:uid="{00000000-0005-0000-0000-0000ED470000}"/>
    <cellStyle name="60% - Accent2 28" xfId="1608" xr:uid="{00000000-0005-0000-0000-0000EE470000}"/>
    <cellStyle name="60% - Accent2 29" xfId="1609" xr:uid="{00000000-0005-0000-0000-0000EF470000}"/>
    <cellStyle name="60% - Accent2 3" xfId="1610" xr:uid="{00000000-0005-0000-0000-0000F0470000}"/>
    <cellStyle name="60% - Accent2 30" xfId="1611" xr:uid="{00000000-0005-0000-0000-0000F1470000}"/>
    <cellStyle name="60% - Accent2 31" xfId="1612" xr:uid="{00000000-0005-0000-0000-0000F2470000}"/>
    <cellStyle name="60% - Accent2 32" xfId="1613" xr:uid="{00000000-0005-0000-0000-0000F3470000}"/>
    <cellStyle name="60% - Accent2 33" xfId="1614" xr:uid="{00000000-0005-0000-0000-0000F4470000}"/>
    <cellStyle name="60% - Accent2 34" xfId="1615" xr:uid="{00000000-0005-0000-0000-0000F5470000}"/>
    <cellStyle name="60% - Accent2 35" xfId="1616" xr:uid="{00000000-0005-0000-0000-0000F6470000}"/>
    <cellStyle name="60% - Accent2 36" xfId="1617" xr:uid="{00000000-0005-0000-0000-0000F7470000}"/>
    <cellStyle name="60% - Accent2 37" xfId="1618" xr:uid="{00000000-0005-0000-0000-0000F8470000}"/>
    <cellStyle name="60% - Accent2 38" xfId="1619" xr:uid="{00000000-0005-0000-0000-0000F9470000}"/>
    <cellStyle name="60% - Accent2 39" xfId="1620" xr:uid="{00000000-0005-0000-0000-0000FA470000}"/>
    <cellStyle name="60% - Accent2 4" xfId="1621" xr:uid="{00000000-0005-0000-0000-0000FB470000}"/>
    <cellStyle name="60% - Accent2 40" xfId="1622" xr:uid="{00000000-0005-0000-0000-0000FC470000}"/>
    <cellStyle name="60% - Accent2 41" xfId="1623" xr:uid="{00000000-0005-0000-0000-0000FD470000}"/>
    <cellStyle name="60% - Accent2 42" xfId="1624" xr:uid="{00000000-0005-0000-0000-0000FE470000}"/>
    <cellStyle name="60% - Accent2 43" xfId="1625" xr:uid="{00000000-0005-0000-0000-0000FF470000}"/>
    <cellStyle name="60% - Accent2 44" xfId="1626" xr:uid="{00000000-0005-0000-0000-000000480000}"/>
    <cellStyle name="60% - Accent2 45" xfId="1627" xr:uid="{00000000-0005-0000-0000-000001480000}"/>
    <cellStyle name="60% - Accent2 46" xfId="1628" xr:uid="{00000000-0005-0000-0000-000002480000}"/>
    <cellStyle name="60% - Accent2 47" xfId="1629" xr:uid="{00000000-0005-0000-0000-000003480000}"/>
    <cellStyle name="60% - Accent2 48" xfId="1630" xr:uid="{00000000-0005-0000-0000-000004480000}"/>
    <cellStyle name="60% - Accent2 49" xfId="1631" xr:uid="{00000000-0005-0000-0000-000005480000}"/>
    <cellStyle name="60% - Accent2 5" xfId="1632" xr:uid="{00000000-0005-0000-0000-000006480000}"/>
    <cellStyle name="60% - Accent2 50" xfId="1633" xr:uid="{00000000-0005-0000-0000-000007480000}"/>
    <cellStyle name="60% - Accent2 51" xfId="1634" xr:uid="{00000000-0005-0000-0000-000008480000}"/>
    <cellStyle name="60% - Accent2 52" xfId="1635" xr:uid="{00000000-0005-0000-0000-000009480000}"/>
    <cellStyle name="60% - Accent2 53" xfId="1636" xr:uid="{00000000-0005-0000-0000-00000A480000}"/>
    <cellStyle name="60% - Accent2 54" xfId="1637" xr:uid="{00000000-0005-0000-0000-00000B480000}"/>
    <cellStyle name="60% - Accent2 55" xfId="1638" xr:uid="{00000000-0005-0000-0000-00000C480000}"/>
    <cellStyle name="60% - Accent2 56" xfId="1639" xr:uid="{00000000-0005-0000-0000-00000D480000}"/>
    <cellStyle name="60% - Accent2 57" xfId="1640" xr:uid="{00000000-0005-0000-0000-00000E480000}"/>
    <cellStyle name="60% - Accent2 58" xfId="1641" xr:uid="{00000000-0005-0000-0000-00000F480000}"/>
    <cellStyle name="60% - Accent2 59" xfId="1642" xr:uid="{00000000-0005-0000-0000-000010480000}"/>
    <cellStyle name="60% - Accent2 6" xfId="1643" xr:uid="{00000000-0005-0000-0000-000011480000}"/>
    <cellStyle name="60% - Accent2 60" xfId="1644" xr:uid="{00000000-0005-0000-0000-000012480000}"/>
    <cellStyle name="60% - Accent2 61" xfId="1645" xr:uid="{00000000-0005-0000-0000-000013480000}"/>
    <cellStyle name="60% - Accent2 62" xfId="1646" xr:uid="{00000000-0005-0000-0000-000014480000}"/>
    <cellStyle name="60% - Accent2 63" xfId="1647" xr:uid="{00000000-0005-0000-0000-000015480000}"/>
    <cellStyle name="60% - Accent2 64" xfId="1648" xr:uid="{00000000-0005-0000-0000-000016480000}"/>
    <cellStyle name="60% - Accent2 65" xfId="1649" xr:uid="{00000000-0005-0000-0000-000017480000}"/>
    <cellStyle name="60% - Accent2 66" xfId="1650" xr:uid="{00000000-0005-0000-0000-000018480000}"/>
    <cellStyle name="60% - Accent2 67" xfId="1651" xr:uid="{00000000-0005-0000-0000-000019480000}"/>
    <cellStyle name="60% - Accent2 68" xfId="1652" xr:uid="{00000000-0005-0000-0000-00001A480000}"/>
    <cellStyle name="60% - Accent2 69" xfId="1653" xr:uid="{00000000-0005-0000-0000-00001B480000}"/>
    <cellStyle name="60% - Accent2 7" xfId="1654" xr:uid="{00000000-0005-0000-0000-00001C480000}"/>
    <cellStyle name="60% - Accent2 70" xfId="1655" xr:uid="{00000000-0005-0000-0000-00001D480000}"/>
    <cellStyle name="60% - Accent2 71" xfId="1656" xr:uid="{00000000-0005-0000-0000-00001E480000}"/>
    <cellStyle name="60% - Accent2 72" xfId="1657" xr:uid="{00000000-0005-0000-0000-00001F480000}"/>
    <cellStyle name="60% - Accent2 8" xfId="1658" xr:uid="{00000000-0005-0000-0000-000020480000}"/>
    <cellStyle name="60% - Accent2 9" xfId="1659" xr:uid="{00000000-0005-0000-0000-000021480000}"/>
    <cellStyle name="60% - Accent3 10" xfId="1660" xr:uid="{00000000-0005-0000-0000-000022480000}"/>
    <cellStyle name="60% - Accent3 11" xfId="1661" xr:uid="{00000000-0005-0000-0000-000023480000}"/>
    <cellStyle name="60% - Accent3 12" xfId="1662" xr:uid="{00000000-0005-0000-0000-000024480000}"/>
    <cellStyle name="60% - Accent3 13" xfId="1663" xr:uid="{00000000-0005-0000-0000-000025480000}"/>
    <cellStyle name="60% - Accent3 14" xfId="1664" xr:uid="{00000000-0005-0000-0000-000026480000}"/>
    <cellStyle name="60% - Accent3 15" xfId="1665" xr:uid="{00000000-0005-0000-0000-000027480000}"/>
    <cellStyle name="60% - Accent3 16" xfId="1666" xr:uid="{00000000-0005-0000-0000-000028480000}"/>
    <cellStyle name="60% - Accent3 17" xfId="1667" xr:uid="{00000000-0005-0000-0000-000029480000}"/>
    <cellStyle name="60% - Accent3 18" xfId="1668" xr:uid="{00000000-0005-0000-0000-00002A480000}"/>
    <cellStyle name="60% - Accent3 19" xfId="1669" xr:uid="{00000000-0005-0000-0000-00002B480000}"/>
    <cellStyle name="60% - Accent3 2" xfId="1670" xr:uid="{00000000-0005-0000-0000-00002C480000}"/>
    <cellStyle name="60% - Accent3 20" xfId="1671" xr:uid="{00000000-0005-0000-0000-00002D480000}"/>
    <cellStyle name="60% - Accent3 21" xfId="1672" xr:uid="{00000000-0005-0000-0000-00002E480000}"/>
    <cellStyle name="60% - Accent3 22" xfId="1673" xr:uid="{00000000-0005-0000-0000-00002F480000}"/>
    <cellStyle name="60% - Accent3 23" xfId="1674" xr:uid="{00000000-0005-0000-0000-000030480000}"/>
    <cellStyle name="60% - Accent3 24" xfId="1675" xr:uid="{00000000-0005-0000-0000-000031480000}"/>
    <cellStyle name="60% - Accent3 25" xfId="1676" xr:uid="{00000000-0005-0000-0000-000032480000}"/>
    <cellStyle name="60% - Accent3 26" xfId="1677" xr:uid="{00000000-0005-0000-0000-000033480000}"/>
    <cellStyle name="60% - Accent3 27" xfId="1678" xr:uid="{00000000-0005-0000-0000-000034480000}"/>
    <cellStyle name="60% - Accent3 28" xfId="1679" xr:uid="{00000000-0005-0000-0000-000035480000}"/>
    <cellStyle name="60% - Accent3 29" xfId="1680" xr:uid="{00000000-0005-0000-0000-000036480000}"/>
    <cellStyle name="60% - Accent3 3" xfId="1681" xr:uid="{00000000-0005-0000-0000-000037480000}"/>
    <cellStyle name="60% - Accent3 30" xfId="1682" xr:uid="{00000000-0005-0000-0000-000038480000}"/>
    <cellStyle name="60% - Accent3 31" xfId="1683" xr:uid="{00000000-0005-0000-0000-000039480000}"/>
    <cellStyle name="60% - Accent3 32" xfId="1684" xr:uid="{00000000-0005-0000-0000-00003A480000}"/>
    <cellStyle name="60% - Accent3 33" xfId="1685" xr:uid="{00000000-0005-0000-0000-00003B480000}"/>
    <cellStyle name="60% - Accent3 34" xfId="1686" xr:uid="{00000000-0005-0000-0000-00003C480000}"/>
    <cellStyle name="60% - Accent3 35" xfId="1687" xr:uid="{00000000-0005-0000-0000-00003D480000}"/>
    <cellStyle name="60% - Accent3 36" xfId="1688" xr:uid="{00000000-0005-0000-0000-00003E480000}"/>
    <cellStyle name="60% - Accent3 37" xfId="1689" xr:uid="{00000000-0005-0000-0000-00003F480000}"/>
    <cellStyle name="60% - Accent3 38" xfId="1690" xr:uid="{00000000-0005-0000-0000-000040480000}"/>
    <cellStyle name="60% - Accent3 39" xfId="1691" xr:uid="{00000000-0005-0000-0000-000041480000}"/>
    <cellStyle name="60% - Accent3 4" xfId="1692" xr:uid="{00000000-0005-0000-0000-000042480000}"/>
    <cellStyle name="60% - Accent3 40" xfId="1693" xr:uid="{00000000-0005-0000-0000-000043480000}"/>
    <cellStyle name="60% - Accent3 41" xfId="1694" xr:uid="{00000000-0005-0000-0000-000044480000}"/>
    <cellStyle name="60% - Accent3 42" xfId="1695" xr:uid="{00000000-0005-0000-0000-000045480000}"/>
    <cellStyle name="60% - Accent3 43" xfId="1696" xr:uid="{00000000-0005-0000-0000-000046480000}"/>
    <cellStyle name="60% - Accent3 44" xfId="1697" xr:uid="{00000000-0005-0000-0000-000047480000}"/>
    <cellStyle name="60% - Accent3 45" xfId="1698" xr:uid="{00000000-0005-0000-0000-000048480000}"/>
    <cellStyle name="60% - Accent3 46" xfId="1699" xr:uid="{00000000-0005-0000-0000-000049480000}"/>
    <cellStyle name="60% - Accent3 47" xfId="1700" xr:uid="{00000000-0005-0000-0000-00004A480000}"/>
    <cellStyle name="60% - Accent3 48" xfId="1701" xr:uid="{00000000-0005-0000-0000-00004B480000}"/>
    <cellStyle name="60% - Accent3 49" xfId="1702" xr:uid="{00000000-0005-0000-0000-00004C480000}"/>
    <cellStyle name="60% - Accent3 5" xfId="1703" xr:uid="{00000000-0005-0000-0000-00004D480000}"/>
    <cellStyle name="60% - Accent3 50" xfId="1704" xr:uid="{00000000-0005-0000-0000-00004E480000}"/>
    <cellStyle name="60% - Accent3 51" xfId="1705" xr:uid="{00000000-0005-0000-0000-00004F480000}"/>
    <cellStyle name="60% - Accent3 52" xfId="1706" xr:uid="{00000000-0005-0000-0000-000050480000}"/>
    <cellStyle name="60% - Accent3 53" xfId="1707" xr:uid="{00000000-0005-0000-0000-000051480000}"/>
    <cellStyle name="60% - Accent3 54" xfId="1708" xr:uid="{00000000-0005-0000-0000-000052480000}"/>
    <cellStyle name="60% - Accent3 55" xfId="1709" xr:uid="{00000000-0005-0000-0000-000053480000}"/>
    <cellStyle name="60% - Accent3 56" xfId="1710" xr:uid="{00000000-0005-0000-0000-000054480000}"/>
    <cellStyle name="60% - Accent3 57" xfId="1711" xr:uid="{00000000-0005-0000-0000-000055480000}"/>
    <cellStyle name="60% - Accent3 58" xfId="1712" xr:uid="{00000000-0005-0000-0000-000056480000}"/>
    <cellStyle name="60% - Accent3 59" xfId="1713" xr:uid="{00000000-0005-0000-0000-000057480000}"/>
    <cellStyle name="60% - Accent3 6" xfId="1714" xr:uid="{00000000-0005-0000-0000-000058480000}"/>
    <cellStyle name="60% - Accent3 60" xfId="1715" xr:uid="{00000000-0005-0000-0000-000059480000}"/>
    <cellStyle name="60% - Accent3 61" xfId="1716" xr:uid="{00000000-0005-0000-0000-00005A480000}"/>
    <cellStyle name="60% - Accent3 62" xfId="1717" xr:uid="{00000000-0005-0000-0000-00005B480000}"/>
    <cellStyle name="60% - Accent3 63" xfId="1718" xr:uid="{00000000-0005-0000-0000-00005C480000}"/>
    <cellStyle name="60% - Accent3 64" xfId="1719" xr:uid="{00000000-0005-0000-0000-00005D480000}"/>
    <cellStyle name="60% - Accent3 65" xfId="1720" xr:uid="{00000000-0005-0000-0000-00005E480000}"/>
    <cellStyle name="60% - Accent3 66" xfId="1721" xr:uid="{00000000-0005-0000-0000-00005F480000}"/>
    <cellStyle name="60% - Accent3 67" xfId="1722" xr:uid="{00000000-0005-0000-0000-000060480000}"/>
    <cellStyle name="60% - Accent3 68" xfId="1723" xr:uid="{00000000-0005-0000-0000-000061480000}"/>
    <cellStyle name="60% - Accent3 69" xfId="1724" xr:uid="{00000000-0005-0000-0000-000062480000}"/>
    <cellStyle name="60% - Accent3 7" xfId="1725" xr:uid="{00000000-0005-0000-0000-000063480000}"/>
    <cellStyle name="60% - Accent3 70" xfId="1726" xr:uid="{00000000-0005-0000-0000-000064480000}"/>
    <cellStyle name="60% - Accent3 71" xfId="1727" xr:uid="{00000000-0005-0000-0000-000065480000}"/>
    <cellStyle name="60% - Accent3 72" xfId="1728" xr:uid="{00000000-0005-0000-0000-000066480000}"/>
    <cellStyle name="60% - Accent3 8" xfId="1729" xr:uid="{00000000-0005-0000-0000-000067480000}"/>
    <cellStyle name="60% - Accent3 9" xfId="1730" xr:uid="{00000000-0005-0000-0000-000068480000}"/>
    <cellStyle name="60% - Accent4 10" xfId="1731" xr:uid="{00000000-0005-0000-0000-000069480000}"/>
    <cellStyle name="60% - Accent4 11" xfId="1732" xr:uid="{00000000-0005-0000-0000-00006A480000}"/>
    <cellStyle name="60% - Accent4 12" xfId="1733" xr:uid="{00000000-0005-0000-0000-00006B480000}"/>
    <cellStyle name="60% - Accent4 13" xfId="1734" xr:uid="{00000000-0005-0000-0000-00006C480000}"/>
    <cellStyle name="60% - Accent4 14" xfId="1735" xr:uid="{00000000-0005-0000-0000-00006D480000}"/>
    <cellStyle name="60% - Accent4 15" xfId="1736" xr:uid="{00000000-0005-0000-0000-00006E480000}"/>
    <cellStyle name="60% - Accent4 16" xfId="1737" xr:uid="{00000000-0005-0000-0000-00006F480000}"/>
    <cellStyle name="60% - Accent4 17" xfId="1738" xr:uid="{00000000-0005-0000-0000-000070480000}"/>
    <cellStyle name="60% - Accent4 18" xfId="1739" xr:uid="{00000000-0005-0000-0000-000071480000}"/>
    <cellStyle name="60% - Accent4 19" xfId="1740" xr:uid="{00000000-0005-0000-0000-000072480000}"/>
    <cellStyle name="60% - Accent4 2" xfId="1741" xr:uid="{00000000-0005-0000-0000-000073480000}"/>
    <cellStyle name="60% - Accent4 20" xfId="1742" xr:uid="{00000000-0005-0000-0000-000074480000}"/>
    <cellStyle name="60% - Accent4 21" xfId="1743" xr:uid="{00000000-0005-0000-0000-000075480000}"/>
    <cellStyle name="60% - Accent4 22" xfId="1744" xr:uid="{00000000-0005-0000-0000-000076480000}"/>
    <cellStyle name="60% - Accent4 23" xfId="1745" xr:uid="{00000000-0005-0000-0000-000077480000}"/>
    <cellStyle name="60% - Accent4 24" xfId="1746" xr:uid="{00000000-0005-0000-0000-000078480000}"/>
    <cellStyle name="60% - Accent4 25" xfId="1747" xr:uid="{00000000-0005-0000-0000-000079480000}"/>
    <cellStyle name="60% - Accent4 26" xfId="1748" xr:uid="{00000000-0005-0000-0000-00007A480000}"/>
    <cellStyle name="60% - Accent4 27" xfId="1749" xr:uid="{00000000-0005-0000-0000-00007B480000}"/>
    <cellStyle name="60% - Accent4 28" xfId="1750" xr:uid="{00000000-0005-0000-0000-00007C480000}"/>
    <cellStyle name="60% - Accent4 29" xfId="1751" xr:uid="{00000000-0005-0000-0000-00007D480000}"/>
    <cellStyle name="60% - Accent4 3" xfId="1752" xr:uid="{00000000-0005-0000-0000-00007E480000}"/>
    <cellStyle name="60% - Accent4 30" xfId="1753" xr:uid="{00000000-0005-0000-0000-00007F480000}"/>
    <cellStyle name="60% - Accent4 31" xfId="1754" xr:uid="{00000000-0005-0000-0000-000080480000}"/>
    <cellStyle name="60% - Accent4 32" xfId="1755" xr:uid="{00000000-0005-0000-0000-000081480000}"/>
    <cellStyle name="60% - Accent4 33" xfId="1756" xr:uid="{00000000-0005-0000-0000-000082480000}"/>
    <cellStyle name="60% - Accent4 34" xfId="1757" xr:uid="{00000000-0005-0000-0000-000083480000}"/>
    <cellStyle name="60% - Accent4 35" xfId="1758" xr:uid="{00000000-0005-0000-0000-000084480000}"/>
    <cellStyle name="60% - Accent4 36" xfId="1759" xr:uid="{00000000-0005-0000-0000-000085480000}"/>
    <cellStyle name="60% - Accent4 37" xfId="1760" xr:uid="{00000000-0005-0000-0000-000086480000}"/>
    <cellStyle name="60% - Accent4 38" xfId="1761" xr:uid="{00000000-0005-0000-0000-000087480000}"/>
    <cellStyle name="60% - Accent4 39" xfId="1762" xr:uid="{00000000-0005-0000-0000-000088480000}"/>
    <cellStyle name="60% - Accent4 4" xfId="1763" xr:uid="{00000000-0005-0000-0000-000089480000}"/>
    <cellStyle name="60% - Accent4 40" xfId="1764" xr:uid="{00000000-0005-0000-0000-00008A480000}"/>
    <cellStyle name="60% - Accent4 41" xfId="1765" xr:uid="{00000000-0005-0000-0000-00008B480000}"/>
    <cellStyle name="60% - Accent4 42" xfId="1766" xr:uid="{00000000-0005-0000-0000-00008C480000}"/>
    <cellStyle name="60% - Accent4 43" xfId="1767" xr:uid="{00000000-0005-0000-0000-00008D480000}"/>
    <cellStyle name="60% - Accent4 44" xfId="1768" xr:uid="{00000000-0005-0000-0000-00008E480000}"/>
    <cellStyle name="60% - Accent4 45" xfId="1769" xr:uid="{00000000-0005-0000-0000-00008F480000}"/>
    <cellStyle name="60% - Accent4 46" xfId="1770" xr:uid="{00000000-0005-0000-0000-000090480000}"/>
    <cellStyle name="60% - Accent4 47" xfId="1771" xr:uid="{00000000-0005-0000-0000-000091480000}"/>
    <cellStyle name="60% - Accent4 48" xfId="1772" xr:uid="{00000000-0005-0000-0000-000092480000}"/>
    <cellStyle name="60% - Accent4 49" xfId="1773" xr:uid="{00000000-0005-0000-0000-000093480000}"/>
    <cellStyle name="60% - Accent4 5" xfId="1774" xr:uid="{00000000-0005-0000-0000-000094480000}"/>
    <cellStyle name="60% - Accent4 50" xfId="1775" xr:uid="{00000000-0005-0000-0000-000095480000}"/>
    <cellStyle name="60% - Accent4 51" xfId="1776" xr:uid="{00000000-0005-0000-0000-000096480000}"/>
    <cellStyle name="60% - Accent4 52" xfId="1777" xr:uid="{00000000-0005-0000-0000-000097480000}"/>
    <cellStyle name="60% - Accent4 53" xfId="1778" xr:uid="{00000000-0005-0000-0000-000098480000}"/>
    <cellStyle name="60% - Accent4 54" xfId="1779" xr:uid="{00000000-0005-0000-0000-000099480000}"/>
    <cellStyle name="60% - Accent4 55" xfId="1780" xr:uid="{00000000-0005-0000-0000-00009A480000}"/>
    <cellStyle name="60% - Accent4 56" xfId="1781" xr:uid="{00000000-0005-0000-0000-00009B480000}"/>
    <cellStyle name="60% - Accent4 57" xfId="1782" xr:uid="{00000000-0005-0000-0000-00009C480000}"/>
    <cellStyle name="60% - Accent4 58" xfId="1783" xr:uid="{00000000-0005-0000-0000-00009D480000}"/>
    <cellStyle name="60% - Accent4 59" xfId="1784" xr:uid="{00000000-0005-0000-0000-00009E480000}"/>
    <cellStyle name="60% - Accent4 6" xfId="1785" xr:uid="{00000000-0005-0000-0000-00009F480000}"/>
    <cellStyle name="60% - Accent4 60" xfId="1786" xr:uid="{00000000-0005-0000-0000-0000A0480000}"/>
    <cellStyle name="60% - Accent4 61" xfId="1787" xr:uid="{00000000-0005-0000-0000-0000A1480000}"/>
    <cellStyle name="60% - Accent4 62" xfId="1788" xr:uid="{00000000-0005-0000-0000-0000A2480000}"/>
    <cellStyle name="60% - Accent4 63" xfId="1789" xr:uid="{00000000-0005-0000-0000-0000A3480000}"/>
    <cellStyle name="60% - Accent4 64" xfId="1790" xr:uid="{00000000-0005-0000-0000-0000A4480000}"/>
    <cellStyle name="60% - Accent4 65" xfId="1791" xr:uid="{00000000-0005-0000-0000-0000A5480000}"/>
    <cellStyle name="60% - Accent4 66" xfId="1792" xr:uid="{00000000-0005-0000-0000-0000A6480000}"/>
    <cellStyle name="60% - Accent4 67" xfId="1793" xr:uid="{00000000-0005-0000-0000-0000A7480000}"/>
    <cellStyle name="60% - Accent4 68" xfId="1794" xr:uid="{00000000-0005-0000-0000-0000A8480000}"/>
    <cellStyle name="60% - Accent4 69" xfId="1795" xr:uid="{00000000-0005-0000-0000-0000A9480000}"/>
    <cellStyle name="60% - Accent4 7" xfId="1796" xr:uid="{00000000-0005-0000-0000-0000AA480000}"/>
    <cellStyle name="60% - Accent4 70" xfId="1797" xr:uid="{00000000-0005-0000-0000-0000AB480000}"/>
    <cellStyle name="60% - Accent4 71" xfId="1798" xr:uid="{00000000-0005-0000-0000-0000AC480000}"/>
    <cellStyle name="60% - Accent4 72" xfId="1799" xr:uid="{00000000-0005-0000-0000-0000AD480000}"/>
    <cellStyle name="60% - Accent4 8" xfId="1800" xr:uid="{00000000-0005-0000-0000-0000AE480000}"/>
    <cellStyle name="60% - Accent4 9" xfId="1801" xr:uid="{00000000-0005-0000-0000-0000AF480000}"/>
    <cellStyle name="60% - Accent5 10" xfId="1802" xr:uid="{00000000-0005-0000-0000-0000B0480000}"/>
    <cellStyle name="60% - Accent5 11" xfId="1803" xr:uid="{00000000-0005-0000-0000-0000B1480000}"/>
    <cellStyle name="60% - Accent5 12" xfId="1804" xr:uid="{00000000-0005-0000-0000-0000B2480000}"/>
    <cellStyle name="60% - Accent5 13" xfId="1805" xr:uid="{00000000-0005-0000-0000-0000B3480000}"/>
    <cellStyle name="60% - Accent5 14" xfId="1806" xr:uid="{00000000-0005-0000-0000-0000B4480000}"/>
    <cellStyle name="60% - Accent5 15" xfId="1807" xr:uid="{00000000-0005-0000-0000-0000B5480000}"/>
    <cellStyle name="60% - Accent5 16" xfId="1808" xr:uid="{00000000-0005-0000-0000-0000B6480000}"/>
    <cellStyle name="60% - Accent5 17" xfId="1809" xr:uid="{00000000-0005-0000-0000-0000B7480000}"/>
    <cellStyle name="60% - Accent5 18" xfId="1810" xr:uid="{00000000-0005-0000-0000-0000B8480000}"/>
    <cellStyle name="60% - Accent5 19" xfId="1811" xr:uid="{00000000-0005-0000-0000-0000B9480000}"/>
    <cellStyle name="60% - Accent5 2" xfId="1812" xr:uid="{00000000-0005-0000-0000-0000BA480000}"/>
    <cellStyle name="60% - Accent5 20" xfId="1813" xr:uid="{00000000-0005-0000-0000-0000BB480000}"/>
    <cellStyle name="60% - Accent5 21" xfId="1814" xr:uid="{00000000-0005-0000-0000-0000BC480000}"/>
    <cellStyle name="60% - Accent5 22" xfId="1815" xr:uid="{00000000-0005-0000-0000-0000BD480000}"/>
    <cellStyle name="60% - Accent5 23" xfId="1816" xr:uid="{00000000-0005-0000-0000-0000BE480000}"/>
    <cellStyle name="60% - Accent5 24" xfId="1817" xr:uid="{00000000-0005-0000-0000-0000BF480000}"/>
    <cellStyle name="60% - Accent5 25" xfId="1818" xr:uid="{00000000-0005-0000-0000-0000C0480000}"/>
    <cellStyle name="60% - Accent5 26" xfId="1819" xr:uid="{00000000-0005-0000-0000-0000C1480000}"/>
    <cellStyle name="60% - Accent5 27" xfId="1820" xr:uid="{00000000-0005-0000-0000-0000C2480000}"/>
    <cellStyle name="60% - Accent5 28" xfId="1821" xr:uid="{00000000-0005-0000-0000-0000C3480000}"/>
    <cellStyle name="60% - Accent5 29" xfId="1822" xr:uid="{00000000-0005-0000-0000-0000C4480000}"/>
    <cellStyle name="60% - Accent5 3" xfId="1823" xr:uid="{00000000-0005-0000-0000-0000C5480000}"/>
    <cellStyle name="60% - Accent5 30" xfId="1824" xr:uid="{00000000-0005-0000-0000-0000C6480000}"/>
    <cellStyle name="60% - Accent5 31" xfId="1825" xr:uid="{00000000-0005-0000-0000-0000C7480000}"/>
    <cellStyle name="60% - Accent5 32" xfId="1826" xr:uid="{00000000-0005-0000-0000-0000C8480000}"/>
    <cellStyle name="60% - Accent5 33" xfId="1827" xr:uid="{00000000-0005-0000-0000-0000C9480000}"/>
    <cellStyle name="60% - Accent5 34" xfId="1828" xr:uid="{00000000-0005-0000-0000-0000CA480000}"/>
    <cellStyle name="60% - Accent5 35" xfId="1829" xr:uid="{00000000-0005-0000-0000-0000CB480000}"/>
    <cellStyle name="60% - Accent5 36" xfId="1830" xr:uid="{00000000-0005-0000-0000-0000CC480000}"/>
    <cellStyle name="60% - Accent5 37" xfId="1831" xr:uid="{00000000-0005-0000-0000-0000CD480000}"/>
    <cellStyle name="60% - Accent5 38" xfId="1832" xr:uid="{00000000-0005-0000-0000-0000CE480000}"/>
    <cellStyle name="60% - Accent5 39" xfId="1833" xr:uid="{00000000-0005-0000-0000-0000CF480000}"/>
    <cellStyle name="60% - Accent5 4" xfId="1834" xr:uid="{00000000-0005-0000-0000-0000D0480000}"/>
    <cellStyle name="60% - Accent5 40" xfId="1835" xr:uid="{00000000-0005-0000-0000-0000D1480000}"/>
    <cellStyle name="60% - Accent5 41" xfId="1836" xr:uid="{00000000-0005-0000-0000-0000D2480000}"/>
    <cellStyle name="60% - Accent5 42" xfId="1837" xr:uid="{00000000-0005-0000-0000-0000D3480000}"/>
    <cellStyle name="60% - Accent5 43" xfId="1838" xr:uid="{00000000-0005-0000-0000-0000D4480000}"/>
    <cellStyle name="60% - Accent5 44" xfId="1839" xr:uid="{00000000-0005-0000-0000-0000D5480000}"/>
    <cellStyle name="60% - Accent5 45" xfId="1840" xr:uid="{00000000-0005-0000-0000-0000D6480000}"/>
    <cellStyle name="60% - Accent5 46" xfId="1841" xr:uid="{00000000-0005-0000-0000-0000D7480000}"/>
    <cellStyle name="60% - Accent5 47" xfId="1842" xr:uid="{00000000-0005-0000-0000-0000D8480000}"/>
    <cellStyle name="60% - Accent5 48" xfId="1843" xr:uid="{00000000-0005-0000-0000-0000D9480000}"/>
    <cellStyle name="60% - Accent5 49" xfId="1844" xr:uid="{00000000-0005-0000-0000-0000DA480000}"/>
    <cellStyle name="60% - Accent5 5" xfId="1845" xr:uid="{00000000-0005-0000-0000-0000DB480000}"/>
    <cellStyle name="60% - Accent5 50" xfId="1846" xr:uid="{00000000-0005-0000-0000-0000DC480000}"/>
    <cellStyle name="60% - Accent5 51" xfId="1847" xr:uid="{00000000-0005-0000-0000-0000DD480000}"/>
    <cellStyle name="60% - Accent5 52" xfId="1848" xr:uid="{00000000-0005-0000-0000-0000DE480000}"/>
    <cellStyle name="60% - Accent5 53" xfId="1849" xr:uid="{00000000-0005-0000-0000-0000DF480000}"/>
    <cellStyle name="60% - Accent5 54" xfId="1850" xr:uid="{00000000-0005-0000-0000-0000E0480000}"/>
    <cellStyle name="60% - Accent5 55" xfId="1851" xr:uid="{00000000-0005-0000-0000-0000E1480000}"/>
    <cellStyle name="60% - Accent5 56" xfId="1852" xr:uid="{00000000-0005-0000-0000-0000E2480000}"/>
    <cellStyle name="60% - Accent5 57" xfId="1853" xr:uid="{00000000-0005-0000-0000-0000E3480000}"/>
    <cellStyle name="60% - Accent5 58" xfId="1854" xr:uid="{00000000-0005-0000-0000-0000E4480000}"/>
    <cellStyle name="60% - Accent5 59" xfId="1855" xr:uid="{00000000-0005-0000-0000-0000E5480000}"/>
    <cellStyle name="60% - Accent5 6" xfId="1856" xr:uid="{00000000-0005-0000-0000-0000E6480000}"/>
    <cellStyle name="60% - Accent5 60" xfId="1857" xr:uid="{00000000-0005-0000-0000-0000E7480000}"/>
    <cellStyle name="60% - Accent5 61" xfId="1858" xr:uid="{00000000-0005-0000-0000-0000E8480000}"/>
    <cellStyle name="60% - Accent5 62" xfId="1859" xr:uid="{00000000-0005-0000-0000-0000E9480000}"/>
    <cellStyle name="60% - Accent5 63" xfId="1860" xr:uid="{00000000-0005-0000-0000-0000EA480000}"/>
    <cellStyle name="60% - Accent5 64" xfId="1861" xr:uid="{00000000-0005-0000-0000-0000EB480000}"/>
    <cellStyle name="60% - Accent5 65" xfId="1862" xr:uid="{00000000-0005-0000-0000-0000EC480000}"/>
    <cellStyle name="60% - Accent5 66" xfId="1863" xr:uid="{00000000-0005-0000-0000-0000ED480000}"/>
    <cellStyle name="60% - Accent5 67" xfId="1864" xr:uid="{00000000-0005-0000-0000-0000EE480000}"/>
    <cellStyle name="60% - Accent5 68" xfId="1865" xr:uid="{00000000-0005-0000-0000-0000EF480000}"/>
    <cellStyle name="60% - Accent5 69" xfId="1866" xr:uid="{00000000-0005-0000-0000-0000F0480000}"/>
    <cellStyle name="60% - Accent5 7" xfId="1867" xr:uid="{00000000-0005-0000-0000-0000F1480000}"/>
    <cellStyle name="60% - Accent5 70" xfId="1868" xr:uid="{00000000-0005-0000-0000-0000F2480000}"/>
    <cellStyle name="60% - Accent5 71" xfId="1869" xr:uid="{00000000-0005-0000-0000-0000F3480000}"/>
    <cellStyle name="60% - Accent5 72" xfId="1870" xr:uid="{00000000-0005-0000-0000-0000F4480000}"/>
    <cellStyle name="60% - Accent5 8" xfId="1871" xr:uid="{00000000-0005-0000-0000-0000F5480000}"/>
    <cellStyle name="60% - Accent5 9" xfId="1872" xr:uid="{00000000-0005-0000-0000-0000F6480000}"/>
    <cellStyle name="60% - Accent6 10" xfId="1873" xr:uid="{00000000-0005-0000-0000-0000F7480000}"/>
    <cellStyle name="60% - Accent6 11" xfId="1874" xr:uid="{00000000-0005-0000-0000-0000F8480000}"/>
    <cellStyle name="60% - Accent6 12" xfId="1875" xr:uid="{00000000-0005-0000-0000-0000F9480000}"/>
    <cellStyle name="60% - Accent6 13" xfId="1876" xr:uid="{00000000-0005-0000-0000-0000FA480000}"/>
    <cellStyle name="60% - Accent6 14" xfId="1877" xr:uid="{00000000-0005-0000-0000-0000FB480000}"/>
    <cellStyle name="60% - Accent6 15" xfId="1878" xr:uid="{00000000-0005-0000-0000-0000FC480000}"/>
    <cellStyle name="60% - Accent6 16" xfId="1879" xr:uid="{00000000-0005-0000-0000-0000FD480000}"/>
    <cellStyle name="60% - Accent6 17" xfId="1880" xr:uid="{00000000-0005-0000-0000-0000FE480000}"/>
    <cellStyle name="60% - Accent6 18" xfId="1881" xr:uid="{00000000-0005-0000-0000-0000FF480000}"/>
    <cellStyle name="60% - Accent6 19" xfId="1882" xr:uid="{00000000-0005-0000-0000-000000490000}"/>
    <cellStyle name="60% - Accent6 2" xfId="1883" xr:uid="{00000000-0005-0000-0000-000001490000}"/>
    <cellStyle name="60% - Accent6 20" xfId="1884" xr:uid="{00000000-0005-0000-0000-000002490000}"/>
    <cellStyle name="60% - Accent6 21" xfId="1885" xr:uid="{00000000-0005-0000-0000-000003490000}"/>
    <cellStyle name="60% - Accent6 22" xfId="1886" xr:uid="{00000000-0005-0000-0000-000004490000}"/>
    <cellStyle name="60% - Accent6 23" xfId="1887" xr:uid="{00000000-0005-0000-0000-000005490000}"/>
    <cellStyle name="60% - Accent6 24" xfId="1888" xr:uid="{00000000-0005-0000-0000-000006490000}"/>
    <cellStyle name="60% - Accent6 25" xfId="1889" xr:uid="{00000000-0005-0000-0000-000007490000}"/>
    <cellStyle name="60% - Accent6 26" xfId="1890" xr:uid="{00000000-0005-0000-0000-000008490000}"/>
    <cellStyle name="60% - Accent6 27" xfId="1891" xr:uid="{00000000-0005-0000-0000-000009490000}"/>
    <cellStyle name="60% - Accent6 28" xfId="1892" xr:uid="{00000000-0005-0000-0000-00000A490000}"/>
    <cellStyle name="60% - Accent6 29" xfId="1893" xr:uid="{00000000-0005-0000-0000-00000B490000}"/>
    <cellStyle name="60% - Accent6 3" xfId="1894" xr:uid="{00000000-0005-0000-0000-00000C490000}"/>
    <cellStyle name="60% - Accent6 30" xfId="1895" xr:uid="{00000000-0005-0000-0000-00000D490000}"/>
    <cellStyle name="60% - Accent6 31" xfId="1896" xr:uid="{00000000-0005-0000-0000-00000E490000}"/>
    <cellStyle name="60% - Accent6 32" xfId="1897" xr:uid="{00000000-0005-0000-0000-00000F490000}"/>
    <cellStyle name="60% - Accent6 33" xfId="1898" xr:uid="{00000000-0005-0000-0000-000010490000}"/>
    <cellStyle name="60% - Accent6 34" xfId="1899" xr:uid="{00000000-0005-0000-0000-000011490000}"/>
    <cellStyle name="60% - Accent6 35" xfId="1900" xr:uid="{00000000-0005-0000-0000-000012490000}"/>
    <cellStyle name="60% - Accent6 36" xfId="1901" xr:uid="{00000000-0005-0000-0000-000013490000}"/>
    <cellStyle name="60% - Accent6 37" xfId="1902" xr:uid="{00000000-0005-0000-0000-000014490000}"/>
    <cellStyle name="60% - Accent6 38" xfId="1903" xr:uid="{00000000-0005-0000-0000-000015490000}"/>
    <cellStyle name="60% - Accent6 39" xfId="1904" xr:uid="{00000000-0005-0000-0000-000016490000}"/>
    <cellStyle name="60% - Accent6 4" xfId="1905" xr:uid="{00000000-0005-0000-0000-000017490000}"/>
    <cellStyle name="60% - Accent6 40" xfId="1906" xr:uid="{00000000-0005-0000-0000-000018490000}"/>
    <cellStyle name="60% - Accent6 41" xfId="1907" xr:uid="{00000000-0005-0000-0000-000019490000}"/>
    <cellStyle name="60% - Accent6 42" xfId="1908" xr:uid="{00000000-0005-0000-0000-00001A490000}"/>
    <cellStyle name="60% - Accent6 43" xfId="1909" xr:uid="{00000000-0005-0000-0000-00001B490000}"/>
    <cellStyle name="60% - Accent6 44" xfId="1910" xr:uid="{00000000-0005-0000-0000-00001C490000}"/>
    <cellStyle name="60% - Accent6 45" xfId="1911" xr:uid="{00000000-0005-0000-0000-00001D490000}"/>
    <cellStyle name="60% - Accent6 46" xfId="1912" xr:uid="{00000000-0005-0000-0000-00001E490000}"/>
    <cellStyle name="60% - Accent6 47" xfId="1913" xr:uid="{00000000-0005-0000-0000-00001F490000}"/>
    <cellStyle name="60% - Accent6 48" xfId="1914" xr:uid="{00000000-0005-0000-0000-000020490000}"/>
    <cellStyle name="60% - Accent6 49" xfId="1915" xr:uid="{00000000-0005-0000-0000-000021490000}"/>
    <cellStyle name="60% - Accent6 5" xfId="1916" xr:uid="{00000000-0005-0000-0000-000022490000}"/>
    <cellStyle name="60% - Accent6 50" xfId="1917" xr:uid="{00000000-0005-0000-0000-000023490000}"/>
    <cellStyle name="60% - Accent6 51" xfId="1918" xr:uid="{00000000-0005-0000-0000-000024490000}"/>
    <cellStyle name="60% - Accent6 52" xfId="1919" xr:uid="{00000000-0005-0000-0000-000025490000}"/>
    <cellStyle name="60% - Accent6 53" xfId="1920" xr:uid="{00000000-0005-0000-0000-000026490000}"/>
    <cellStyle name="60% - Accent6 54" xfId="1921" xr:uid="{00000000-0005-0000-0000-000027490000}"/>
    <cellStyle name="60% - Accent6 55" xfId="1922" xr:uid="{00000000-0005-0000-0000-000028490000}"/>
    <cellStyle name="60% - Accent6 56" xfId="1923" xr:uid="{00000000-0005-0000-0000-000029490000}"/>
    <cellStyle name="60% - Accent6 57" xfId="1924" xr:uid="{00000000-0005-0000-0000-00002A490000}"/>
    <cellStyle name="60% - Accent6 58" xfId="1925" xr:uid="{00000000-0005-0000-0000-00002B490000}"/>
    <cellStyle name="60% - Accent6 59" xfId="1926" xr:uid="{00000000-0005-0000-0000-00002C490000}"/>
    <cellStyle name="60% - Accent6 6" xfId="1927" xr:uid="{00000000-0005-0000-0000-00002D490000}"/>
    <cellStyle name="60% - Accent6 60" xfId="1928" xr:uid="{00000000-0005-0000-0000-00002E490000}"/>
    <cellStyle name="60% - Accent6 61" xfId="1929" xr:uid="{00000000-0005-0000-0000-00002F490000}"/>
    <cellStyle name="60% - Accent6 62" xfId="1930" xr:uid="{00000000-0005-0000-0000-000030490000}"/>
    <cellStyle name="60% - Accent6 63" xfId="1931" xr:uid="{00000000-0005-0000-0000-000031490000}"/>
    <cellStyle name="60% - Accent6 64" xfId="1932" xr:uid="{00000000-0005-0000-0000-000032490000}"/>
    <cellStyle name="60% - Accent6 65" xfId="1933" xr:uid="{00000000-0005-0000-0000-000033490000}"/>
    <cellStyle name="60% - Accent6 66" xfId="1934" xr:uid="{00000000-0005-0000-0000-000034490000}"/>
    <cellStyle name="60% - Accent6 67" xfId="1935" xr:uid="{00000000-0005-0000-0000-000035490000}"/>
    <cellStyle name="60% - Accent6 68" xfId="1936" xr:uid="{00000000-0005-0000-0000-000036490000}"/>
    <cellStyle name="60% - Accent6 69" xfId="1937" xr:uid="{00000000-0005-0000-0000-000037490000}"/>
    <cellStyle name="60% - Accent6 7" xfId="1938" xr:uid="{00000000-0005-0000-0000-000038490000}"/>
    <cellStyle name="60% - Accent6 70" xfId="1939" xr:uid="{00000000-0005-0000-0000-000039490000}"/>
    <cellStyle name="60% - Accent6 71" xfId="1940" xr:uid="{00000000-0005-0000-0000-00003A490000}"/>
    <cellStyle name="60% - Accent6 72" xfId="1941" xr:uid="{00000000-0005-0000-0000-00003B490000}"/>
    <cellStyle name="60% - Accent6 8" xfId="1942" xr:uid="{00000000-0005-0000-0000-00003C490000}"/>
    <cellStyle name="60% - Accent6 9" xfId="1943" xr:uid="{00000000-0005-0000-0000-00003D490000}"/>
    <cellStyle name="Accent1 - 20%" xfId="24004" xr:uid="{00000000-0005-0000-0000-00003E490000}"/>
    <cellStyle name="Accent1 - 40%" xfId="24005" xr:uid="{00000000-0005-0000-0000-00003F490000}"/>
    <cellStyle name="Accent1 - 60%" xfId="24006" xr:uid="{00000000-0005-0000-0000-000040490000}"/>
    <cellStyle name="Accent1 10" xfId="1944" xr:uid="{00000000-0005-0000-0000-000041490000}"/>
    <cellStyle name="Accent1 11" xfId="1945" xr:uid="{00000000-0005-0000-0000-000042490000}"/>
    <cellStyle name="Accent1 12" xfId="1946" xr:uid="{00000000-0005-0000-0000-000043490000}"/>
    <cellStyle name="Accent1 13" xfId="1947" xr:uid="{00000000-0005-0000-0000-000044490000}"/>
    <cellStyle name="Accent1 14" xfId="1948" xr:uid="{00000000-0005-0000-0000-000045490000}"/>
    <cellStyle name="Accent1 15" xfId="1949" xr:uid="{00000000-0005-0000-0000-000046490000}"/>
    <cellStyle name="Accent1 16" xfId="1950" xr:uid="{00000000-0005-0000-0000-000047490000}"/>
    <cellStyle name="Accent1 17" xfId="1951" xr:uid="{00000000-0005-0000-0000-000048490000}"/>
    <cellStyle name="Accent1 18" xfId="1952" xr:uid="{00000000-0005-0000-0000-000049490000}"/>
    <cellStyle name="Accent1 19" xfId="1953" xr:uid="{00000000-0005-0000-0000-00004A490000}"/>
    <cellStyle name="Accent1 2" xfId="1954" xr:uid="{00000000-0005-0000-0000-00004B490000}"/>
    <cellStyle name="Accent1 2 2" xfId="24009" xr:uid="{00000000-0005-0000-0000-00004C490000}"/>
    <cellStyle name="Accent1 2 3" xfId="24008" xr:uid="{00000000-0005-0000-0000-00004D490000}"/>
    <cellStyle name="Accent1 20" xfId="1955" xr:uid="{00000000-0005-0000-0000-00004E490000}"/>
    <cellStyle name="Accent1 21" xfId="1956" xr:uid="{00000000-0005-0000-0000-00004F490000}"/>
    <cellStyle name="Accent1 22" xfId="1957" xr:uid="{00000000-0005-0000-0000-000050490000}"/>
    <cellStyle name="Accent1 23" xfId="1958" xr:uid="{00000000-0005-0000-0000-000051490000}"/>
    <cellStyle name="Accent1 24" xfId="1959" xr:uid="{00000000-0005-0000-0000-000052490000}"/>
    <cellStyle name="Accent1 25" xfId="1960" xr:uid="{00000000-0005-0000-0000-000053490000}"/>
    <cellStyle name="Accent1 26" xfId="1961" xr:uid="{00000000-0005-0000-0000-000054490000}"/>
    <cellStyle name="Accent1 27" xfId="1962" xr:uid="{00000000-0005-0000-0000-000055490000}"/>
    <cellStyle name="Accent1 28" xfId="1963" xr:uid="{00000000-0005-0000-0000-000056490000}"/>
    <cellStyle name="Accent1 29" xfId="1964" xr:uid="{00000000-0005-0000-0000-000057490000}"/>
    <cellStyle name="Accent1 3" xfId="1965" xr:uid="{00000000-0005-0000-0000-000058490000}"/>
    <cellStyle name="Accent1 3 2" xfId="24010" xr:uid="{00000000-0005-0000-0000-000059490000}"/>
    <cellStyle name="Accent1 30" xfId="1966" xr:uid="{00000000-0005-0000-0000-00005A490000}"/>
    <cellStyle name="Accent1 31" xfId="1967" xr:uid="{00000000-0005-0000-0000-00005B490000}"/>
    <cellStyle name="Accent1 32" xfId="1968" xr:uid="{00000000-0005-0000-0000-00005C490000}"/>
    <cellStyle name="Accent1 33" xfId="1969" xr:uid="{00000000-0005-0000-0000-00005D490000}"/>
    <cellStyle name="Accent1 34" xfId="1970" xr:uid="{00000000-0005-0000-0000-00005E490000}"/>
    <cellStyle name="Accent1 35" xfId="1971" xr:uid="{00000000-0005-0000-0000-00005F490000}"/>
    <cellStyle name="Accent1 36" xfId="1972" xr:uid="{00000000-0005-0000-0000-000060490000}"/>
    <cellStyle name="Accent1 37" xfId="1973" xr:uid="{00000000-0005-0000-0000-000061490000}"/>
    <cellStyle name="Accent1 38" xfId="1974" xr:uid="{00000000-0005-0000-0000-000062490000}"/>
    <cellStyle name="Accent1 39" xfId="1975" xr:uid="{00000000-0005-0000-0000-000063490000}"/>
    <cellStyle name="Accent1 4" xfId="1976" xr:uid="{00000000-0005-0000-0000-000064490000}"/>
    <cellStyle name="Accent1 4 2" xfId="24011" xr:uid="{00000000-0005-0000-0000-000065490000}"/>
    <cellStyle name="Accent1 40" xfId="1977" xr:uid="{00000000-0005-0000-0000-000066490000}"/>
    <cellStyle name="Accent1 41" xfId="1978" xr:uid="{00000000-0005-0000-0000-000067490000}"/>
    <cellStyle name="Accent1 42" xfId="1979" xr:uid="{00000000-0005-0000-0000-000068490000}"/>
    <cellStyle name="Accent1 43" xfId="1980" xr:uid="{00000000-0005-0000-0000-000069490000}"/>
    <cellStyle name="Accent1 44" xfId="1981" xr:uid="{00000000-0005-0000-0000-00006A490000}"/>
    <cellStyle name="Accent1 45" xfId="1982" xr:uid="{00000000-0005-0000-0000-00006B490000}"/>
    <cellStyle name="Accent1 46" xfId="1983" xr:uid="{00000000-0005-0000-0000-00006C490000}"/>
    <cellStyle name="Accent1 47" xfId="1984" xr:uid="{00000000-0005-0000-0000-00006D490000}"/>
    <cellStyle name="Accent1 48" xfId="1985" xr:uid="{00000000-0005-0000-0000-00006E490000}"/>
    <cellStyle name="Accent1 49" xfId="1986" xr:uid="{00000000-0005-0000-0000-00006F490000}"/>
    <cellStyle name="Accent1 5" xfId="1987" xr:uid="{00000000-0005-0000-0000-000070490000}"/>
    <cellStyle name="Accent1 50" xfId="1988" xr:uid="{00000000-0005-0000-0000-000071490000}"/>
    <cellStyle name="Accent1 51" xfId="1989" xr:uid="{00000000-0005-0000-0000-000072490000}"/>
    <cellStyle name="Accent1 52" xfId="1990" xr:uid="{00000000-0005-0000-0000-000073490000}"/>
    <cellStyle name="Accent1 53" xfId="1991" xr:uid="{00000000-0005-0000-0000-000074490000}"/>
    <cellStyle name="Accent1 54" xfId="1992" xr:uid="{00000000-0005-0000-0000-000075490000}"/>
    <cellStyle name="Accent1 55" xfId="1993" xr:uid="{00000000-0005-0000-0000-000076490000}"/>
    <cellStyle name="Accent1 56" xfId="1994" xr:uid="{00000000-0005-0000-0000-000077490000}"/>
    <cellStyle name="Accent1 57" xfId="1995" xr:uid="{00000000-0005-0000-0000-000078490000}"/>
    <cellStyle name="Accent1 58" xfId="1996" xr:uid="{00000000-0005-0000-0000-000079490000}"/>
    <cellStyle name="Accent1 59" xfId="1997" xr:uid="{00000000-0005-0000-0000-00007A490000}"/>
    <cellStyle name="Accent1 6" xfId="1998" xr:uid="{00000000-0005-0000-0000-00007B490000}"/>
    <cellStyle name="Accent1 60" xfId="1999" xr:uid="{00000000-0005-0000-0000-00007C490000}"/>
    <cellStyle name="Accent1 61" xfId="2000" xr:uid="{00000000-0005-0000-0000-00007D490000}"/>
    <cellStyle name="Accent1 62" xfId="2001" xr:uid="{00000000-0005-0000-0000-00007E490000}"/>
    <cellStyle name="Accent1 63" xfId="2002" xr:uid="{00000000-0005-0000-0000-00007F490000}"/>
    <cellStyle name="Accent1 64" xfId="2003" xr:uid="{00000000-0005-0000-0000-000080490000}"/>
    <cellStyle name="Accent1 65" xfId="2004" xr:uid="{00000000-0005-0000-0000-000081490000}"/>
    <cellStyle name="Accent1 66" xfId="2005" xr:uid="{00000000-0005-0000-0000-000082490000}"/>
    <cellStyle name="Accent1 67" xfId="2006" xr:uid="{00000000-0005-0000-0000-000083490000}"/>
    <cellStyle name="Accent1 68" xfId="2007" xr:uid="{00000000-0005-0000-0000-000084490000}"/>
    <cellStyle name="Accent1 69" xfId="2008" xr:uid="{00000000-0005-0000-0000-000085490000}"/>
    <cellStyle name="Accent1 7" xfId="2009" xr:uid="{00000000-0005-0000-0000-000086490000}"/>
    <cellStyle name="Accent1 70" xfId="2010" xr:uid="{00000000-0005-0000-0000-000087490000}"/>
    <cellStyle name="Accent1 71" xfId="2011" xr:uid="{00000000-0005-0000-0000-000088490000}"/>
    <cellStyle name="Accent1 72" xfId="2012" xr:uid="{00000000-0005-0000-0000-000089490000}"/>
    <cellStyle name="Accent1 8" xfId="2013" xr:uid="{00000000-0005-0000-0000-00008A490000}"/>
    <cellStyle name="Accent1 9" xfId="2014" xr:uid="{00000000-0005-0000-0000-00008B490000}"/>
    <cellStyle name="Accent2 - 20%" xfId="24013" xr:uid="{00000000-0005-0000-0000-00008C490000}"/>
    <cellStyle name="Accent2 - 40%" xfId="24014" xr:uid="{00000000-0005-0000-0000-00008D490000}"/>
    <cellStyle name="Accent2 - 60%" xfId="24015" xr:uid="{00000000-0005-0000-0000-00008E490000}"/>
    <cellStyle name="Accent2 10" xfId="2015" xr:uid="{00000000-0005-0000-0000-00008F490000}"/>
    <cellStyle name="Accent2 11" xfId="2016" xr:uid="{00000000-0005-0000-0000-000090490000}"/>
    <cellStyle name="Accent2 12" xfId="2017" xr:uid="{00000000-0005-0000-0000-000091490000}"/>
    <cellStyle name="Accent2 13" xfId="2018" xr:uid="{00000000-0005-0000-0000-000092490000}"/>
    <cellStyle name="Accent2 14" xfId="2019" xr:uid="{00000000-0005-0000-0000-000093490000}"/>
    <cellStyle name="Accent2 15" xfId="2020" xr:uid="{00000000-0005-0000-0000-000094490000}"/>
    <cellStyle name="Accent2 16" xfId="2021" xr:uid="{00000000-0005-0000-0000-000095490000}"/>
    <cellStyle name="Accent2 17" xfId="2022" xr:uid="{00000000-0005-0000-0000-000096490000}"/>
    <cellStyle name="Accent2 18" xfId="2023" xr:uid="{00000000-0005-0000-0000-000097490000}"/>
    <cellStyle name="Accent2 19" xfId="2024" xr:uid="{00000000-0005-0000-0000-000098490000}"/>
    <cellStyle name="Accent2 2" xfId="2025" xr:uid="{00000000-0005-0000-0000-000099490000}"/>
    <cellStyle name="Accent2 2 2" xfId="24017" xr:uid="{00000000-0005-0000-0000-00009A490000}"/>
    <cellStyle name="Accent2 2 3" xfId="24016" xr:uid="{00000000-0005-0000-0000-00009B490000}"/>
    <cellStyle name="Accent2 20" xfId="2026" xr:uid="{00000000-0005-0000-0000-00009C490000}"/>
    <cellStyle name="Accent2 21" xfId="2027" xr:uid="{00000000-0005-0000-0000-00009D490000}"/>
    <cellStyle name="Accent2 22" xfId="2028" xr:uid="{00000000-0005-0000-0000-00009E490000}"/>
    <cellStyle name="Accent2 23" xfId="2029" xr:uid="{00000000-0005-0000-0000-00009F490000}"/>
    <cellStyle name="Accent2 24" xfId="2030" xr:uid="{00000000-0005-0000-0000-0000A0490000}"/>
    <cellStyle name="Accent2 25" xfId="2031" xr:uid="{00000000-0005-0000-0000-0000A1490000}"/>
    <cellStyle name="Accent2 26" xfId="2032" xr:uid="{00000000-0005-0000-0000-0000A2490000}"/>
    <cellStyle name="Accent2 27" xfId="2033" xr:uid="{00000000-0005-0000-0000-0000A3490000}"/>
    <cellStyle name="Accent2 28" xfId="2034" xr:uid="{00000000-0005-0000-0000-0000A4490000}"/>
    <cellStyle name="Accent2 29" xfId="2035" xr:uid="{00000000-0005-0000-0000-0000A5490000}"/>
    <cellStyle name="Accent2 3" xfId="2036" xr:uid="{00000000-0005-0000-0000-0000A6490000}"/>
    <cellStyle name="Accent2 3 2" xfId="24018" xr:uid="{00000000-0005-0000-0000-0000A7490000}"/>
    <cellStyle name="Accent2 30" xfId="2037" xr:uid="{00000000-0005-0000-0000-0000A8490000}"/>
    <cellStyle name="Accent2 31" xfId="2038" xr:uid="{00000000-0005-0000-0000-0000A9490000}"/>
    <cellStyle name="Accent2 32" xfId="2039" xr:uid="{00000000-0005-0000-0000-0000AA490000}"/>
    <cellStyle name="Accent2 33" xfId="2040" xr:uid="{00000000-0005-0000-0000-0000AB490000}"/>
    <cellStyle name="Accent2 34" xfId="2041" xr:uid="{00000000-0005-0000-0000-0000AC490000}"/>
    <cellStyle name="Accent2 35" xfId="2042" xr:uid="{00000000-0005-0000-0000-0000AD490000}"/>
    <cellStyle name="Accent2 36" xfId="2043" xr:uid="{00000000-0005-0000-0000-0000AE490000}"/>
    <cellStyle name="Accent2 37" xfId="2044" xr:uid="{00000000-0005-0000-0000-0000AF490000}"/>
    <cellStyle name="Accent2 38" xfId="2045" xr:uid="{00000000-0005-0000-0000-0000B0490000}"/>
    <cellStyle name="Accent2 39" xfId="2046" xr:uid="{00000000-0005-0000-0000-0000B1490000}"/>
    <cellStyle name="Accent2 4" xfId="2047" xr:uid="{00000000-0005-0000-0000-0000B2490000}"/>
    <cellStyle name="Accent2 4 2" xfId="24019" xr:uid="{00000000-0005-0000-0000-0000B3490000}"/>
    <cellStyle name="Accent2 40" xfId="2048" xr:uid="{00000000-0005-0000-0000-0000B4490000}"/>
    <cellStyle name="Accent2 41" xfId="2049" xr:uid="{00000000-0005-0000-0000-0000B5490000}"/>
    <cellStyle name="Accent2 42" xfId="2050" xr:uid="{00000000-0005-0000-0000-0000B6490000}"/>
    <cellStyle name="Accent2 43" xfId="2051" xr:uid="{00000000-0005-0000-0000-0000B7490000}"/>
    <cellStyle name="Accent2 44" xfId="2052" xr:uid="{00000000-0005-0000-0000-0000B8490000}"/>
    <cellStyle name="Accent2 45" xfId="2053" xr:uid="{00000000-0005-0000-0000-0000B9490000}"/>
    <cellStyle name="Accent2 46" xfId="2054" xr:uid="{00000000-0005-0000-0000-0000BA490000}"/>
    <cellStyle name="Accent2 47" xfId="2055" xr:uid="{00000000-0005-0000-0000-0000BB490000}"/>
    <cellStyle name="Accent2 48" xfId="2056" xr:uid="{00000000-0005-0000-0000-0000BC490000}"/>
    <cellStyle name="Accent2 49" xfId="2057" xr:uid="{00000000-0005-0000-0000-0000BD490000}"/>
    <cellStyle name="Accent2 5" xfId="2058" xr:uid="{00000000-0005-0000-0000-0000BE490000}"/>
    <cellStyle name="Accent2 50" xfId="2059" xr:uid="{00000000-0005-0000-0000-0000BF490000}"/>
    <cellStyle name="Accent2 51" xfId="2060" xr:uid="{00000000-0005-0000-0000-0000C0490000}"/>
    <cellStyle name="Accent2 52" xfId="2061" xr:uid="{00000000-0005-0000-0000-0000C1490000}"/>
    <cellStyle name="Accent2 53" xfId="2062" xr:uid="{00000000-0005-0000-0000-0000C2490000}"/>
    <cellStyle name="Accent2 54" xfId="2063" xr:uid="{00000000-0005-0000-0000-0000C3490000}"/>
    <cellStyle name="Accent2 55" xfId="2064" xr:uid="{00000000-0005-0000-0000-0000C4490000}"/>
    <cellStyle name="Accent2 56" xfId="2065" xr:uid="{00000000-0005-0000-0000-0000C5490000}"/>
    <cellStyle name="Accent2 57" xfId="2066" xr:uid="{00000000-0005-0000-0000-0000C6490000}"/>
    <cellStyle name="Accent2 58" xfId="2067" xr:uid="{00000000-0005-0000-0000-0000C7490000}"/>
    <cellStyle name="Accent2 59" xfId="2068" xr:uid="{00000000-0005-0000-0000-0000C8490000}"/>
    <cellStyle name="Accent2 6" xfId="2069" xr:uid="{00000000-0005-0000-0000-0000C9490000}"/>
    <cellStyle name="Accent2 60" xfId="2070" xr:uid="{00000000-0005-0000-0000-0000CA490000}"/>
    <cellStyle name="Accent2 61" xfId="2071" xr:uid="{00000000-0005-0000-0000-0000CB490000}"/>
    <cellStyle name="Accent2 62" xfId="2072" xr:uid="{00000000-0005-0000-0000-0000CC490000}"/>
    <cellStyle name="Accent2 63" xfId="2073" xr:uid="{00000000-0005-0000-0000-0000CD490000}"/>
    <cellStyle name="Accent2 64" xfId="2074" xr:uid="{00000000-0005-0000-0000-0000CE490000}"/>
    <cellStyle name="Accent2 65" xfId="2075" xr:uid="{00000000-0005-0000-0000-0000CF490000}"/>
    <cellStyle name="Accent2 66" xfId="2076" xr:uid="{00000000-0005-0000-0000-0000D0490000}"/>
    <cellStyle name="Accent2 67" xfId="2077" xr:uid="{00000000-0005-0000-0000-0000D1490000}"/>
    <cellStyle name="Accent2 68" xfId="2078" xr:uid="{00000000-0005-0000-0000-0000D2490000}"/>
    <cellStyle name="Accent2 69" xfId="2079" xr:uid="{00000000-0005-0000-0000-0000D3490000}"/>
    <cellStyle name="Accent2 7" xfId="2080" xr:uid="{00000000-0005-0000-0000-0000D4490000}"/>
    <cellStyle name="Accent2 70" xfId="2081" xr:uid="{00000000-0005-0000-0000-0000D5490000}"/>
    <cellStyle name="Accent2 71" xfId="2082" xr:uid="{00000000-0005-0000-0000-0000D6490000}"/>
    <cellStyle name="Accent2 72" xfId="2083" xr:uid="{00000000-0005-0000-0000-0000D7490000}"/>
    <cellStyle name="Accent2 8" xfId="2084" xr:uid="{00000000-0005-0000-0000-0000D8490000}"/>
    <cellStyle name="Accent2 9" xfId="2085" xr:uid="{00000000-0005-0000-0000-0000D9490000}"/>
    <cellStyle name="Accent3 - 20%" xfId="24021" xr:uid="{00000000-0005-0000-0000-0000DA490000}"/>
    <cellStyle name="Accent3 - 40%" xfId="24022" xr:uid="{00000000-0005-0000-0000-0000DB490000}"/>
    <cellStyle name="Accent3 - 60%" xfId="24023" xr:uid="{00000000-0005-0000-0000-0000DC490000}"/>
    <cellStyle name="Accent3 10" xfId="2086" xr:uid="{00000000-0005-0000-0000-0000DD490000}"/>
    <cellStyle name="Accent3 11" xfId="2087" xr:uid="{00000000-0005-0000-0000-0000DE490000}"/>
    <cellStyle name="Accent3 12" xfId="2088" xr:uid="{00000000-0005-0000-0000-0000DF490000}"/>
    <cellStyle name="Accent3 13" xfId="2089" xr:uid="{00000000-0005-0000-0000-0000E0490000}"/>
    <cellStyle name="Accent3 14" xfId="2090" xr:uid="{00000000-0005-0000-0000-0000E1490000}"/>
    <cellStyle name="Accent3 15" xfId="2091" xr:uid="{00000000-0005-0000-0000-0000E2490000}"/>
    <cellStyle name="Accent3 16" xfId="2092" xr:uid="{00000000-0005-0000-0000-0000E3490000}"/>
    <cellStyle name="Accent3 17" xfId="2093" xr:uid="{00000000-0005-0000-0000-0000E4490000}"/>
    <cellStyle name="Accent3 18" xfId="2094" xr:uid="{00000000-0005-0000-0000-0000E5490000}"/>
    <cellStyle name="Accent3 19" xfId="2095" xr:uid="{00000000-0005-0000-0000-0000E6490000}"/>
    <cellStyle name="Accent3 2" xfId="2096" xr:uid="{00000000-0005-0000-0000-0000E7490000}"/>
    <cellStyle name="Accent3 2 2" xfId="24025" xr:uid="{00000000-0005-0000-0000-0000E8490000}"/>
    <cellStyle name="Accent3 2 3" xfId="24024" xr:uid="{00000000-0005-0000-0000-0000E9490000}"/>
    <cellStyle name="Accent3 20" xfId="2097" xr:uid="{00000000-0005-0000-0000-0000EA490000}"/>
    <cellStyle name="Accent3 21" xfId="2098" xr:uid="{00000000-0005-0000-0000-0000EB490000}"/>
    <cellStyle name="Accent3 22" xfId="2099" xr:uid="{00000000-0005-0000-0000-0000EC490000}"/>
    <cellStyle name="Accent3 23" xfId="2100" xr:uid="{00000000-0005-0000-0000-0000ED490000}"/>
    <cellStyle name="Accent3 24" xfId="2101" xr:uid="{00000000-0005-0000-0000-0000EE490000}"/>
    <cellStyle name="Accent3 25" xfId="2102" xr:uid="{00000000-0005-0000-0000-0000EF490000}"/>
    <cellStyle name="Accent3 26" xfId="2103" xr:uid="{00000000-0005-0000-0000-0000F0490000}"/>
    <cellStyle name="Accent3 27" xfId="2104" xr:uid="{00000000-0005-0000-0000-0000F1490000}"/>
    <cellStyle name="Accent3 28" xfId="2105" xr:uid="{00000000-0005-0000-0000-0000F2490000}"/>
    <cellStyle name="Accent3 29" xfId="2106" xr:uid="{00000000-0005-0000-0000-0000F3490000}"/>
    <cellStyle name="Accent3 3" xfId="2107" xr:uid="{00000000-0005-0000-0000-0000F4490000}"/>
    <cellStyle name="Accent3 3 2" xfId="24026" xr:uid="{00000000-0005-0000-0000-0000F5490000}"/>
    <cellStyle name="Accent3 30" xfId="2108" xr:uid="{00000000-0005-0000-0000-0000F6490000}"/>
    <cellStyle name="Accent3 31" xfId="2109" xr:uid="{00000000-0005-0000-0000-0000F7490000}"/>
    <cellStyle name="Accent3 32" xfId="2110" xr:uid="{00000000-0005-0000-0000-0000F8490000}"/>
    <cellStyle name="Accent3 33" xfId="2111" xr:uid="{00000000-0005-0000-0000-0000F9490000}"/>
    <cellStyle name="Accent3 34" xfId="2112" xr:uid="{00000000-0005-0000-0000-0000FA490000}"/>
    <cellStyle name="Accent3 35" xfId="2113" xr:uid="{00000000-0005-0000-0000-0000FB490000}"/>
    <cellStyle name="Accent3 36" xfId="2114" xr:uid="{00000000-0005-0000-0000-0000FC490000}"/>
    <cellStyle name="Accent3 37" xfId="2115" xr:uid="{00000000-0005-0000-0000-0000FD490000}"/>
    <cellStyle name="Accent3 38" xfId="2116" xr:uid="{00000000-0005-0000-0000-0000FE490000}"/>
    <cellStyle name="Accent3 39" xfId="2117" xr:uid="{00000000-0005-0000-0000-0000FF490000}"/>
    <cellStyle name="Accent3 4" xfId="2118" xr:uid="{00000000-0005-0000-0000-0000004A0000}"/>
    <cellStyle name="Accent3 4 2" xfId="24027" xr:uid="{00000000-0005-0000-0000-0000014A0000}"/>
    <cellStyle name="Accent3 40" xfId="2119" xr:uid="{00000000-0005-0000-0000-0000024A0000}"/>
    <cellStyle name="Accent3 41" xfId="2120" xr:uid="{00000000-0005-0000-0000-0000034A0000}"/>
    <cellStyle name="Accent3 42" xfId="2121" xr:uid="{00000000-0005-0000-0000-0000044A0000}"/>
    <cellStyle name="Accent3 43" xfId="2122" xr:uid="{00000000-0005-0000-0000-0000054A0000}"/>
    <cellStyle name="Accent3 44" xfId="2123" xr:uid="{00000000-0005-0000-0000-0000064A0000}"/>
    <cellStyle name="Accent3 45" xfId="2124" xr:uid="{00000000-0005-0000-0000-0000074A0000}"/>
    <cellStyle name="Accent3 46" xfId="2125" xr:uid="{00000000-0005-0000-0000-0000084A0000}"/>
    <cellStyle name="Accent3 47" xfId="2126" xr:uid="{00000000-0005-0000-0000-0000094A0000}"/>
    <cellStyle name="Accent3 48" xfId="2127" xr:uid="{00000000-0005-0000-0000-00000A4A0000}"/>
    <cellStyle name="Accent3 49" xfId="2128" xr:uid="{00000000-0005-0000-0000-00000B4A0000}"/>
    <cellStyle name="Accent3 5" xfId="2129" xr:uid="{00000000-0005-0000-0000-00000C4A0000}"/>
    <cellStyle name="Accent3 50" xfId="2130" xr:uid="{00000000-0005-0000-0000-00000D4A0000}"/>
    <cellStyle name="Accent3 51" xfId="2131" xr:uid="{00000000-0005-0000-0000-00000E4A0000}"/>
    <cellStyle name="Accent3 52" xfId="2132" xr:uid="{00000000-0005-0000-0000-00000F4A0000}"/>
    <cellStyle name="Accent3 53" xfId="2133" xr:uid="{00000000-0005-0000-0000-0000104A0000}"/>
    <cellStyle name="Accent3 54" xfId="2134" xr:uid="{00000000-0005-0000-0000-0000114A0000}"/>
    <cellStyle name="Accent3 55" xfId="2135" xr:uid="{00000000-0005-0000-0000-0000124A0000}"/>
    <cellStyle name="Accent3 56" xfId="2136" xr:uid="{00000000-0005-0000-0000-0000134A0000}"/>
    <cellStyle name="Accent3 57" xfId="2137" xr:uid="{00000000-0005-0000-0000-0000144A0000}"/>
    <cellStyle name="Accent3 58" xfId="2138" xr:uid="{00000000-0005-0000-0000-0000154A0000}"/>
    <cellStyle name="Accent3 59" xfId="2139" xr:uid="{00000000-0005-0000-0000-0000164A0000}"/>
    <cellStyle name="Accent3 6" xfId="2140" xr:uid="{00000000-0005-0000-0000-0000174A0000}"/>
    <cellStyle name="Accent3 60" xfId="2141" xr:uid="{00000000-0005-0000-0000-0000184A0000}"/>
    <cellStyle name="Accent3 61" xfId="2142" xr:uid="{00000000-0005-0000-0000-0000194A0000}"/>
    <cellStyle name="Accent3 62" xfId="2143" xr:uid="{00000000-0005-0000-0000-00001A4A0000}"/>
    <cellStyle name="Accent3 63" xfId="2144" xr:uid="{00000000-0005-0000-0000-00001B4A0000}"/>
    <cellStyle name="Accent3 64" xfId="2145" xr:uid="{00000000-0005-0000-0000-00001C4A0000}"/>
    <cellStyle name="Accent3 65" xfId="2146" xr:uid="{00000000-0005-0000-0000-00001D4A0000}"/>
    <cellStyle name="Accent3 66" xfId="2147" xr:uid="{00000000-0005-0000-0000-00001E4A0000}"/>
    <cellStyle name="Accent3 67" xfId="2148" xr:uid="{00000000-0005-0000-0000-00001F4A0000}"/>
    <cellStyle name="Accent3 68" xfId="2149" xr:uid="{00000000-0005-0000-0000-0000204A0000}"/>
    <cellStyle name="Accent3 69" xfId="2150" xr:uid="{00000000-0005-0000-0000-0000214A0000}"/>
    <cellStyle name="Accent3 7" xfId="2151" xr:uid="{00000000-0005-0000-0000-0000224A0000}"/>
    <cellStyle name="Accent3 70" xfId="2152" xr:uid="{00000000-0005-0000-0000-0000234A0000}"/>
    <cellStyle name="Accent3 71" xfId="2153" xr:uid="{00000000-0005-0000-0000-0000244A0000}"/>
    <cellStyle name="Accent3 72" xfId="2154" xr:uid="{00000000-0005-0000-0000-0000254A0000}"/>
    <cellStyle name="Accent3 8" xfId="2155" xr:uid="{00000000-0005-0000-0000-0000264A0000}"/>
    <cellStyle name="Accent3 9" xfId="2156" xr:uid="{00000000-0005-0000-0000-0000274A0000}"/>
    <cellStyle name="Accent4 - 20%" xfId="24028" xr:uid="{00000000-0005-0000-0000-0000284A0000}"/>
    <cellStyle name="Accent4 - 40%" xfId="24029" xr:uid="{00000000-0005-0000-0000-0000294A0000}"/>
    <cellStyle name="Accent4 - 60%" xfId="24030" xr:uid="{00000000-0005-0000-0000-00002A4A0000}"/>
    <cellStyle name="Accent4 10" xfId="2157" xr:uid="{00000000-0005-0000-0000-00002B4A0000}"/>
    <cellStyle name="Accent4 11" xfId="2158" xr:uid="{00000000-0005-0000-0000-00002C4A0000}"/>
    <cellStyle name="Accent4 12" xfId="2159" xr:uid="{00000000-0005-0000-0000-00002D4A0000}"/>
    <cellStyle name="Accent4 13" xfId="2160" xr:uid="{00000000-0005-0000-0000-00002E4A0000}"/>
    <cellStyle name="Accent4 14" xfId="2161" xr:uid="{00000000-0005-0000-0000-00002F4A0000}"/>
    <cellStyle name="Accent4 15" xfId="2162" xr:uid="{00000000-0005-0000-0000-0000304A0000}"/>
    <cellStyle name="Accent4 16" xfId="2163" xr:uid="{00000000-0005-0000-0000-0000314A0000}"/>
    <cellStyle name="Accent4 17" xfId="2164" xr:uid="{00000000-0005-0000-0000-0000324A0000}"/>
    <cellStyle name="Accent4 18" xfId="2165" xr:uid="{00000000-0005-0000-0000-0000334A0000}"/>
    <cellStyle name="Accent4 19" xfId="2166" xr:uid="{00000000-0005-0000-0000-0000344A0000}"/>
    <cellStyle name="Accent4 2" xfId="2167" xr:uid="{00000000-0005-0000-0000-0000354A0000}"/>
    <cellStyle name="Accent4 2 2" xfId="24034" xr:uid="{00000000-0005-0000-0000-0000364A0000}"/>
    <cellStyle name="Accent4 2 3" xfId="24033" xr:uid="{00000000-0005-0000-0000-0000374A0000}"/>
    <cellStyle name="Accent4 20" xfId="2168" xr:uid="{00000000-0005-0000-0000-0000384A0000}"/>
    <cellStyle name="Accent4 21" xfId="2169" xr:uid="{00000000-0005-0000-0000-0000394A0000}"/>
    <cellStyle name="Accent4 22" xfId="2170" xr:uid="{00000000-0005-0000-0000-00003A4A0000}"/>
    <cellStyle name="Accent4 23" xfId="2171" xr:uid="{00000000-0005-0000-0000-00003B4A0000}"/>
    <cellStyle name="Accent4 24" xfId="2172" xr:uid="{00000000-0005-0000-0000-00003C4A0000}"/>
    <cellStyle name="Accent4 25" xfId="2173" xr:uid="{00000000-0005-0000-0000-00003D4A0000}"/>
    <cellStyle name="Accent4 26" xfId="2174" xr:uid="{00000000-0005-0000-0000-00003E4A0000}"/>
    <cellStyle name="Accent4 27" xfId="2175" xr:uid="{00000000-0005-0000-0000-00003F4A0000}"/>
    <cellStyle name="Accent4 28" xfId="2176" xr:uid="{00000000-0005-0000-0000-0000404A0000}"/>
    <cellStyle name="Accent4 29" xfId="2177" xr:uid="{00000000-0005-0000-0000-0000414A0000}"/>
    <cellStyle name="Accent4 3" xfId="2178" xr:uid="{00000000-0005-0000-0000-0000424A0000}"/>
    <cellStyle name="Accent4 3 2" xfId="24035" xr:uid="{00000000-0005-0000-0000-0000434A0000}"/>
    <cellStyle name="Accent4 30" xfId="2179" xr:uid="{00000000-0005-0000-0000-0000444A0000}"/>
    <cellStyle name="Accent4 31" xfId="2180" xr:uid="{00000000-0005-0000-0000-0000454A0000}"/>
    <cellStyle name="Accent4 32" xfId="2181" xr:uid="{00000000-0005-0000-0000-0000464A0000}"/>
    <cellStyle name="Accent4 33" xfId="2182" xr:uid="{00000000-0005-0000-0000-0000474A0000}"/>
    <cellStyle name="Accent4 34" xfId="2183" xr:uid="{00000000-0005-0000-0000-0000484A0000}"/>
    <cellStyle name="Accent4 35" xfId="2184" xr:uid="{00000000-0005-0000-0000-0000494A0000}"/>
    <cellStyle name="Accent4 36" xfId="2185" xr:uid="{00000000-0005-0000-0000-00004A4A0000}"/>
    <cellStyle name="Accent4 37" xfId="2186" xr:uid="{00000000-0005-0000-0000-00004B4A0000}"/>
    <cellStyle name="Accent4 38" xfId="2187" xr:uid="{00000000-0005-0000-0000-00004C4A0000}"/>
    <cellStyle name="Accent4 39" xfId="2188" xr:uid="{00000000-0005-0000-0000-00004D4A0000}"/>
    <cellStyle name="Accent4 4" xfId="2189" xr:uid="{00000000-0005-0000-0000-00004E4A0000}"/>
    <cellStyle name="Accent4 4 2" xfId="24036" xr:uid="{00000000-0005-0000-0000-00004F4A0000}"/>
    <cellStyle name="Accent4 40" xfId="2190" xr:uid="{00000000-0005-0000-0000-0000504A0000}"/>
    <cellStyle name="Accent4 41" xfId="2191" xr:uid="{00000000-0005-0000-0000-0000514A0000}"/>
    <cellStyle name="Accent4 42" xfId="2192" xr:uid="{00000000-0005-0000-0000-0000524A0000}"/>
    <cellStyle name="Accent4 43" xfId="2193" xr:uid="{00000000-0005-0000-0000-0000534A0000}"/>
    <cellStyle name="Accent4 44" xfId="2194" xr:uid="{00000000-0005-0000-0000-0000544A0000}"/>
    <cellStyle name="Accent4 45" xfId="2195" xr:uid="{00000000-0005-0000-0000-0000554A0000}"/>
    <cellStyle name="Accent4 46" xfId="2196" xr:uid="{00000000-0005-0000-0000-0000564A0000}"/>
    <cellStyle name="Accent4 47" xfId="2197" xr:uid="{00000000-0005-0000-0000-0000574A0000}"/>
    <cellStyle name="Accent4 48" xfId="2198" xr:uid="{00000000-0005-0000-0000-0000584A0000}"/>
    <cellStyle name="Accent4 49" xfId="2199" xr:uid="{00000000-0005-0000-0000-0000594A0000}"/>
    <cellStyle name="Accent4 5" xfId="2200" xr:uid="{00000000-0005-0000-0000-00005A4A0000}"/>
    <cellStyle name="Accent4 50" xfId="2201" xr:uid="{00000000-0005-0000-0000-00005B4A0000}"/>
    <cellStyle name="Accent4 51" xfId="2202" xr:uid="{00000000-0005-0000-0000-00005C4A0000}"/>
    <cellStyle name="Accent4 52" xfId="2203" xr:uid="{00000000-0005-0000-0000-00005D4A0000}"/>
    <cellStyle name="Accent4 53" xfId="2204" xr:uid="{00000000-0005-0000-0000-00005E4A0000}"/>
    <cellStyle name="Accent4 54" xfId="2205" xr:uid="{00000000-0005-0000-0000-00005F4A0000}"/>
    <cellStyle name="Accent4 55" xfId="2206" xr:uid="{00000000-0005-0000-0000-0000604A0000}"/>
    <cellStyle name="Accent4 56" xfId="2207" xr:uid="{00000000-0005-0000-0000-0000614A0000}"/>
    <cellStyle name="Accent4 57" xfId="2208" xr:uid="{00000000-0005-0000-0000-0000624A0000}"/>
    <cellStyle name="Accent4 58" xfId="2209" xr:uid="{00000000-0005-0000-0000-0000634A0000}"/>
    <cellStyle name="Accent4 59" xfId="2210" xr:uid="{00000000-0005-0000-0000-0000644A0000}"/>
    <cellStyle name="Accent4 6" xfId="2211" xr:uid="{00000000-0005-0000-0000-0000654A0000}"/>
    <cellStyle name="Accent4 60" xfId="2212" xr:uid="{00000000-0005-0000-0000-0000664A0000}"/>
    <cellStyle name="Accent4 61" xfId="2213" xr:uid="{00000000-0005-0000-0000-0000674A0000}"/>
    <cellStyle name="Accent4 62" xfId="2214" xr:uid="{00000000-0005-0000-0000-0000684A0000}"/>
    <cellStyle name="Accent4 63" xfId="2215" xr:uid="{00000000-0005-0000-0000-0000694A0000}"/>
    <cellStyle name="Accent4 64" xfId="2216" xr:uid="{00000000-0005-0000-0000-00006A4A0000}"/>
    <cellStyle name="Accent4 65" xfId="2217" xr:uid="{00000000-0005-0000-0000-00006B4A0000}"/>
    <cellStyle name="Accent4 66" xfId="2218" xr:uid="{00000000-0005-0000-0000-00006C4A0000}"/>
    <cellStyle name="Accent4 67" xfId="2219" xr:uid="{00000000-0005-0000-0000-00006D4A0000}"/>
    <cellStyle name="Accent4 68" xfId="2220" xr:uid="{00000000-0005-0000-0000-00006E4A0000}"/>
    <cellStyle name="Accent4 69" xfId="2221" xr:uid="{00000000-0005-0000-0000-00006F4A0000}"/>
    <cellStyle name="Accent4 7" xfId="2222" xr:uid="{00000000-0005-0000-0000-0000704A0000}"/>
    <cellStyle name="Accent4 70" xfId="2223" xr:uid="{00000000-0005-0000-0000-0000714A0000}"/>
    <cellStyle name="Accent4 71" xfId="2224" xr:uid="{00000000-0005-0000-0000-0000724A0000}"/>
    <cellStyle name="Accent4 72" xfId="2225" xr:uid="{00000000-0005-0000-0000-0000734A0000}"/>
    <cellStyle name="Accent4 8" xfId="2226" xr:uid="{00000000-0005-0000-0000-0000744A0000}"/>
    <cellStyle name="Accent4 9" xfId="2227" xr:uid="{00000000-0005-0000-0000-0000754A0000}"/>
    <cellStyle name="Accent5 - 20%" xfId="24037" xr:uid="{00000000-0005-0000-0000-0000764A0000}"/>
    <cellStyle name="Accent5 - 40%" xfId="24038" xr:uid="{00000000-0005-0000-0000-0000774A0000}"/>
    <cellStyle name="Accent5 - 60%" xfId="24039" xr:uid="{00000000-0005-0000-0000-0000784A0000}"/>
    <cellStyle name="Accent5 10" xfId="2228" xr:uid="{00000000-0005-0000-0000-0000794A0000}"/>
    <cellStyle name="Accent5 11" xfId="2229" xr:uid="{00000000-0005-0000-0000-00007A4A0000}"/>
    <cellStyle name="Accent5 12" xfId="2230" xr:uid="{00000000-0005-0000-0000-00007B4A0000}"/>
    <cellStyle name="Accent5 13" xfId="2231" xr:uid="{00000000-0005-0000-0000-00007C4A0000}"/>
    <cellStyle name="Accent5 14" xfId="2232" xr:uid="{00000000-0005-0000-0000-00007D4A0000}"/>
    <cellStyle name="Accent5 15" xfId="2233" xr:uid="{00000000-0005-0000-0000-00007E4A0000}"/>
    <cellStyle name="Accent5 16" xfId="2234" xr:uid="{00000000-0005-0000-0000-00007F4A0000}"/>
    <cellStyle name="Accent5 17" xfId="2235" xr:uid="{00000000-0005-0000-0000-0000804A0000}"/>
    <cellStyle name="Accent5 18" xfId="2236" xr:uid="{00000000-0005-0000-0000-0000814A0000}"/>
    <cellStyle name="Accent5 19" xfId="2237" xr:uid="{00000000-0005-0000-0000-0000824A0000}"/>
    <cellStyle name="Accent5 2" xfId="2238" xr:uid="{00000000-0005-0000-0000-0000834A0000}"/>
    <cellStyle name="Accent5 2 2" xfId="24041" xr:uid="{00000000-0005-0000-0000-0000844A0000}"/>
    <cellStyle name="Accent5 2 3" xfId="24040" xr:uid="{00000000-0005-0000-0000-0000854A0000}"/>
    <cellStyle name="Accent5 20" xfId="2239" xr:uid="{00000000-0005-0000-0000-0000864A0000}"/>
    <cellStyle name="Accent5 21" xfId="2240" xr:uid="{00000000-0005-0000-0000-0000874A0000}"/>
    <cellStyle name="Accent5 22" xfId="2241" xr:uid="{00000000-0005-0000-0000-0000884A0000}"/>
    <cellStyle name="Accent5 23" xfId="2242" xr:uid="{00000000-0005-0000-0000-0000894A0000}"/>
    <cellStyle name="Accent5 24" xfId="2243" xr:uid="{00000000-0005-0000-0000-00008A4A0000}"/>
    <cellStyle name="Accent5 25" xfId="2244" xr:uid="{00000000-0005-0000-0000-00008B4A0000}"/>
    <cellStyle name="Accent5 26" xfId="2245" xr:uid="{00000000-0005-0000-0000-00008C4A0000}"/>
    <cellStyle name="Accent5 27" xfId="2246" xr:uid="{00000000-0005-0000-0000-00008D4A0000}"/>
    <cellStyle name="Accent5 28" xfId="2247" xr:uid="{00000000-0005-0000-0000-00008E4A0000}"/>
    <cellStyle name="Accent5 29" xfId="2248" xr:uid="{00000000-0005-0000-0000-00008F4A0000}"/>
    <cellStyle name="Accent5 3" xfId="2249" xr:uid="{00000000-0005-0000-0000-0000904A0000}"/>
    <cellStyle name="Accent5 3 2" xfId="24042" xr:uid="{00000000-0005-0000-0000-0000914A0000}"/>
    <cellStyle name="Accent5 30" xfId="2250" xr:uid="{00000000-0005-0000-0000-0000924A0000}"/>
    <cellStyle name="Accent5 31" xfId="2251" xr:uid="{00000000-0005-0000-0000-0000934A0000}"/>
    <cellStyle name="Accent5 32" xfId="2252" xr:uid="{00000000-0005-0000-0000-0000944A0000}"/>
    <cellStyle name="Accent5 33" xfId="2253" xr:uid="{00000000-0005-0000-0000-0000954A0000}"/>
    <cellStyle name="Accent5 34" xfId="2254" xr:uid="{00000000-0005-0000-0000-0000964A0000}"/>
    <cellStyle name="Accent5 35" xfId="2255" xr:uid="{00000000-0005-0000-0000-0000974A0000}"/>
    <cellStyle name="Accent5 36" xfId="2256" xr:uid="{00000000-0005-0000-0000-0000984A0000}"/>
    <cellStyle name="Accent5 37" xfId="2257" xr:uid="{00000000-0005-0000-0000-0000994A0000}"/>
    <cellStyle name="Accent5 38" xfId="2258" xr:uid="{00000000-0005-0000-0000-00009A4A0000}"/>
    <cellStyle name="Accent5 39" xfId="2259" xr:uid="{00000000-0005-0000-0000-00009B4A0000}"/>
    <cellStyle name="Accent5 4" xfId="2260" xr:uid="{00000000-0005-0000-0000-00009C4A0000}"/>
    <cellStyle name="Accent5 4 2" xfId="24043" xr:uid="{00000000-0005-0000-0000-00009D4A0000}"/>
    <cellStyle name="Accent5 40" xfId="2261" xr:uid="{00000000-0005-0000-0000-00009E4A0000}"/>
    <cellStyle name="Accent5 41" xfId="2262" xr:uid="{00000000-0005-0000-0000-00009F4A0000}"/>
    <cellStyle name="Accent5 42" xfId="2263" xr:uid="{00000000-0005-0000-0000-0000A04A0000}"/>
    <cellStyle name="Accent5 43" xfId="2264" xr:uid="{00000000-0005-0000-0000-0000A14A0000}"/>
    <cellStyle name="Accent5 44" xfId="2265" xr:uid="{00000000-0005-0000-0000-0000A24A0000}"/>
    <cellStyle name="Accent5 45" xfId="2266" xr:uid="{00000000-0005-0000-0000-0000A34A0000}"/>
    <cellStyle name="Accent5 46" xfId="2267" xr:uid="{00000000-0005-0000-0000-0000A44A0000}"/>
    <cellStyle name="Accent5 47" xfId="2268" xr:uid="{00000000-0005-0000-0000-0000A54A0000}"/>
    <cellStyle name="Accent5 48" xfId="2269" xr:uid="{00000000-0005-0000-0000-0000A64A0000}"/>
    <cellStyle name="Accent5 49" xfId="2270" xr:uid="{00000000-0005-0000-0000-0000A74A0000}"/>
    <cellStyle name="Accent5 5" xfId="2271" xr:uid="{00000000-0005-0000-0000-0000A84A0000}"/>
    <cellStyle name="Accent5 50" xfId="2272" xr:uid="{00000000-0005-0000-0000-0000A94A0000}"/>
    <cellStyle name="Accent5 51" xfId="2273" xr:uid="{00000000-0005-0000-0000-0000AA4A0000}"/>
    <cellStyle name="Accent5 52" xfId="2274" xr:uid="{00000000-0005-0000-0000-0000AB4A0000}"/>
    <cellStyle name="Accent5 53" xfId="2275" xr:uid="{00000000-0005-0000-0000-0000AC4A0000}"/>
    <cellStyle name="Accent5 54" xfId="2276" xr:uid="{00000000-0005-0000-0000-0000AD4A0000}"/>
    <cellStyle name="Accent5 55" xfId="2277" xr:uid="{00000000-0005-0000-0000-0000AE4A0000}"/>
    <cellStyle name="Accent5 56" xfId="2278" xr:uid="{00000000-0005-0000-0000-0000AF4A0000}"/>
    <cellStyle name="Accent5 57" xfId="2279" xr:uid="{00000000-0005-0000-0000-0000B04A0000}"/>
    <cellStyle name="Accent5 58" xfId="2280" xr:uid="{00000000-0005-0000-0000-0000B14A0000}"/>
    <cellStyle name="Accent5 59" xfId="2281" xr:uid="{00000000-0005-0000-0000-0000B24A0000}"/>
    <cellStyle name="Accent5 6" xfId="2282" xr:uid="{00000000-0005-0000-0000-0000B34A0000}"/>
    <cellStyle name="Accent5 60" xfId="2283" xr:uid="{00000000-0005-0000-0000-0000B44A0000}"/>
    <cellStyle name="Accent5 61" xfId="2284" xr:uid="{00000000-0005-0000-0000-0000B54A0000}"/>
    <cellStyle name="Accent5 62" xfId="2285" xr:uid="{00000000-0005-0000-0000-0000B64A0000}"/>
    <cellStyle name="Accent5 63" xfId="2286" xr:uid="{00000000-0005-0000-0000-0000B74A0000}"/>
    <cellStyle name="Accent5 64" xfId="2287" xr:uid="{00000000-0005-0000-0000-0000B84A0000}"/>
    <cellStyle name="Accent5 65" xfId="2288" xr:uid="{00000000-0005-0000-0000-0000B94A0000}"/>
    <cellStyle name="Accent5 66" xfId="2289" xr:uid="{00000000-0005-0000-0000-0000BA4A0000}"/>
    <cellStyle name="Accent5 67" xfId="2290" xr:uid="{00000000-0005-0000-0000-0000BB4A0000}"/>
    <cellStyle name="Accent5 68" xfId="2291" xr:uid="{00000000-0005-0000-0000-0000BC4A0000}"/>
    <cellStyle name="Accent5 69" xfId="2292" xr:uid="{00000000-0005-0000-0000-0000BD4A0000}"/>
    <cellStyle name="Accent5 7" xfId="2293" xr:uid="{00000000-0005-0000-0000-0000BE4A0000}"/>
    <cellStyle name="Accent5 70" xfId="2294" xr:uid="{00000000-0005-0000-0000-0000BF4A0000}"/>
    <cellStyle name="Accent5 71" xfId="2295" xr:uid="{00000000-0005-0000-0000-0000C04A0000}"/>
    <cellStyle name="Accent5 72" xfId="2296" xr:uid="{00000000-0005-0000-0000-0000C14A0000}"/>
    <cellStyle name="Accent5 8" xfId="2297" xr:uid="{00000000-0005-0000-0000-0000C24A0000}"/>
    <cellStyle name="Accent5 9" xfId="2298" xr:uid="{00000000-0005-0000-0000-0000C34A0000}"/>
    <cellStyle name="Accent6 - 20%" xfId="24044" xr:uid="{00000000-0005-0000-0000-0000C44A0000}"/>
    <cellStyle name="Accent6 - 40%" xfId="24045" xr:uid="{00000000-0005-0000-0000-0000C54A0000}"/>
    <cellStyle name="Accent6 - 60%" xfId="24046" xr:uid="{00000000-0005-0000-0000-0000C64A0000}"/>
    <cellStyle name="Accent6 10" xfId="2299" xr:uid="{00000000-0005-0000-0000-0000C74A0000}"/>
    <cellStyle name="Accent6 11" xfId="2300" xr:uid="{00000000-0005-0000-0000-0000C84A0000}"/>
    <cellStyle name="Accent6 12" xfId="2301" xr:uid="{00000000-0005-0000-0000-0000C94A0000}"/>
    <cellStyle name="Accent6 13" xfId="2302" xr:uid="{00000000-0005-0000-0000-0000CA4A0000}"/>
    <cellStyle name="Accent6 14" xfId="2303" xr:uid="{00000000-0005-0000-0000-0000CB4A0000}"/>
    <cellStyle name="Accent6 15" xfId="2304" xr:uid="{00000000-0005-0000-0000-0000CC4A0000}"/>
    <cellStyle name="Accent6 16" xfId="2305" xr:uid="{00000000-0005-0000-0000-0000CD4A0000}"/>
    <cellStyle name="Accent6 17" xfId="2306" xr:uid="{00000000-0005-0000-0000-0000CE4A0000}"/>
    <cellStyle name="Accent6 18" xfId="2307" xr:uid="{00000000-0005-0000-0000-0000CF4A0000}"/>
    <cellStyle name="Accent6 19" xfId="2308" xr:uid="{00000000-0005-0000-0000-0000D04A0000}"/>
    <cellStyle name="Accent6 2" xfId="2309" xr:uid="{00000000-0005-0000-0000-0000D14A0000}"/>
    <cellStyle name="Accent6 2 2" xfId="24048" xr:uid="{00000000-0005-0000-0000-0000D24A0000}"/>
    <cellStyle name="Accent6 2 3" xfId="24047" xr:uid="{00000000-0005-0000-0000-0000D34A0000}"/>
    <cellStyle name="Accent6 20" xfId="2310" xr:uid="{00000000-0005-0000-0000-0000D44A0000}"/>
    <cellStyle name="Accent6 21" xfId="2311" xr:uid="{00000000-0005-0000-0000-0000D54A0000}"/>
    <cellStyle name="Accent6 22" xfId="2312" xr:uid="{00000000-0005-0000-0000-0000D64A0000}"/>
    <cellStyle name="Accent6 23" xfId="2313" xr:uid="{00000000-0005-0000-0000-0000D74A0000}"/>
    <cellStyle name="Accent6 24" xfId="2314" xr:uid="{00000000-0005-0000-0000-0000D84A0000}"/>
    <cellStyle name="Accent6 25" xfId="2315" xr:uid="{00000000-0005-0000-0000-0000D94A0000}"/>
    <cellStyle name="Accent6 26" xfId="2316" xr:uid="{00000000-0005-0000-0000-0000DA4A0000}"/>
    <cellStyle name="Accent6 27" xfId="2317" xr:uid="{00000000-0005-0000-0000-0000DB4A0000}"/>
    <cellStyle name="Accent6 28" xfId="2318" xr:uid="{00000000-0005-0000-0000-0000DC4A0000}"/>
    <cellStyle name="Accent6 29" xfId="2319" xr:uid="{00000000-0005-0000-0000-0000DD4A0000}"/>
    <cellStyle name="Accent6 3" xfId="2320" xr:uid="{00000000-0005-0000-0000-0000DE4A0000}"/>
    <cellStyle name="Accent6 3 2" xfId="24049" xr:uid="{00000000-0005-0000-0000-0000DF4A0000}"/>
    <cellStyle name="Accent6 30" xfId="2321" xr:uid="{00000000-0005-0000-0000-0000E04A0000}"/>
    <cellStyle name="Accent6 31" xfId="2322" xr:uid="{00000000-0005-0000-0000-0000E14A0000}"/>
    <cellStyle name="Accent6 32" xfId="2323" xr:uid="{00000000-0005-0000-0000-0000E24A0000}"/>
    <cellStyle name="Accent6 33" xfId="2324" xr:uid="{00000000-0005-0000-0000-0000E34A0000}"/>
    <cellStyle name="Accent6 34" xfId="2325" xr:uid="{00000000-0005-0000-0000-0000E44A0000}"/>
    <cellStyle name="Accent6 35" xfId="2326" xr:uid="{00000000-0005-0000-0000-0000E54A0000}"/>
    <cellStyle name="Accent6 36" xfId="2327" xr:uid="{00000000-0005-0000-0000-0000E64A0000}"/>
    <cellStyle name="Accent6 37" xfId="2328" xr:uid="{00000000-0005-0000-0000-0000E74A0000}"/>
    <cellStyle name="Accent6 38" xfId="2329" xr:uid="{00000000-0005-0000-0000-0000E84A0000}"/>
    <cellStyle name="Accent6 39" xfId="2330" xr:uid="{00000000-0005-0000-0000-0000E94A0000}"/>
    <cellStyle name="Accent6 4" xfId="2331" xr:uid="{00000000-0005-0000-0000-0000EA4A0000}"/>
    <cellStyle name="Accent6 4 2" xfId="24050" xr:uid="{00000000-0005-0000-0000-0000EB4A0000}"/>
    <cellStyle name="Accent6 40" xfId="2332" xr:uid="{00000000-0005-0000-0000-0000EC4A0000}"/>
    <cellStyle name="Accent6 41" xfId="2333" xr:uid="{00000000-0005-0000-0000-0000ED4A0000}"/>
    <cellStyle name="Accent6 42" xfId="2334" xr:uid="{00000000-0005-0000-0000-0000EE4A0000}"/>
    <cellStyle name="Accent6 43" xfId="2335" xr:uid="{00000000-0005-0000-0000-0000EF4A0000}"/>
    <cellStyle name="Accent6 44" xfId="2336" xr:uid="{00000000-0005-0000-0000-0000F04A0000}"/>
    <cellStyle name="Accent6 45" xfId="2337" xr:uid="{00000000-0005-0000-0000-0000F14A0000}"/>
    <cellStyle name="Accent6 46" xfId="2338" xr:uid="{00000000-0005-0000-0000-0000F24A0000}"/>
    <cellStyle name="Accent6 47" xfId="2339" xr:uid="{00000000-0005-0000-0000-0000F34A0000}"/>
    <cellStyle name="Accent6 48" xfId="2340" xr:uid="{00000000-0005-0000-0000-0000F44A0000}"/>
    <cellStyle name="Accent6 49" xfId="2341" xr:uid="{00000000-0005-0000-0000-0000F54A0000}"/>
    <cellStyle name="Accent6 5" xfId="2342" xr:uid="{00000000-0005-0000-0000-0000F64A0000}"/>
    <cellStyle name="Accent6 50" xfId="2343" xr:uid="{00000000-0005-0000-0000-0000F74A0000}"/>
    <cellStyle name="Accent6 51" xfId="2344" xr:uid="{00000000-0005-0000-0000-0000F84A0000}"/>
    <cellStyle name="Accent6 52" xfId="2345" xr:uid="{00000000-0005-0000-0000-0000F94A0000}"/>
    <cellStyle name="Accent6 53" xfId="2346" xr:uid="{00000000-0005-0000-0000-0000FA4A0000}"/>
    <cellStyle name="Accent6 54" xfId="2347" xr:uid="{00000000-0005-0000-0000-0000FB4A0000}"/>
    <cellStyle name="Accent6 55" xfId="2348" xr:uid="{00000000-0005-0000-0000-0000FC4A0000}"/>
    <cellStyle name="Accent6 56" xfId="2349" xr:uid="{00000000-0005-0000-0000-0000FD4A0000}"/>
    <cellStyle name="Accent6 57" xfId="2350" xr:uid="{00000000-0005-0000-0000-0000FE4A0000}"/>
    <cellStyle name="Accent6 58" xfId="2351" xr:uid="{00000000-0005-0000-0000-0000FF4A0000}"/>
    <cellStyle name="Accent6 59" xfId="2352" xr:uid="{00000000-0005-0000-0000-0000004B0000}"/>
    <cellStyle name="Accent6 6" xfId="2353" xr:uid="{00000000-0005-0000-0000-0000014B0000}"/>
    <cellStyle name="Accent6 60" xfId="2354" xr:uid="{00000000-0005-0000-0000-0000024B0000}"/>
    <cellStyle name="Accent6 61" xfId="2355" xr:uid="{00000000-0005-0000-0000-0000034B0000}"/>
    <cellStyle name="Accent6 62" xfId="2356" xr:uid="{00000000-0005-0000-0000-0000044B0000}"/>
    <cellStyle name="Accent6 63" xfId="2357" xr:uid="{00000000-0005-0000-0000-0000054B0000}"/>
    <cellStyle name="Accent6 64" xfId="2358" xr:uid="{00000000-0005-0000-0000-0000064B0000}"/>
    <cellStyle name="Accent6 65" xfId="2359" xr:uid="{00000000-0005-0000-0000-0000074B0000}"/>
    <cellStyle name="Accent6 66" xfId="2360" xr:uid="{00000000-0005-0000-0000-0000084B0000}"/>
    <cellStyle name="Accent6 67" xfId="2361" xr:uid="{00000000-0005-0000-0000-0000094B0000}"/>
    <cellStyle name="Accent6 68" xfId="2362" xr:uid="{00000000-0005-0000-0000-00000A4B0000}"/>
    <cellStyle name="Accent6 69" xfId="2363" xr:uid="{00000000-0005-0000-0000-00000B4B0000}"/>
    <cellStyle name="Accent6 7" xfId="2364" xr:uid="{00000000-0005-0000-0000-00000C4B0000}"/>
    <cellStyle name="Accent6 70" xfId="2365" xr:uid="{00000000-0005-0000-0000-00000D4B0000}"/>
    <cellStyle name="Accent6 71" xfId="2366" xr:uid="{00000000-0005-0000-0000-00000E4B0000}"/>
    <cellStyle name="Accent6 72" xfId="2367" xr:uid="{00000000-0005-0000-0000-00000F4B0000}"/>
    <cellStyle name="Accent6 8" xfId="2368" xr:uid="{00000000-0005-0000-0000-0000104B0000}"/>
    <cellStyle name="Accent6 9" xfId="2369" xr:uid="{00000000-0005-0000-0000-0000114B0000}"/>
    <cellStyle name="Bad 10" xfId="2370" xr:uid="{00000000-0005-0000-0000-0000124B0000}"/>
    <cellStyle name="Bad 11" xfId="2371" xr:uid="{00000000-0005-0000-0000-0000134B0000}"/>
    <cellStyle name="Bad 12" xfId="2372" xr:uid="{00000000-0005-0000-0000-0000144B0000}"/>
    <cellStyle name="Bad 13" xfId="2373" xr:uid="{00000000-0005-0000-0000-0000154B0000}"/>
    <cellStyle name="Bad 14" xfId="2374" xr:uid="{00000000-0005-0000-0000-0000164B0000}"/>
    <cellStyle name="Bad 15" xfId="2375" xr:uid="{00000000-0005-0000-0000-0000174B0000}"/>
    <cellStyle name="Bad 16" xfId="2376" xr:uid="{00000000-0005-0000-0000-0000184B0000}"/>
    <cellStyle name="Bad 17" xfId="2377" xr:uid="{00000000-0005-0000-0000-0000194B0000}"/>
    <cellStyle name="Bad 18" xfId="2378" xr:uid="{00000000-0005-0000-0000-00001A4B0000}"/>
    <cellStyle name="Bad 19" xfId="2379" xr:uid="{00000000-0005-0000-0000-00001B4B0000}"/>
    <cellStyle name="Bad 2" xfId="2380" xr:uid="{00000000-0005-0000-0000-00001C4B0000}"/>
    <cellStyle name="Bad 2 2" xfId="24052" xr:uid="{00000000-0005-0000-0000-00001D4B0000}"/>
    <cellStyle name="Bad 2 3" xfId="24051" xr:uid="{00000000-0005-0000-0000-00001E4B0000}"/>
    <cellStyle name="Bad 20" xfId="2381" xr:uid="{00000000-0005-0000-0000-00001F4B0000}"/>
    <cellStyle name="Bad 21" xfId="2382" xr:uid="{00000000-0005-0000-0000-0000204B0000}"/>
    <cellStyle name="Bad 22" xfId="2383" xr:uid="{00000000-0005-0000-0000-0000214B0000}"/>
    <cellStyle name="Bad 23" xfId="2384" xr:uid="{00000000-0005-0000-0000-0000224B0000}"/>
    <cellStyle name="Bad 24" xfId="2385" xr:uid="{00000000-0005-0000-0000-0000234B0000}"/>
    <cellStyle name="Bad 25" xfId="2386" xr:uid="{00000000-0005-0000-0000-0000244B0000}"/>
    <cellStyle name="Bad 26" xfId="2387" xr:uid="{00000000-0005-0000-0000-0000254B0000}"/>
    <cellStyle name="Bad 27" xfId="2388" xr:uid="{00000000-0005-0000-0000-0000264B0000}"/>
    <cellStyle name="Bad 28" xfId="2389" xr:uid="{00000000-0005-0000-0000-0000274B0000}"/>
    <cellStyle name="Bad 29" xfId="2390" xr:uid="{00000000-0005-0000-0000-0000284B0000}"/>
    <cellStyle name="Bad 3" xfId="2391" xr:uid="{00000000-0005-0000-0000-0000294B0000}"/>
    <cellStyle name="Bad 3 2" xfId="24053" xr:uid="{00000000-0005-0000-0000-00002A4B0000}"/>
    <cellStyle name="Bad 30" xfId="2392" xr:uid="{00000000-0005-0000-0000-00002B4B0000}"/>
    <cellStyle name="Bad 31" xfId="2393" xr:uid="{00000000-0005-0000-0000-00002C4B0000}"/>
    <cellStyle name="Bad 32" xfId="2394" xr:uid="{00000000-0005-0000-0000-00002D4B0000}"/>
    <cellStyle name="Bad 33" xfId="2395" xr:uid="{00000000-0005-0000-0000-00002E4B0000}"/>
    <cellStyle name="Bad 34" xfId="2396" xr:uid="{00000000-0005-0000-0000-00002F4B0000}"/>
    <cellStyle name="Bad 35" xfId="2397" xr:uid="{00000000-0005-0000-0000-0000304B0000}"/>
    <cellStyle name="Bad 36" xfId="2398" xr:uid="{00000000-0005-0000-0000-0000314B0000}"/>
    <cellStyle name="Bad 37" xfId="2399" xr:uid="{00000000-0005-0000-0000-0000324B0000}"/>
    <cellStyle name="Bad 38" xfId="2400" xr:uid="{00000000-0005-0000-0000-0000334B0000}"/>
    <cellStyle name="Bad 39" xfId="2401" xr:uid="{00000000-0005-0000-0000-0000344B0000}"/>
    <cellStyle name="Bad 4" xfId="2402" xr:uid="{00000000-0005-0000-0000-0000354B0000}"/>
    <cellStyle name="Bad 4 2" xfId="24054" xr:uid="{00000000-0005-0000-0000-0000364B0000}"/>
    <cellStyle name="Bad 40" xfId="2403" xr:uid="{00000000-0005-0000-0000-0000374B0000}"/>
    <cellStyle name="Bad 41" xfId="2404" xr:uid="{00000000-0005-0000-0000-0000384B0000}"/>
    <cellStyle name="Bad 42" xfId="2405" xr:uid="{00000000-0005-0000-0000-0000394B0000}"/>
    <cellStyle name="Bad 43" xfId="2406" xr:uid="{00000000-0005-0000-0000-00003A4B0000}"/>
    <cellStyle name="Bad 44" xfId="2407" xr:uid="{00000000-0005-0000-0000-00003B4B0000}"/>
    <cellStyle name="Bad 45" xfId="2408" xr:uid="{00000000-0005-0000-0000-00003C4B0000}"/>
    <cellStyle name="Bad 46" xfId="2409" xr:uid="{00000000-0005-0000-0000-00003D4B0000}"/>
    <cellStyle name="Bad 47" xfId="2410" xr:uid="{00000000-0005-0000-0000-00003E4B0000}"/>
    <cellStyle name="Bad 48" xfId="2411" xr:uid="{00000000-0005-0000-0000-00003F4B0000}"/>
    <cellStyle name="Bad 49" xfId="2412" xr:uid="{00000000-0005-0000-0000-0000404B0000}"/>
    <cellStyle name="Bad 5" xfId="2413" xr:uid="{00000000-0005-0000-0000-0000414B0000}"/>
    <cellStyle name="Bad 50" xfId="2414" xr:uid="{00000000-0005-0000-0000-0000424B0000}"/>
    <cellStyle name="Bad 51" xfId="2415" xr:uid="{00000000-0005-0000-0000-0000434B0000}"/>
    <cellStyle name="Bad 52" xfId="2416" xr:uid="{00000000-0005-0000-0000-0000444B0000}"/>
    <cellStyle name="Bad 53" xfId="2417" xr:uid="{00000000-0005-0000-0000-0000454B0000}"/>
    <cellStyle name="Bad 54" xfId="2418" xr:uid="{00000000-0005-0000-0000-0000464B0000}"/>
    <cellStyle name="Bad 55" xfId="2419" xr:uid="{00000000-0005-0000-0000-0000474B0000}"/>
    <cellStyle name="Bad 56" xfId="2420" xr:uid="{00000000-0005-0000-0000-0000484B0000}"/>
    <cellStyle name="Bad 57" xfId="2421" xr:uid="{00000000-0005-0000-0000-0000494B0000}"/>
    <cellStyle name="Bad 58" xfId="2422" xr:uid="{00000000-0005-0000-0000-00004A4B0000}"/>
    <cellStyle name="Bad 59" xfId="2423" xr:uid="{00000000-0005-0000-0000-00004B4B0000}"/>
    <cellStyle name="Bad 6" xfId="2424" xr:uid="{00000000-0005-0000-0000-00004C4B0000}"/>
    <cellStyle name="Bad 60" xfId="2425" xr:uid="{00000000-0005-0000-0000-00004D4B0000}"/>
    <cellStyle name="Bad 61" xfId="2426" xr:uid="{00000000-0005-0000-0000-00004E4B0000}"/>
    <cellStyle name="Bad 62" xfId="2427" xr:uid="{00000000-0005-0000-0000-00004F4B0000}"/>
    <cellStyle name="Bad 63" xfId="2428" xr:uid="{00000000-0005-0000-0000-0000504B0000}"/>
    <cellStyle name="Bad 64" xfId="2429" xr:uid="{00000000-0005-0000-0000-0000514B0000}"/>
    <cellStyle name="Bad 65" xfId="2430" xr:uid="{00000000-0005-0000-0000-0000524B0000}"/>
    <cellStyle name="Bad 66" xfId="2431" xr:uid="{00000000-0005-0000-0000-0000534B0000}"/>
    <cellStyle name="Bad 67" xfId="2432" xr:uid="{00000000-0005-0000-0000-0000544B0000}"/>
    <cellStyle name="Bad 68" xfId="2433" xr:uid="{00000000-0005-0000-0000-0000554B0000}"/>
    <cellStyle name="Bad 69" xfId="2434" xr:uid="{00000000-0005-0000-0000-0000564B0000}"/>
    <cellStyle name="Bad 7" xfId="2435" xr:uid="{00000000-0005-0000-0000-0000574B0000}"/>
    <cellStyle name="Bad 70" xfId="2436" xr:uid="{00000000-0005-0000-0000-0000584B0000}"/>
    <cellStyle name="Bad 71" xfId="2437" xr:uid="{00000000-0005-0000-0000-0000594B0000}"/>
    <cellStyle name="Bad 72" xfId="2438" xr:uid="{00000000-0005-0000-0000-00005A4B0000}"/>
    <cellStyle name="Bad 8" xfId="2439" xr:uid="{00000000-0005-0000-0000-00005B4B0000}"/>
    <cellStyle name="Bad 9" xfId="2440" xr:uid="{00000000-0005-0000-0000-00005C4B0000}"/>
    <cellStyle name="BlackStrike" xfId="540" xr:uid="{00000000-0005-0000-0000-00005D4B0000}"/>
    <cellStyle name="BlackText" xfId="541" xr:uid="{00000000-0005-0000-0000-00005E4B0000}"/>
    <cellStyle name="Blue" xfId="542" xr:uid="{00000000-0005-0000-0000-00005F4B0000}"/>
    <cellStyle name="BoldText" xfId="543" xr:uid="{00000000-0005-0000-0000-0000604B0000}"/>
    <cellStyle name="Border Heavy" xfId="544" xr:uid="{00000000-0005-0000-0000-0000614B0000}"/>
    <cellStyle name="Border Heavy 2" xfId="24285" xr:uid="{00000000-0005-0000-0000-0000624B0000}"/>
    <cellStyle name="Border Heavy 2 2" xfId="26877" xr:uid="{00000000-0005-0000-0000-0000634B0000}"/>
    <cellStyle name="Border Heavy 2 2 2" xfId="31638" xr:uid="{700635AD-BC88-4A5A-BD92-83BE05124C23}"/>
    <cellStyle name="Border Thin" xfId="545" xr:uid="{00000000-0005-0000-0000-0000644B0000}"/>
    <cellStyle name="Border Thin 2" xfId="24055" xr:uid="{00000000-0005-0000-0000-0000654B0000}"/>
    <cellStyle name="Border Thin 2 2" xfId="27048" xr:uid="{00000000-0005-0000-0000-0000664B0000}"/>
    <cellStyle name="Border Thin 2 2 2" xfId="31793" xr:uid="{484BE277-BF68-4EDB-BD3E-784F5BF2A081}"/>
    <cellStyle name="Border Thin 2 3" xfId="29401" xr:uid="{00000000-0005-0000-0000-0000674B0000}"/>
    <cellStyle name="Border Thin 2 3 2" xfId="33346" xr:uid="{0BD560DC-5140-4E70-86A9-7EA57D36B43C}"/>
    <cellStyle name="Border Thin 3" xfId="26039" xr:uid="{00000000-0005-0000-0000-0000684B0000}"/>
    <cellStyle name="Border Thin 3 2" xfId="30840" xr:uid="{4F688095-A2FF-4665-BF7D-7AACE1BE95FF}"/>
    <cellStyle name="Border Thin 4" xfId="29400" xr:uid="{00000000-0005-0000-0000-0000694B0000}"/>
    <cellStyle name="Border Thin 4 2" xfId="33345" xr:uid="{E4D43F6C-B0CE-4381-B2A5-D2C9A59C23BF}"/>
    <cellStyle name="Calculation 10" xfId="2441" xr:uid="{00000000-0005-0000-0000-00006A4B0000}"/>
    <cellStyle name="Calculation 11" xfId="2442" xr:uid="{00000000-0005-0000-0000-00006B4B0000}"/>
    <cellStyle name="Calculation 12" xfId="2443" xr:uid="{00000000-0005-0000-0000-00006C4B0000}"/>
    <cellStyle name="Calculation 13" xfId="2444" xr:uid="{00000000-0005-0000-0000-00006D4B0000}"/>
    <cellStyle name="Calculation 14" xfId="2445" xr:uid="{00000000-0005-0000-0000-00006E4B0000}"/>
    <cellStyle name="Calculation 15" xfId="2446" xr:uid="{00000000-0005-0000-0000-00006F4B0000}"/>
    <cellStyle name="Calculation 16" xfId="2447" xr:uid="{00000000-0005-0000-0000-0000704B0000}"/>
    <cellStyle name="Calculation 17" xfId="2448" xr:uid="{00000000-0005-0000-0000-0000714B0000}"/>
    <cellStyle name="Calculation 18" xfId="2449" xr:uid="{00000000-0005-0000-0000-0000724B0000}"/>
    <cellStyle name="Calculation 19" xfId="2450" xr:uid="{00000000-0005-0000-0000-0000734B0000}"/>
    <cellStyle name="Calculation 2" xfId="2451" xr:uid="{00000000-0005-0000-0000-0000744B0000}"/>
    <cellStyle name="Calculation 2 2" xfId="24057" xr:uid="{00000000-0005-0000-0000-0000754B0000}"/>
    <cellStyle name="Calculation 2 2 2" xfId="24699" xr:uid="{00000000-0005-0000-0000-0000764B0000}"/>
    <cellStyle name="Calculation 2 2 2 2" xfId="25298" xr:uid="{00000000-0005-0000-0000-0000774B0000}"/>
    <cellStyle name="Calculation 2 2 2 2 2" xfId="27452" xr:uid="{00000000-0005-0000-0000-0000784B0000}"/>
    <cellStyle name="Calculation 2 2 2 2 2 2" xfId="32044" xr:uid="{2B1BFAD7-52B1-41BB-BDAE-629ECBF45942}"/>
    <cellStyle name="Calculation 2 2 2 2 3" xfId="29191" xr:uid="{00000000-0005-0000-0000-0000794B0000}"/>
    <cellStyle name="Calculation 2 2 2 2 3 2" xfId="33174" xr:uid="{531B9C10-B224-4B98-A21E-0615FB6F7C6D}"/>
    <cellStyle name="Calculation 2 2 2 2 4" xfId="26814" xr:uid="{00000000-0005-0000-0000-00007A4B0000}"/>
    <cellStyle name="Calculation 2 2 2 2 4 2" xfId="31575" xr:uid="{0AEC4CE2-5C7A-4093-8DC4-0B829B5830F4}"/>
    <cellStyle name="Calculation 2 2 2 2 5" xfId="29396" xr:uid="{00000000-0005-0000-0000-00007B4B0000}"/>
    <cellStyle name="Calculation 2 2 2 2 5 2" xfId="33342" xr:uid="{B30AF003-A2DD-4B61-B539-DA55689BDB9E}"/>
    <cellStyle name="Calculation 2 2 2 2 6" xfId="30457" xr:uid="{1BEB926D-92A9-4536-9E1F-A25B9784AB12}"/>
    <cellStyle name="Calculation 2 2 2 3" xfId="25658" xr:uid="{00000000-0005-0000-0000-00007C4B0000}"/>
    <cellStyle name="Calculation 2 2 2 3 2" xfId="27811" xr:uid="{00000000-0005-0000-0000-00007D4B0000}"/>
    <cellStyle name="Calculation 2 2 2 3 2 2" xfId="32398" xr:uid="{29657348-06E1-4FC0-8FBC-1F7075EC36B1}"/>
    <cellStyle name="Calculation 2 2 2 3 3" xfId="29238" xr:uid="{00000000-0005-0000-0000-00007E4B0000}"/>
    <cellStyle name="Calculation 2 2 2 3 3 2" xfId="33220" xr:uid="{3518CE90-601A-4870-9086-D1DA6DCE2F05}"/>
    <cellStyle name="Calculation 2 2 2 3 4" xfId="26123" xr:uid="{00000000-0005-0000-0000-00007F4B0000}"/>
    <cellStyle name="Calculation 2 2 2 3 4 2" xfId="30913" xr:uid="{430DD274-B6CB-4FE5-B170-49DDE0172C29}"/>
    <cellStyle name="Calculation 2 2 2 3 5" xfId="29395" xr:uid="{00000000-0005-0000-0000-0000804B0000}"/>
    <cellStyle name="Calculation 2 2 2 3 5 2" xfId="33341" xr:uid="{61C9E807-E8CB-41D2-982E-34D5C6E96AB7}"/>
    <cellStyle name="Calculation 2 2 2 3 6" xfId="30652" xr:uid="{C4FAB978-6D4A-44AA-87DA-3B2C807AB515}"/>
    <cellStyle name="Calculation 2 2 2 4" xfId="27288" xr:uid="{00000000-0005-0000-0000-0000814B0000}"/>
    <cellStyle name="Calculation 2 2 2 4 2" xfId="31920" xr:uid="{F0DA3697-DCF1-43AB-8F93-408342820A44}"/>
    <cellStyle name="Calculation 2 2 2 5" xfId="26681" xr:uid="{00000000-0005-0000-0000-0000824B0000}"/>
    <cellStyle name="Calculation 2 2 2 5 2" xfId="31444" xr:uid="{644DAA56-B3BE-43F3-B2F8-12A5ABB33DC3}"/>
    <cellStyle name="Calculation 2 2 2 6" xfId="26813" xr:uid="{00000000-0005-0000-0000-0000834B0000}"/>
    <cellStyle name="Calculation 2 2 2 6 2" xfId="31574" xr:uid="{7BFA2600-5054-4A9B-B740-11B8976E30A3}"/>
    <cellStyle name="Calculation 2 2 2 7" xfId="29397" xr:uid="{00000000-0005-0000-0000-0000844B0000}"/>
    <cellStyle name="Calculation 2 2 2 7 2" xfId="33343" xr:uid="{568874B0-F112-4654-BB21-832F2D71AA05}"/>
    <cellStyle name="Calculation 2 2 2 8" xfId="30360" xr:uid="{86BEAF0D-F3E1-4722-BA0F-D230A55BEF0E}"/>
    <cellStyle name="Calculation 2 2 3" xfId="25022" xr:uid="{00000000-0005-0000-0000-0000854B0000}"/>
    <cellStyle name="Calculation 2 2 3 2" xfId="25431" xr:uid="{00000000-0005-0000-0000-0000864B0000}"/>
    <cellStyle name="Calculation 2 2 3 2 2" xfId="27585" xr:uid="{00000000-0005-0000-0000-0000874B0000}"/>
    <cellStyle name="Calculation 2 2 3 2 2 2" xfId="32176" xr:uid="{BCEF941E-EF2A-4082-AC7A-E0C46C752DCF}"/>
    <cellStyle name="Calculation 2 2 3 2 3" xfId="29211" xr:uid="{00000000-0005-0000-0000-0000884B0000}"/>
    <cellStyle name="Calculation 2 2 3 2 3 2" xfId="33194" xr:uid="{306977B6-9A34-46E2-8A60-4439D0E76332}"/>
    <cellStyle name="Calculation 2 2 3 2 4" xfId="26248" xr:uid="{00000000-0005-0000-0000-0000894B0000}"/>
    <cellStyle name="Calculation 2 2 3 2 4 2" xfId="31036" xr:uid="{A6C10B99-F9AA-4A0B-BA55-EE337C81E928}"/>
    <cellStyle name="Calculation 2 2 3 2 5" xfId="29393" xr:uid="{00000000-0005-0000-0000-00008A4B0000}"/>
    <cellStyle name="Calculation 2 2 3 2 5 2" xfId="33339" xr:uid="{88AE123B-7D3A-4AF0-B830-A8AB3F073CDE}"/>
    <cellStyle name="Calculation 2 2 3 2 6" xfId="30589" xr:uid="{54F849A6-0C7E-4CA6-98EF-3962F0462C9F}"/>
    <cellStyle name="Calculation 2 2 3 3" xfId="25669" xr:uid="{00000000-0005-0000-0000-00008B4B0000}"/>
    <cellStyle name="Calculation 2 2 3 3 2" xfId="27822" xr:uid="{00000000-0005-0000-0000-00008C4B0000}"/>
    <cellStyle name="Calculation 2 2 3 3 2 2" xfId="32409" xr:uid="{0D9C04EF-0EF1-4C23-894D-64E663BDEB2C}"/>
    <cellStyle name="Calculation 2 2 3 3 3" xfId="29249" xr:uid="{00000000-0005-0000-0000-00008D4B0000}"/>
    <cellStyle name="Calculation 2 2 3 3 3 2" xfId="33231" xr:uid="{7494DCE4-165C-4480-AC1C-E2C4FE025321}"/>
    <cellStyle name="Calculation 2 2 3 3 4" xfId="26829" xr:uid="{00000000-0005-0000-0000-00008E4B0000}"/>
    <cellStyle name="Calculation 2 2 3 3 4 2" xfId="31590" xr:uid="{547F0B99-1814-49D3-B6F0-CA087194BF9B}"/>
    <cellStyle name="Calculation 2 2 3 3 5" xfId="29392" xr:uid="{00000000-0005-0000-0000-00008F4B0000}"/>
    <cellStyle name="Calculation 2 2 3 3 5 2" xfId="33338" xr:uid="{BFA23AAD-2683-44E0-AA95-43A699EDD75D}"/>
    <cellStyle name="Calculation 2 2 3 3 6" xfId="30663" xr:uid="{5CA77894-E8AA-4F1B-8FAD-150C8607F2AD}"/>
    <cellStyle name="Calculation 2 2 3 4" xfId="27352" xr:uid="{00000000-0005-0000-0000-0000904B0000}"/>
    <cellStyle name="Calculation 2 2 3 4 2" xfId="31950" xr:uid="{83832CCD-BB47-4FCB-9242-EEFEC9A678D9}"/>
    <cellStyle name="Calculation 2 2 3 5" xfId="26190" xr:uid="{00000000-0005-0000-0000-0000914B0000}"/>
    <cellStyle name="Calculation 2 2 3 5 2" xfId="30978" xr:uid="{DB4846F2-F54E-4B68-BB8F-BF244DDDD245}"/>
    <cellStyle name="Calculation 2 2 3 6" xfId="26920" xr:uid="{00000000-0005-0000-0000-0000924B0000}"/>
    <cellStyle name="Calculation 2 2 3 6 2" xfId="31681" xr:uid="{EC2AEDCB-34FE-4881-A226-1423DFF0F079}"/>
    <cellStyle name="Calculation 2 2 3 7" xfId="29394" xr:uid="{00000000-0005-0000-0000-0000934B0000}"/>
    <cellStyle name="Calculation 2 2 3 7 2" xfId="33340" xr:uid="{B14DB7C0-DDC6-42C0-83BE-2F65D9A64A4F}"/>
    <cellStyle name="Calculation 2 2 3 8" xfId="30371" xr:uid="{8BA2D2AC-3D78-4518-AEB4-4759D2D0A2FE}"/>
    <cellStyle name="Calculation 2 2 4" xfId="25556" xr:uid="{00000000-0005-0000-0000-0000944B0000}"/>
    <cellStyle name="Calculation 2 2 4 2" xfId="27709" xr:uid="{00000000-0005-0000-0000-0000954B0000}"/>
    <cellStyle name="Calculation 2 2 4 2 2" xfId="32296" xr:uid="{79B2D777-6015-4C97-9C21-81761850383E}"/>
    <cellStyle name="Calculation 2 2 4 3" xfId="29224" xr:uid="{00000000-0005-0000-0000-0000964B0000}"/>
    <cellStyle name="Calculation 2 2 4 3 2" xfId="33207" xr:uid="{3931BF3F-9987-4F32-9E3B-074F803E656E}"/>
    <cellStyle name="Calculation 2 2 4 4" xfId="26702" xr:uid="{00000000-0005-0000-0000-0000974B0000}"/>
    <cellStyle name="Calculation 2 2 4 4 2" xfId="31464" xr:uid="{F96AF69F-F4D2-4416-828A-5B56399E8616}"/>
    <cellStyle name="Calculation 2 2 4 5" xfId="29391" xr:uid="{00000000-0005-0000-0000-0000984B0000}"/>
    <cellStyle name="Calculation 2 2 4 5 2" xfId="33337" xr:uid="{8896CC3D-2F81-4127-85F8-EB5525C36882}"/>
    <cellStyle name="Calculation 2 2 4 6" xfId="30613" xr:uid="{20EF0E59-8CDA-4C32-BA6E-B756F608865D}"/>
    <cellStyle name="Calculation 2 2 5" xfId="27050" xr:uid="{00000000-0005-0000-0000-0000994B0000}"/>
    <cellStyle name="Calculation 2 2 5 2" xfId="31795" xr:uid="{0086F781-00C9-4913-844F-653A9DDB8B3E}"/>
    <cellStyle name="Calculation 2 2 6" xfId="26271" xr:uid="{00000000-0005-0000-0000-00009A4B0000}"/>
    <cellStyle name="Calculation 2 2 6 2" xfId="31059" xr:uid="{795B8F0D-0EE4-4E56-820B-D0B3712B0FAF}"/>
    <cellStyle name="Calculation 2 2 7" xfId="26776" xr:uid="{00000000-0005-0000-0000-00009B4B0000}"/>
    <cellStyle name="Calculation 2 2 7 2" xfId="31537" xr:uid="{DF21CD0F-4514-4685-B0A5-62B876E3123D}"/>
    <cellStyle name="Calculation 2 2 8" xfId="29398" xr:uid="{00000000-0005-0000-0000-00009C4B0000}"/>
    <cellStyle name="Calculation 2 2 8 2" xfId="33344" xr:uid="{DD1DB7C7-FF34-4B11-8E22-F98DC1BC4512}"/>
    <cellStyle name="Calculation 2 2 9" xfId="30258" xr:uid="{CDCECA73-8F7F-477E-BDB6-308A4BFB3597}"/>
    <cellStyle name="Calculation 2 3" xfId="24056" xr:uid="{00000000-0005-0000-0000-00009D4B0000}"/>
    <cellStyle name="Calculation 2 3 2" xfId="25555" xr:uid="{00000000-0005-0000-0000-00009E4B0000}"/>
    <cellStyle name="Calculation 2 3 2 2" xfId="27708" xr:uid="{00000000-0005-0000-0000-00009F4B0000}"/>
    <cellStyle name="Calculation 2 3 2 2 2" xfId="32295" xr:uid="{A3899A44-E16C-4BF4-82C7-31B5BFAB1C43}"/>
    <cellStyle name="Calculation 2 3 2 3" xfId="29223" xr:uid="{00000000-0005-0000-0000-0000A04B0000}"/>
    <cellStyle name="Calculation 2 3 2 3 2" xfId="33206" xr:uid="{DB7F5252-B329-47E8-B9BB-E972793DFAE6}"/>
    <cellStyle name="Calculation 2 3 2 4" xfId="26959" xr:uid="{00000000-0005-0000-0000-0000A14B0000}"/>
    <cellStyle name="Calculation 2 3 2 4 2" xfId="31720" xr:uid="{95C67B6F-720F-4136-B3DF-3DDB2B2E11D7}"/>
    <cellStyle name="Calculation 2 3 2 5" xfId="29389" xr:uid="{00000000-0005-0000-0000-0000A24B0000}"/>
    <cellStyle name="Calculation 2 3 2 5 2" xfId="33335" xr:uid="{10FF7160-93C1-4FF3-B708-CEAA926A7317}"/>
    <cellStyle name="Calculation 2 3 2 6" xfId="30612" xr:uid="{D1037D7D-DAF0-4CCF-9508-3C24CA5D58EA}"/>
    <cellStyle name="Calculation 2 3 3" xfId="27049" xr:uid="{00000000-0005-0000-0000-0000A34B0000}"/>
    <cellStyle name="Calculation 2 3 3 2" xfId="31794" xr:uid="{DFFF3FA8-172F-4F6D-87AF-A324AE2D4DF3}"/>
    <cellStyle name="Calculation 2 3 4" xfId="26867" xr:uid="{00000000-0005-0000-0000-0000A44B0000}"/>
    <cellStyle name="Calculation 2 3 4 2" xfId="31628" xr:uid="{5947D9A8-67E0-46AC-A40D-A2E23C3061C2}"/>
    <cellStyle name="Calculation 2 3 5" xfId="26178" xr:uid="{00000000-0005-0000-0000-0000A54B0000}"/>
    <cellStyle name="Calculation 2 3 5 2" xfId="30967" xr:uid="{221F027D-86D7-4587-8687-F2535B80D54C}"/>
    <cellStyle name="Calculation 2 3 6" xfId="29390" xr:uid="{00000000-0005-0000-0000-0000A64B0000}"/>
    <cellStyle name="Calculation 2 3 6 2" xfId="33336" xr:uid="{E126F95F-C60B-4F1A-93FA-28DE8E2E9B9B}"/>
    <cellStyle name="Calculation 2 3 7" xfId="30257" xr:uid="{3B8433AB-F31A-4BDA-AD5C-04E9B038B584}"/>
    <cellStyle name="Calculation 2 4" xfId="24698" xr:uid="{00000000-0005-0000-0000-0000A74B0000}"/>
    <cellStyle name="Calculation 2 4 2" xfId="25361" xr:uid="{00000000-0005-0000-0000-0000A84B0000}"/>
    <cellStyle name="Calculation 2 4 2 2" xfId="27515" xr:uid="{00000000-0005-0000-0000-0000A94B0000}"/>
    <cellStyle name="Calculation 2 4 2 2 2" xfId="32106" xr:uid="{1C90EBC5-777D-4E7B-90EC-6C18776FCB63}"/>
    <cellStyle name="Calculation 2 4 2 3" xfId="29200" xr:uid="{00000000-0005-0000-0000-0000AA4B0000}"/>
    <cellStyle name="Calculation 2 4 2 3 2" xfId="33183" xr:uid="{E1F4F72C-2F7C-448F-A0A9-FC4B9EAA3ABD}"/>
    <cellStyle name="Calculation 2 4 2 4" xfId="26357" xr:uid="{00000000-0005-0000-0000-0000AB4B0000}"/>
    <cellStyle name="Calculation 2 4 2 4 2" xfId="31145" xr:uid="{F485C8DC-779B-4B27-8AD8-B73E2B477585}"/>
    <cellStyle name="Calculation 2 4 2 5" xfId="29387" xr:uid="{00000000-0005-0000-0000-0000AC4B0000}"/>
    <cellStyle name="Calculation 2 4 2 5 2" xfId="33333" xr:uid="{19597BFC-4FA1-4685-B090-6734D65877D6}"/>
    <cellStyle name="Calculation 2 4 2 6" xfId="30519" xr:uid="{8F9FE50E-FC71-46B5-8A2B-05B2720C40FC}"/>
    <cellStyle name="Calculation 2 4 3" xfId="25657" xr:uid="{00000000-0005-0000-0000-0000AD4B0000}"/>
    <cellStyle name="Calculation 2 4 3 2" xfId="27810" xr:uid="{00000000-0005-0000-0000-0000AE4B0000}"/>
    <cellStyle name="Calculation 2 4 3 2 2" xfId="32397" xr:uid="{1A808D33-0858-4449-9AB7-1C74ED6D1A02}"/>
    <cellStyle name="Calculation 2 4 3 3" xfId="29237" xr:uid="{00000000-0005-0000-0000-0000AF4B0000}"/>
    <cellStyle name="Calculation 2 4 3 3 2" xfId="33219" xr:uid="{29E23966-4A17-4BB7-9F0E-F2C9C6AD83D4}"/>
    <cellStyle name="Calculation 2 4 3 4" xfId="26351" xr:uid="{00000000-0005-0000-0000-0000B04B0000}"/>
    <cellStyle name="Calculation 2 4 3 4 2" xfId="31139" xr:uid="{2E54CDA6-6CD0-4D45-A8CA-4E49E960E3ED}"/>
    <cellStyle name="Calculation 2 4 3 5" xfId="29386" xr:uid="{00000000-0005-0000-0000-0000B14B0000}"/>
    <cellStyle name="Calculation 2 4 3 5 2" xfId="33332" xr:uid="{BE4C9081-C733-47D6-AFD5-E1A3B109B9DD}"/>
    <cellStyle name="Calculation 2 4 3 6" xfId="30651" xr:uid="{7965914C-7C58-4880-A1AF-2E36F100B203}"/>
    <cellStyle name="Calculation 2 4 4" xfId="27287" xr:uid="{00000000-0005-0000-0000-0000B24B0000}"/>
    <cellStyle name="Calculation 2 4 4 2" xfId="31919" xr:uid="{32030FED-D7AF-412F-A055-D4933768F0BC}"/>
    <cellStyle name="Calculation 2 4 5" xfId="26034" xr:uid="{00000000-0005-0000-0000-0000B34B0000}"/>
    <cellStyle name="Calculation 2 4 5 2" xfId="30835" xr:uid="{2E29DCAC-63D8-45D2-98EC-08A15AC3E334}"/>
    <cellStyle name="Calculation 2 4 6" xfId="27074" xr:uid="{00000000-0005-0000-0000-0000B44B0000}"/>
    <cellStyle name="Calculation 2 4 6 2" xfId="31805" xr:uid="{F3F4894C-51D9-4915-88D9-729EC354B916}"/>
    <cellStyle name="Calculation 2 4 7" xfId="29388" xr:uid="{00000000-0005-0000-0000-0000B54B0000}"/>
    <cellStyle name="Calculation 2 4 7 2" xfId="33334" xr:uid="{2EB7C969-2510-4AA8-A5FB-394590E5669B}"/>
    <cellStyle name="Calculation 2 4 8" xfId="30359" xr:uid="{1B44B031-214C-46AB-BEC3-48C0D9CA4766}"/>
    <cellStyle name="Calculation 2 5" xfId="25021" xr:uid="{00000000-0005-0000-0000-0000B64B0000}"/>
    <cellStyle name="Calculation 2 5 2" xfId="25330" xr:uid="{00000000-0005-0000-0000-0000B74B0000}"/>
    <cellStyle name="Calculation 2 5 2 2" xfId="27484" xr:uid="{00000000-0005-0000-0000-0000B84B0000}"/>
    <cellStyle name="Calculation 2 5 2 2 2" xfId="32075" xr:uid="{BFD88212-DC81-4FAC-BCAE-EED53C793E79}"/>
    <cellStyle name="Calculation 2 5 2 3" xfId="29193" xr:uid="{00000000-0005-0000-0000-0000B94B0000}"/>
    <cellStyle name="Calculation 2 5 2 3 2" xfId="33176" xr:uid="{ED1CE3AA-A7FF-49CD-826B-69C6A38FBF40}"/>
    <cellStyle name="Calculation 2 5 2 4" xfId="26275" xr:uid="{00000000-0005-0000-0000-0000BA4B0000}"/>
    <cellStyle name="Calculation 2 5 2 4 2" xfId="31063" xr:uid="{6CC6C1D1-7E15-4E82-91B9-D7A1CFF15B33}"/>
    <cellStyle name="Calculation 2 5 2 5" xfId="29384" xr:uid="{00000000-0005-0000-0000-0000BB4B0000}"/>
    <cellStyle name="Calculation 2 5 2 5 2" xfId="33330" xr:uid="{3EA474CC-3E99-4553-931F-A5C02FEBCB64}"/>
    <cellStyle name="Calculation 2 5 2 6" xfId="30488" xr:uid="{058C1255-45E0-4C42-8E90-67D680E049DE}"/>
    <cellStyle name="Calculation 2 5 3" xfId="25668" xr:uid="{00000000-0005-0000-0000-0000BC4B0000}"/>
    <cellStyle name="Calculation 2 5 3 2" xfId="27821" xr:uid="{00000000-0005-0000-0000-0000BD4B0000}"/>
    <cellStyle name="Calculation 2 5 3 2 2" xfId="32408" xr:uid="{702D036F-105A-42BC-9FEF-19B84CE38D0A}"/>
    <cellStyle name="Calculation 2 5 3 3" xfId="29248" xr:uid="{00000000-0005-0000-0000-0000BE4B0000}"/>
    <cellStyle name="Calculation 2 5 3 3 2" xfId="33230" xr:uid="{59BE864A-1512-4122-AB53-2925F8C3F15C}"/>
    <cellStyle name="Calculation 2 5 3 4" xfId="26355" xr:uid="{00000000-0005-0000-0000-0000BF4B0000}"/>
    <cellStyle name="Calculation 2 5 3 4 2" xfId="31143" xr:uid="{88DF5399-7D06-476F-B1DF-6AA6A172381D}"/>
    <cellStyle name="Calculation 2 5 3 5" xfId="29383" xr:uid="{00000000-0005-0000-0000-0000C04B0000}"/>
    <cellStyle name="Calculation 2 5 3 5 2" xfId="33329" xr:uid="{48F2F8D8-FEE7-4976-A5FF-C3B932C12749}"/>
    <cellStyle name="Calculation 2 5 3 6" xfId="30662" xr:uid="{BCC86636-0FD7-440A-9D8F-BB94A45A74E2}"/>
    <cellStyle name="Calculation 2 5 4" xfId="27351" xr:uid="{00000000-0005-0000-0000-0000C14B0000}"/>
    <cellStyle name="Calculation 2 5 4 2" xfId="31949" xr:uid="{7A92ED66-3599-4A47-A87B-778DD49CF25E}"/>
    <cellStyle name="Calculation 2 5 5" xfId="26189" xr:uid="{00000000-0005-0000-0000-0000C24B0000}"/>
    <cellStyle name="Calculation 2 5 5 2" xfId="30977" xr:uid="{95613B4E-B771-42DB-AC47-F2D41BF85B9B}"/>
    <cellStyle name="Calculation 2 5 6" xfId="27319" xr:uid="{00000000-0005-0000-0000-0000C34B0000}"/>
    <cellStyle name="Calculation 2 5 6 2" xfId="31938" xr:uid="{A47312DE-0796-426D-B522-3362C60B4B87}"/>
    <cellStyle name="Calculation 2 5 7" xfId="29385" xr:uid="{00000000-0005-0000-0000-0000C44B0000}"/>
    <cellStyle name="Calculation 2 5 7 2" xfId="33331" xr:uid="{24A8F570-0E3A-47D0-803F-4B4DC71CC216}"/>
    <cellStyle name="Calculation 2 5 8" xfId="30370" xr:uid="{03FA685C-4D87-46A6-B6AB-F627CE8D6881}"/>
    <cellStyle name="Calculation 20" xfId="2452" xr:uid="{00000000-0005-0000-0000-0000C54B0000}"/>
    <cellStyle name="Calculation 21" xfId="2453" xr:uid="{00000000-0005-0000-0000-0000C64B0000}"/>
    <cellStyle name="Calculation 22" xfId="2454" xr:uid="{00000000-0005-0000-0000-0000C74B0000}"/>
    <cellStyle name="Calculation 23" xfId="2455" xr:uid="{00000000-0005-0000-0000-0000C84B0000}"/>
    <cellStyle name="Calculation 24" xfId="2456" xr:uid="{00000000-0005-0000-0000-0000C94B0000}"/>
    <cellStyle name="Calculation 25" xfId="2457" xr:uid="{00000000-0005-0000-0000-0000CA4B0000}"/>
    <cellStyle name="Calculation 26" xfId="2458" xr:uid="{00000000-0005-0000-0000-0000CB4B0000}"/>
    <cellStyle name="Calculation 27" xfId="2459" xr:uid="{00000000-0005-0000-0000-0000CC4B0000}"/>
    <cellStyle name="Calculation 28" xfId="2460" xr:uid="{00000000-0005-0000-0000-0000CD4B0000}"/>
    <cellStyle name="Calculation 29" xfId="2461" xr:uid="{00000000-0005-0000-0000-0000CE4B0000}"/>
    <cellStyle name="Calculation 3" xfId="2462" xr:uid="{00000000-0005-0000-0000-0000CF4B0000}"/>
    <cellStyle name="Calculation 3 2" xfId="24058" xr:uid="{00000000-0005-0000-0000-0000D04B0000}"/>
    <cellStyle name="Calculation 3 2 2" xfId="25557" xr:uid="{00000000-0005-0000-0000-0000D14B0000}"/>
    <cellStyle name="Calculation 3 2 2 2" xfId="27710" xr:uid="{00000000-0005-0000-0000-0000D24B0000}"/>
    <cellStyle name="Calculation 3 2 2 2 2" xfId="32297" xr:uid="{F1D15821-9304-45C6-999C-81FEE509069F}"/>
    <cellStyle name="Calculation 3 2 2 3" xfId="29225" xr:uid="{00000000-0005-0000-0000-0000D34B0000}"/>
    <cellStyle name="Calculation 3 2 2 3 2" xfId="33208" xr:uid="{25FACB92-215D-4210-9BE7-4B42B3A595F7}"/>
    <cellStyle name="Calculation 3 2 2 4" xfId="26745" xr:uid="{00000000-0005-0000-0000-0000D44B0000}"/>
    <cellStyle name="Calculation 3 2 2 4 2" xfId="31506" xr:uid="{C3F16722-E7D8-47B9-BE9B-11132B1CB9CC}"/>
    <cellStyle name="Calculation 3 2 2 5" xfId="29381" xr:uid="{00000000-0005-0000-0000-0000D54B0000}"/>
    <cellStyle name="Calculation 3 2 2 5 2" xfId="33327" xr:uid="{6814F5B0-F1CE-47F8-9D01-898EBAE5FAB4}"/>
    <cellStyle name="Calculation 3 2 2 6" xfId="30614" xr:uid="{235CA099-96C2-4EB6-969E-B9538D78E0F8}"/>
    <cellStyle name="Calculation 3 2 3" xfId="27051" xr:uid="{00000000-0005-0000-0000-0000D64B0000}"/>
    <cellStyle name="Calculation 3 2 3 2" xfId="31796" xr:uid="{5FFB9C24-F174-4F1C-BD16-FEB96A6D91CF}"/>
    <cellStyle name="Calculation 3 2 4" xfId="26795" xr:uid="{00000000-0005-0000-0000-0000D74B0000}"/>
    <cellStyle name="Calculation 3 2 4 2" xfId="31556" xr:uid="{E8B51B8C-3DC8-48F3-8173-6ECA2CA15758}"/>
    <cellStyle name="Calculation 3 2 5" xfId="27304" xr:uid="{00000000-0005-0000-0000-0000D84B0000}"/>
    <cellStyle name="Calculation 3 2 5 2" xfId="31933" xr:uid="{3ADAF7FE-DAC1-4D19-BD86-E20CE2153A74}"/>
    <cellStyle name="Calculation 3 2 6" xfId="29382" xr:uid="{00000000-0005-0000-0000-0000D94B0000}"/>
    <cellStyle name="Calculation 3 2 6 2" xfId="33328" xr:uid="{8B606221-D3BD-4A63-81F3-806699C2D6F7}"/>
    <cellStyle name="Calculation 3 2 7" xfId="30259" xr:uid="{00580857-8DBA-4DE3-B5EF-91CC93EF199F}"/>
    <cellStyle name="Calculation 3 3" xfId="24700" xr:uid="{00000000-0005-0000-0000-0000DA4B0000}"/>
    <cellStyle name="Calculation 3 3 2" xfId="25287" xr:uid="{00000000-0005-0000-0000-0000DB4B0000}"/>
    <cellStyle name="Calculation 3 3 2 2" xfId="27442" xr:uid="{00000000-0005-0000-0000-0000DC4B0000}"/>
    <cellStyle name="Calculation 3 3 2 2 2" xfId="32037" xr:uid="{0B51F1AD-CD5E-472F-8903-B1D3F5B9620C}"/>
    <cellStyle name="Calculation 3 3 2 3" xfId="29189" xr:uid="{00000000-0005-0000-0000-0000DD4B0000}"/>
    <cellStyle name="Calculation 3 3 2 3 2" xfId="33172" xr:uid="{07607AAA-6F7A-4F09-A5F9-A1E051669EDD}"/>
    <cellStyle name="Calculation 3 3 2 4" xfId="27151" xr:uid="{00000000-0005-0000-0000-0000DE4B0000}"/>
    <cellStyle name="Calculation 3 3 2 4 2" xfId="31852" xr:uid="{78B1D17E-B45C-42E6-BEE4-DE23295D70C0}"/>
    <cellStyle name="Calculation 3 3 2 5" xfId="29379" xr:uid="{00000000-0005-0000-0000-0000DF4B0000}"/>
    <cellStyle name="Calculation 3 3 2 5 2" xfId="33325" xr:uid="{15239E7E-4294-44FF-A855-E62129392276}"/>
    <cellStyle name="Calculation 3 3 2 6" xfId="30450" xr:uid="{C060EED8-2AB5-4E4F-82D7-86B4AC56A448}"/>
    <cellStyle name="Calculation 3 3 3" xfId="25659" xr:uid="{00000000-0005-0000-0000-0000E04B0000}"/>
    <cellStyle name="Calculation 3 3 3 2" xfId="27812" xr:uid="{00000000-0005-0000-0000-0000E14B0000}"/>
    <cellStyle name="Calculation 3 3 3 2 2" xfId="32399" xr:uid="{6BF9C6C7-9E0E-4532-98F7-6DD15C2019A5}"/>
    <cellStyle name="Calculation 3 3 3 3" xfId="29239" xr:uid="{00000000-0005-0000-0000-0000E24B0000}"/>
    <cellStyle name="Calculation 3 3 3 3 2" xfId="33221" xr:uid="{000D310D-0A86-4F12-A503-FE9CFA91C51C}"/>
    <cellStyle name="Calculation 3 3 3 4" xfId="26534" xr:uid="{00000000-0005-0000-0000-0000E34B0000}"/>
    <cellStyle name="Calculation 3 3 3 4 2" xfId="31321" xr:uid="{A880C674-57DF-49B4-A1F3-E6617F6EE937}"/>
    <cellStyle name="Calculation 3 3 3 5" xfId="29378" xr:uid="{00000000-0005-0000-0000-0000E44B0000}"/>
    <cellStyle name="Calculation 3 3 3 5 2" xfId="33324" xr:uid="{B5C303F8-49B1-4279-96C8-A0FBE3AB4272}"/>
    <cellStyle name="Calculation 3 3 3 6" xfId="30653" xr:uid="{E7F1EFF0-6A02-490B-82C8-56E6A97447FB}"/>
    <cellStyle name="Calculation 3 3 4" xfId="27289" xr:uid="{00000000-0005-0000-0000-0000E54B0000}"/>
    <cellStyle name="Calculation 3 3 4 2" xfId="31921" xr:uid="{CB1A0B74-496D-4B80-A5C8-99E5F99935F0}"/>
    <cellStyle name="Calculation 3 3 5" xfId="26624" xr:uid="{00000000-0005-0000-0000-0000E64B0000}"/>
    <cellStyle name="Calculation 3 3 5 2" xfId="31401" xr:uid="{74AA51AE-9E5C-48C7-848D-A026307632DA}"/>
    <cellStyle name="Calculation 3 3 6" xfId="27323" xr:uid="{00000000-0005-0000-0000-0000E74B0000}"/>
    <cellStyle name="Calculation 3 3 6 2" xfId="31942" xr:uid="{7B91B36C-7909-4C39-93B5-EE50CFB3617A}"/>
    <cellStyle name="Calculation 3 3 7" xfId="29380" xr:uid="{00000000-0005-0000-0000-0000E84B0000}"/>
    <cellStyle name="Calculation 3 3 7 2" xfId="33326" xr:uid="{B6975EF9-1CA5-4985-B7DD-9F2887EEC2EA}"/>
    <cellStyle name="Calculation 3 3 8" xfId="30361" xr:uid="{B37B179B-87BC-41CB-B8CB-8EA62C003449}"/>
    <cellStyle name="Calculation 3 4" xfId="25023" xr:uid="{00000000-0005-0000-0000-0000E94B0000}"/>
    <cellStyle name="Calculation 3 4 2" xfId="25347" xr:uid="{00000000-0005-0000-0000-0000EA4B0000}"/>
    <cellStyle name="Calculation 3 4 2 2" xfId="27501" xr:uid="{00000000-0005-0000-0000-0000EB4B0000}"/>
    <cellStyle name="Calculation 3 4 2 2 2" xfId="32092" xr:uid="{7D96E9E7-656D-4B1A-BEC7-205E32C786C2}"/>
    <cellStyle name="Calculation 3 4 2 3" xfId="29196" xr:uid="{00000000-0005-0000-0000-0000EC4B0000}"/>
    <cellStyle name="Calculation 3 4 2 3 2" xfId="33179" xr:uid="{EDE490D0-B4F9-40E0-99D3-630712C534C6}"/>
    <cellStyle name="Calculation 3 4 2 4" xfId="26075" xr:uid="{00000000-0005-0000-0000-0000ED4B0000}"/>
    <cellStyle name="Calculation 3 4 2 4 2" xfId="30865" xr:uid="{4659BA34-4B6E-4CA9-A7C4-093B7378A42C}"/>
    <cellStyle name="Calculation 3 4 2 5" xfId="29376" xr:uid="{00000000-0005-0000-0000-0000EE4B0000}"/>
    <cellStyle name="Calculation 3 4 2 5 2" xfId="33322" xr:uid="{7808538A-206C-40E9-A494-C66AF4D48B30}"/>
    <cellStyle name="Calculation 3 4 2 6" xfId="30505" xr:uid="{E4F8FB28-0D8A-43D6-AAAC-52BECFE94991}"/>
    <cellStyle name="Calculation 3 4 3" xfId="25670" xr:uid="{00000000-0005-0000-0000-0000EF4B0000}"/>
    <cellStyle name="Calculation 3 4 3 2" xfId="27823" xr:uid="{00000000-0005-0000-0000-0000F04B0000}"/>
    <cellStyle name="Calculation 3 4 3 2 2" xfId="32410" xr:uid="{96A10897-D76A-498C-8618-F694D6EC9139}"/>
    <cellStyle name="Calculation 3 4 3 3" xfId="29250" xr:uid="{00000000-0005-0000-0000-0000F14B0000}"/>
    <cellStyle name="Calculation 3 4 3 3 2" xfId="33232" xr:uid="{0B05B8DD-6649-4410-969E-2B2D5C4E4A99}"/>
    <cellStyle name="Calculation 3 4 3 4" xfId="26950" xr:uid="{00000000-0005-0000-0000-0000F24B0000}"/>
    <cellStyle name="Calculation 3 4 3 4 2" xfId="31711" xr:uid="{22D77CA2-B30E-402E-95DC-36AE49535040}"/>
    <cellStyle name="Calculation 3 4 3 5" xfId="29375" xr:uid="{00000000-0005-0000-0000-0000F34B0000}"/>
    <cellStyle name="Calculation 3 4 3 5 2" xfId="33321" xr:uid="{F8872ABC-4D46-4A02-9BF2-FED643ECEFFD}"/>
    <cellStyle name="Calculation 3 4 3 6" xfId="30664" xr:uid="{D96FA7B9-24A2-41C5-A820-64EFE9813034}"/>
    <cellStyle name="Calculation 3 4 4" xfId="27353" xr:uid="{00000000-0005-0000-0000-0000F44B0000}"/>
    <cellStyle name="Calculation 3 4 4 2" xfId="31951" xr:uid="{C98BA7FB-F445-47C2-AA05-890FC9150AE9}"/>
    <cellStyle name="Calculation 3 4 5" xfId="26191" xr:uid="{00000000-0005-0000-0000-0000F54B0000}"/>
    <cellStyle name="Calculation 3 4 5 2" xfId="30979" xr:uid="{77495922-1854-4D74-92C4-10158B171EA2}"/>
    <cellStyle name="Calculation 3 4 6" xfId="26841" xr:uid="{00000000-0005-0000-0000-0000F64B0000}"/>
    <cellStyle name="Calculation 3 4 6 2" xfId="31602" xr:uid="{19F9C155-4A17-454C-94C7-7FA7CEDDF4F3}"/>
    <cellStyle name="Calculation 3 4 7" xfId="29377" xr:uid="{00000000-0005-0000-0000-0000F74B0000}"/>
    <cellStyle name="Calculation 3 4 7 2" xfId="33323" xr:uid="{AAE1723E-987B-48A8-9E27-960BE4526DF6}"/>
    <cellStyle name="Calculation 3 4 8" xfId="30372" xr:uid="{3708D2E8-6A0B-415D-A42B-E048464B741D}"/>
    <cellStyle name="Calculation 30" xfId="2463" xr:uid="{00000000-0005-0000-0000-0000F84B0000}"/>
    <cellStyle name="Calculation 31" xfId="2464" xr:uid="{00000000-0005-0000-0000-0000F94B0000}"/>
    <cellStyle name="Calculation 32" xfId="2465" xr:uid="{00000000-0005-0000-0000-0000FA4B0000}"/>
    <cellStyle name="Calculation 33" xfId="2466" xr:uid="{00000000-0005-0000-0000-0000FB4B0000}"/>
    <cellStyle name="Calculation 34" xfId="2467" xr:uid="{00000000-0005-0000-0000-0000FC4B0000}"/>
    <cellStyle name="Calculation 35" xfId="2468" xr:uid="{00000000-0005-0000-0000-0000FD4B0000}"/>
    <cellStyle name="Calculation 36" xfId="2469" xr:uid="{00000000-0005-0000-0000-0000FE4B0000}"/>
    <cellStyle name="Calculation 37" xfId="2470" xr:uid="{00000000-0005-0000-0000-0000FF4B0000}"/>
    <cellStyle name="Calculation 38" xfId="2471" xr:uid="{00000000-0005-0000-0000-0000004C0000}"/>
    <cellStyle name="Calculation 39" xfId="2472" xr:uid="{00000000-0005-0000-0000-0000014C0000}"/>
    <cellStyle name="Calculation 4" xfId="2473" xr:uid="{00000000-0005-0000-0000-0000024C0000}"/>
    <cellStyle name="Calculation 4 2" xfId="24059" xr:uid="{00000000-0005-0000-0000-0000034C0000}"/>
    <cellStyle name="Calculation 4 2 2" xfId="25558" xr:uid="{00000000-0005-0000-0000-0000044C0000}"/>
    <cellStyle name="Calculation 4 2 2 2" xfId="27711" xr:uid="{00000000-0005-0000-0000-0000054C0000}"/>
    <cellStyle name="Calculation 4 2 2 2 2" xfId="32298" xr:uid="{0C1A1CC9-EB11-49C4-BCB7-D90BF5F9C31E}"/>
    <cellStyle name="Calculation 4 2 2 3" xfId="29226" xr:uid="{00000000-0005-0000-0000-0000064C0000}"/>
    <cellStyle name="Calculation 4 2 2 3 2" xfId="33209" xr:uid="{6C19285E-D3DC-4A00-8584-B7B096D97962}"/>
    <cellStyle name="Calculation 4 2 2 4" xfId="27023" xr:uid="{00000000-0005-0000-0000-0000074C0000}"/>
    <cellStyle name="Calculation 4 2 2 4 2" xfId="31783" xr:uid="{7D33E6F0-9B9D-463F-A765-90F5100A5A16}"/>
    <cellStyle name="Calculation 4 2 2 5" xfId="29373" xr:uid="{00000000-0005-0000-0000-0000084C0000}"/>
    <cellStyle name="Calculation 4 2 2 5 2" xfId="33319" xr:uid="{749FEB65-3243-4CC5-86AF-8CE42F272CDA}"/>
    <cellStyle name="Calculation 4 2 2 6" xfId="30615" xr:uid="{1D453E89-3D4A-4B06-8221-64AA49CD0287}"/>
    <cellStyle name="Calculation 4 2 3" xfId="27052" xr:uid="{00000000-0005-0000-0000-0000094C0000}"/>
    <cellStyle name="Calculation 4 2 3 2" xfId="31797" xr:uid="{73DF92F7-A1D0-461E-B2EB-4911A50C8A03}"/>
    <cellStyle name="Calculation 4 2 4" xfId="26716" xr:uid="{00000000-0005-0000-0000-00000A4C0000}"/>
    <cellStyle name="Calculation 4 2 4 2" xfId="31478" xr:uid="{83E781E8-997A-4BEC-B832-2B14EA626D37}"/>
    <cellStyle name="Calculation 4 2 5" xfId="26470" xr:uid="{00000000-0005-0000-0000-00000B4C0000}"/>
    <cellStyle name="Calculation 4 2 5 2" xfId="31258" xr:uid="{C1183BBB-9A00-493B-B298-74A49B0EF81D}"/>
    <cellStyle name="Calculation 4 2 6" xfId="29374" xr:uid="{00000000-0005-0000-0000-00000C4C0000}"/>
    <cellStyle name="Calculation 4 2 6 2" xfId="33320" xr:uid="{2C09A5F9-E725-4299-B781-6E62E5AE2053}"/>
    <cellStyle name="Calculation 4 2 7" xfId="30260" xr:uid="{83EDB7C7-0023-4EE5-84D6-1F404F9FE780}"/>
    <cellStyle name="Calculation 4 3" xfId="24701" xr:uid="{00000000-0005-0000-0000-00000D4C0000}"/>
    <cellStyle name="Calculation 4 3 2" xfId="25369" xr:uid="{00000000-0005-0000-0000-00000E4C0000}"/>
    <cellStyle name="Calculation 4 3 2 2" xfId="27523" xr:uid="{00000000-0005-0000-0000-00000F4C0000}"/>
    <cellStyle name="Calculation 4 3 2 2 2" xfId="32114" xr:uid="{17613EEF-90D8-4308-88F3-7976BA49B028}"/>
    <cellStyle name="Calculation 4 3 2 3" xfId="29202" xr:uid="{00000000-0005-0000-0000-0000104C0000}"/>
    <cellStyle name="Calculation 4 3 2 3 2" xfId="33185" xr:uid="{9232BAFA-C7F4-4871-92B8-C06D3864C842}"/>
    <cellStyle name="Calculation 4 3 2 4" xfId="27320" xr:uid="{00000000-0005-0000-0000-0000114C0000}"/>
    <cellStyle name="Calculation 4 3 2 4 2" xfId="31939" xr:uid="{C67F3CC7-E21E-4D57-A0F1-037F001BC7D9}"/>
    <cellStyle name="Calculation 4 3 2 5" xfId="29371" xr:uid="{00000000-0005-0000-0000-0000124C0000}"/>
    <cellStyle name="Calculation 4 3 2 5 2" xfId="33317" xr:uid="{FB525251-5DE4-4A2C-8EED-963ED5760E39}"/>
    <cellStyle name="Calculation 4 3 2 6" xfId="30527" xr:uid="{58BD831C-38E7-445B-8887-A2FD7A889069}"/>
    <cellStyle name="Calculation 4 3 3" xfId="25660" xr:uid="{00000000-0005-0000-0000-0000134C0000}"/>
    <cellStyle name="Calculation 4 3 3 2" xfId="27813" xr:uid="{00000000-0005-0000-0000-0000144C0000}"/>
    <cellStyle name="Calculation 4 3 3 2 2" xfId="32400" xr:uid="{60D8A67F-2A8A-47CE-86D4-9C10B466B71E}"/>
    <cellStyle name="Calculation 4 3 3 3" xfId="29240" xr:uid="{00000000-0005-0000-0000-0000154C0000}"/>
    <cellStyle name="Calculation 4 3 3 3 2" xfId="33222" xr:uid="{240FD0DD-958E-4C14-81C3-E5B4EEA2C10F}"/>
    <cellStyle name="Calculation 4 3 3 4" xfId="26180" xr:uid="{00000000-0005-0000-0000-0000164C0000}"/>
    <cellStyle name="Calculation 4 3 3 4 2" xfId="30969" xr:uid="{709A15C7-D1E5-4B8C-9019-8FFBD559A98F}"/>
    <cellStyle name="Calculation 4 3 3 5" xfId="29370" xr:uid="{00000000-0005-0000-0000-0000174C0000}"/>
    <cellStyle name="Calculation 4 3 3 5 2" xfId="33316" xr:uid="{18C6F444-3582-4A70-8310-0758C4CB1B61}"/>
    <cellStyle name="Calculation 4 3 3 6" xfId="30654" xr:uid="{48A2F894-78F5-4452-B472-150ACDD32879}"/>
    <cellStyle name="Calculation 4 3 4" xfId="27290" xr:uid="{00000000-0005-0000-0000-0000184C0000}"/>
    <cellStyle name="Calculation 4 3 4 2" xfId="31922" xr:uid="{06D28166-9BB3-48BB-BF21-A30BF55DD7DA}"/>
    <cellStyle name="Calculation 4 3 5" xfId="27107" xr:uid="{00000000-0005-0000-0000-0000194C0000}"/>
    <cellStyle name="Calculation 4 3 5 2" xfId="31825" xr:uid="{833B78C7-5689-4121-90B5-A70041296100}"/>
    <cellStyle name="Calculation 4 3 6" xfId="26359" xr:uid="{00000000-0005-0000-0000-00001A4C0000}"/>
    <cellStyle name="Calculation 4 3 6 2" xfId="31147" xr:uid="{36F63016-EF96-4D5A-946B-254F9851387A}"/>
    <cellStyle name="Calculation 4 3 7" xfId="29372" xr:uid="{00000000-0005-0000-0000-00001B4C0000}"/>
    <cellStyle name="Calculation 4 3 7 2" xfId="33318" xr:uid="{4D309B14-DA9C-4A75-AA24-9D54D01F96CD}"/>
    <cellStyle name="Calculation 4 3 8" xfId="30362" xr:uid="{D047B4E0-B7FF-46F2-A51F-C805246C030F}"/>
    <cellStyle name="Calculation 4 4" xfId="25024" xr:uid="{00000000-0005-0000-0000-00001C4C0000}"/>
    <cellStyle name="Calculation 4 4 2" xfId="25448" xr:uid="{00000000-0005-0000-0000-00001D4C0000}"/>
    <cellStyle name="Calculation 4 4 2 2" xfId="27602" xr:uid="{00000000-0005-0000-0000-00001E4C0000}"/>
    <cellStyle name="Calculation 4 4 2 2 2" xfId="32193" xr:uid="{F5D5923E-B58A-469A-A656-DBF81070EA00}"/>
    <cellStyle name="Calculation 4 4 2 3" xfId="29215" xr:uid="{00000000-0005-0000-0000-00001F4C0000}"/>
    <cellStyle name="Calculation 4 4 2 3 2" xfId="33198" xr:uid="{ED93DCD5-F52E-4744-B1D1-3EDD0F3F1D6F}"/>
    <cellStyle name="Calculation 4 4 2 4" xfId="26281" xr:uid="{00000000-0005-0000-0000-0000204C0000}"/>
    <cellStyle name="Calculation 4 4 2 4 2" xfId="31069" xr:uid="{AB3AE607-57B7-4A19-BDC1-10C40AC75269}"/>
    <cellStyle name="Calculation 4 4 2 5" xfId="29368" xr:uid="{00000000-0005-0000-0000-0000214C0000}"/>
    <cellStyle name="Calculation 4 4 2 5 2" xfId="33314" xr:uid="{11E0E40D-0851-4687-98D2-BA673BD7330E}"/>
    <cellStyle name="Calculation 4 4 2 6" xfId="30606" xr:uid="{270CC665-6554-488C-9124-EA7F0ACF9CCD}"/>
    <cellStyle name="Calculation 4 4 3" xfId="25671" xr:uid="{00000000-0005-0000-0000-0000224C0000}"/>
    <cellStyle name="Calculation 4 4 3 2" xfId="27824" xr:uid="{00000000-0005-0000-0000-0000234C0000}"/>
    <cellStyle name="Calculation 4 4 3 2 2" xfId="32411" xr:uid="{7B421FD5-8A91-4FEB-AC08-7255F6597362}"/>
    <cellStyle name="Calculation 4 4 3 3" xfId="29251" xr:uid="{00000000-0005-0000-0000-0000244C0000}"/>
    <cellStyle name="Calculation 4 4 3 3 2" xfId="33233" xr:uid="{AC069370-84A8-40CA-BCCA-D7863913A378}"/>
    <cellStyle name="Calculation 4 4 3 4" xfId="26873" xr:uid="{00000000-0005-0000-0000-0000254C0000}"/>
    <cellStyle name="Calculation 4 4 3 4 2" xfId="31634" xr:uid="{2FD6CD7C-461E-438B-8D3E-7CA36FBFAD66}"/>
    <cellStyle name="Calculation 4 4 3 5" xfId="29367" xr:uid="{00000000-0005-0000-0000-0000264C0000}"/>
    <cellStyle name="Calculation 4 4 3 5 2" xfId="33313" xr:uid="{F7D9CA66-8040-41B0-874E-C29C968BDAD7}"/>
    <cellStyle name="Calculation 4 4 3 6" xfId="30665" xr:uid="{48C2D53F-CF91-4669-B5FB-C0D4309BED0E}"/>
    <cellStyle name="Calculation 4 4 4" xfId="27354" xr:uid="{00000000-0005-0000-0000-0000274C0000}"/>
    <cellStyle name="Calculation 4 4 4 2" xfId="31952" xr:uid="{AD8D52BF-3AE0-448F-84E2-5E9F3A5E209B}"/>
    <cellStyle name="Calculation 4 4 5" xfId="26192" xr:uid="{00000000-0005-0000-0000-0000284C0000}"/>
    <cellStyle name="Calculation 4 4 5 2" xfId="30980" xr:uid="{0F6B48E2-CCD4-458A-B4F6-640451D941EC}"/>
    <cellStyle name="Calculation 4 4 6" xfId="26689" xr:uid="{00000000-0005-0000-0000-0000294C0000}"/>
    <cellStyle name="Calculation 4 4 6 2" xfId="31451" xr:uid="{7DE842D7-3928-4E53-A6B2-CC0558E14828}"/>
    <cellStyle name="Calculation 4 4 7" xfId="29369" xr:uid="{00000000-0005-0000-0000-00002A4C0000}"/>
    <cellStyle name="Calculation 4 4 7 2" xfId="33315" xr:uid="{EC2EEF61-D80F-49DB-A055-BBAC80E8D5BE}"/>
    <cellStyle name="Calculation 4 4 8" xfId="30373" xr:uid="{744D290D-F761-430E-A621-3B127DDA76C7}"/>
    <cellStyle name="Calculation 40" xfId="2474" xr:uid="{00000000-0005-0000-0000-00002B4C0000}"/>
    <cellStyle name="Calculation 41" xfId="2475" xr:uid="{00000000-0005-0000-0000-00002C4C0000}"/>
    <cellStyle name="Calculation 42" xfId="2476" xr:uid="{00000000-0005-0000-0000-00002D4C0000}"/>
    <cellStyle name="Calculation 43" xfId="2477" xr:uid="{00000000-0005-0000-0000-00002E4C0000}"/>
    <cellStyle name="Calculation 44" xfId="2478" xr:uid="{00000000-0005-0000-0000-00002F4C0000}"/>
    <cellStyle name="Calculation 45" xfId="2479" xr:uid="{00000000-0005-0000-0000-0000304C0000}"/>
    <cellStyle name="Calculation 46" xfId="2480" xr:uid="{00000000-0005-0000-0000-0000314C0000}"/>
    <cellStyle name="Calculation 47" xfId="2481" xr:uid="{00000000-0005-0000-0000-0000324C0000}"/>
    <cellStyle name="Calculation 48" xfId="2482" xr:uid="{00000000-0005-0000-0000-0000334C0000}"/>
    <cellStyle name="Calculation 49" xfId="2483" xr:uid="{00000000-0005-0000-0000-0000344C0000}"/>
    <cellStyle name="Calculation 5" xfId="2484" xr:uid="{00000000-0005-0000-0000-0000354C0000}"/>
    <cellStyle name="Calculation 50" xfId="2485" xr:uid="{00000000-0005-0000-0000-0000364C0000}"/>
    <cellStyle name="Calculation 51" xfId="2486" xr:uid="{00000000-0005-0000-0000-0000374C0000}"/>
    <cellStyle name="Calculation 52" xfId="2487" xr:uid="{00000000-0005-0000-0000-0000384C0000}"/>
    <cellStyle name="Calculation 53" xfId="2488" xr:uid="{00000000-0005-0000-0000-0000394C0000}"/>
    <cellStyle name="Calculation 54" xfId="2489" xr:uid="{00000000-0005-0000-0000-00003A4C0000}"/>
    <cellStyle name="Calculation 55" xfId="2490" xr:uid="{00000000-0005-0000-0000-00003B4C0000}"/>
    <cellStyle name="Calculation 56" xfId="2491" xr:uid="{00000000-0005-0000-0000-00003C4C0000}"/>
    <cellStyle name="Calculation 57" xfId="2492" xr:uid="{00000000-0005-0000-0000-00003D4C0000}"/>
    <cellStyle name="Calculation 58" xfId="2493" xr:uid="{00000000-0005-0000-0000-00003E4C0000}"/>
    <cellStyle name="Calculation 59" xfId="2494" xr:uid="{00000000-0005-0000-0000-00003F4C0000}"/>
    <cellStyle name="Calculation 6" xfId="2495" xr:uid="{00000000-0005-0000-0000-0000404C0000}"/>
    <cellStyle name="Calculation 60" xfId="2496" xr:uid="{00000000-0005-0000-0000-0000414C0000}"/>
    <cellStyle name="Calculation 61" xfId="2497" xr:uid="{00000000-0005-0000-0000-0000424C0000}"/>
    <cellStyle name="Calculation 62" xfId="2498" xr:uid="{00000000-0005-0000-0000-0000434C0000}"/>
    <cellStyle name="Calculation 63" xfId="2499" xr:uid="{00000000-0005-0000-0000-0000444C0000}"/>
    <cellStyle name="Calculation 64" xfId="2500" xr:uid="{00000000-0005-0000-0000-0000454C0000}"/>
    <cellStyle name="Calculation 65" xfId="2501" xr:uid="{00000000-0005-0000-0000-0000464C0000}"/>
    <cellStyle name="Calculation 66" xfId="2502" xr:uid="{00000000-0005-0000-0000-0000474C0000}"/>
    <cellStyle name="Calculation 67" xfId="2503" xr:uid="{00000000-0005-0000-0000-0000484C0000}"/>
    <cellStyle name="Calculation 68" xfId="2504" xr:uid="{00000000-0005-0000-0000-0000494C0000}"/>
    <cellStyle name="Calculation 69" xfId="2505" xr:uid="{00000000-0005-0000-0000-00004A4C0000}"/>
    <cellStyle name="Calculation 7" xfId="2506" xr:uid="{00000000-0005-0000-0000-00004B4C0000}"/>
    <cellStyle name="Calculation 70" xfId="2507" xr:uid="{00000000-0005-0000-0000-00004C4C0000}"/>
    <cellStyle name="Calculation 71" xfId="2508" xr:uid="{00000000-0005-0000-0000-00004D4C0000}"/>
    <cellStyle name="Calculation 72" xfId="2509" xr:uid="{00000000-0005-0000-0000-00004E4C0000}"/>
    <cellStyle name="Calculation 8" xfId="2510" xr:uid="{00000000-0005-0000-0000-00004F4C0000}"/>
    <cellStyle name="Calculation 9" xfId="2511" xr:uid="{00000000-0005-0000-0000-0000504C0000}"/>
    <cellStyle name="Check Cell 10" xfId="2512" xr:uid="{00000000-0005-0000-0000-0000514C0000}"/>
    <cellStyle name="Check Cell 11" xfId="2513" xr:uid="{00000000-0005-0000-0000-0000524C0000}"/>
    <cellStyle name="Check Cell 12" xfId="2514" xr:uid="{00000000-0005-0000-0000-0000534C0000}"/>
    <cellStyle name="Check Cell 13" xfId="2515" xr:uid="{00000000-0005-0000-0000-0000544C0000}"/>
    <cellStyle name="Check Cell 14" xfId="2516" xr:uid="{00000000-0005-0000-0000-0000554C0000}"/>
    <cellStyle name="Check Cell 15" xfId="2517" xr:uid="{00000000-0005-0000-0000-0000564C0000}"/>
    <cellStyle name="Check Cell 16" xfId="2518" xr:uid="{00000000-0005-0000-0000-0000574C0000}"/>
    <cellStyle name="Check Cell 17" xfId="2519" xr:uid="{00000000-0005-0000-0000-0000584C0000}"/>
    <cellStyle name="Check Cell 18" xfId="2520" xr:uid="{00000000-0005-0000-0000-0000594C0000}"/>
    <cellStyle name="Check Cell 19" xfId="2521" xr:uid="{00000000-0005-0000-0000-00005A4C0000}"/>
    <cellStyle name="Check Cell 2" xfId="2522" xr:uid="{00000000-0005-0000-0000-00005B4C0000}"/>
    <cellStyle name="Check Cell 2 2" xfId="24061" xr:uid="{00000000-0005-0000-0000-00005C4C0000}"/>
    <cellStyle name="Check Cell 2 3" xfId="24060" xr:uid="{00000000-0005-0000-0000-00005D4C0000}"/>
    <cellStyle name="Check Cell 20" xfId="2523" xr:uid="{00000000-0005-0000-0000-00005E4C0000}"/>
    <cellStyle name="Check Cell 21" xfId="2524" xr:uid="{00000000-0005-0000-0000-00005F4C0000}"/>
    <cellStyle name="Check Cell 22" xfId="2525" xr:uid="{00000000-0005-0000-0000-0000604C0000}"/>
    <cellStyle name="Check Cell 23" xfId="2526" xr:uid="{00000000-0005-0000-0000-0000614C0000}"/>
    <cellStyle name="Check Cell 24" xfId="2527" xr:uid="{00000000-0005-0000-0000-0000624C0000}"/>
    <cellStyle name="Check Cell 25" xfId="2528" xr:uid="{00000000-0005-0000-0000-0000634C0000}"/>
    <cellStyle name="Check Cell 26" xfId="2529" xr:uid="{00000000-0005-0000-0000-0000644C0000}"/>
    <cellStyle name="Check Cell 27" xfId="2530" xr:uid="{00000000-0005-0000-0000-0000654C0000}"/>
    <cellStyle name="Check Cell 28" xfId="2531" xr:uid="{00000000-0005-0000-0000-0000664C0000}"/>
    <cellStyle name="Check Cell 29" xfId="2532" xr:uid="{00000000-0005-0000-0000-0000674C0000}"/>
    <cellStyle name="Check Cell 3" xfId="2533" xr:uid="{00000000-0005-0000-0000-0000684C0000}"/>
    <cellStyle name="Check Cell 3 2" xfId="24062" xr:uid="{00000000-0005-0000-0000-0000694C0000}"/>
    <cellStyle name="Check Cell 30" xfId="2534" xr:uid="{00000000-0005-0000-0000-00006A4C0000}"/>
    <cellStyle name="Check Cell 31" xfId="2535" xr:uid="{00000000-0005-0000-0000-00006B4C0000}"/>
    <cellStyle name="Check Cell 32" xfId="2536" xr:uid="{00000000-0005-0000-0000-00006C4C0000}"/>
    <cellStyle name="Check Cell 33" xfId="2537" xr:uid="{00000000-0005-0000-0000-00006D4C0000}"/>
    <cellStyle name="Check Cell 34" xfId="2538" xr:uid="{00000000-0005-0000-0000-00006E4C0000}"/>
    <cellStyle name="Check Cell 35" xfId="2539" xr:uid="{00000000-0005-0000-0000-00006F4C0000}"/>
    <cellStyle name="Check Cell 36" xfId="2540" xr:uid="{00000000-0005-0000-0000-0000704C0000}"/>
    <cellStyle name="Check Cell 37" xfId="2541" xr:uid="{00000000-0005-0000-0000-0000714C0000}"/>
    <cellStyle name="Check Cell 38" xfId="2542" xr:uid="{00000000-0005-0000-0000-0000724C0000}"/>
    <cellStyle name="Check Cell 39" xfId="2543" xr:uid="{00000000-0005-0000-0000-0000734C0000}"/>
    <cellStyle name="Check Cell 4" xfId="2544" xr:uid="{00000000-0005-0000-0000-0000744C0000}"/>
    <cellStyle name="Check Cell 4 2" xfId="24063" xr:uid="{00000000-0005-0000-0000-0000754C0000}"/>
    <cellStyle name="Check Cell 40" xfId="2545" xr:uid="{00000000-0005-0000-0000-0000764C0000}"/>
    <cellStyle name="Check Cell 41" xfId="2546" xr:uid="{00000000-0005-0000-0000-0000774C0000}"/>
    <cellStyle name="Check Cell 42" xfId="2547" xr:uid="{00000000-0005-0000-0000-0000784C0000}"/>
    <cellStyle name="Check Cell 43" xfId="2548" xr:uid="{00000000-0005-0000-0000-0000794C0000}"/>
    <cellStyle name="Check Cell 44" xfId="2549" xr:uid="{00000000-0005-0000-0000-00007A4C0000}"/>
    <cellStyle name="Check Cell 45" xfId="2550" xr:uid="{00000000-0005-0000-0000-00007B4C0000}"/>
    <cellStyle name="Check Cell 46" xfId="2551" xr:uid="{00000000-0005-0000-0000-00007C4C0000}"/>
    <cellStyle name="Check Cell 47" xfId="2552" xr:uid="{00000000-0005-0000-0000-00007D4C0000}"/>
    <cellStyle name="Check Cell 48" xfId="2553" xr:uid="{00000000-0005-0000-0000-00007E4C0000}"/>
    <cellStyle name="Check Cell 49" xfId="2554" xr:uid="{00000000-0005-0000-0000-00007F4C0000}"/>
    <cellStyle name="Check Cell 5" xfId="2555" xr:uid="{00000000-0005-0000-0000-0000804C0000}"/>
    <cellStyle name="Check Cell 50" xfId="2556" xr:uid="{00000000-0005-0000-0000-0000814C0000}"/>
    <cellStyle name="Check Cell 51" xfId="2557" xr:uid="{00000000-0005-0000-0000-0000824C0000}"/>
    <cellStyle name="Check Cell 52" xfId="2558" xr:uid="{00000000-0005-0000-0000-0000834C0000}"/>
    <cellStyle name="Check Cell 53" xfId="2559" xr:uid="{00000000-0005-0000-0000-0000844C0000}"/>
    <cellStyle name="Check Cell 54" xfId="2560" xr:uid="{00000000-0005-0000-0000-0000854C0000}"/>
    <cellStyle name="Check Cell 55" xfId="2561" xr:uid="{00000000-0005-0000-0000-0000864C0000}"/>
    <cellStyle name="Check Cell 56" xfId="2562" xr:uid="{00000000-0005-0000-0000-0000874C0000}"/>
    <cellStyle name="Check Cell 57" xfId="2563" xr:uid="{00000000-0005-0000-0000-0000884C0000}"/>
    <cellStyle name="Check Cell 58" xfId="2564" xr:uid="{00000000-0005-0000-0000-0000894C0000}"/>
    <cellStyle name="Check Cell 59" xfId="2565" xr:uid="{00000000-0005-0000-0000-00008A4C0000}"/>
    <cellStyle name="Check Cell 6" xfId="2566" xr:uid="{00000000-0005-0000-0000-00008B4C0000}"/>
    <cellStyle name="Check Cell 60" xfId="2567" xr:uid="{00000000-0005-0000-0000-00008C4C0000}"/>
    <cellStyle name="Check Cell 61" xfId="2568" xr:uid="{00000000-0005-0000-0000-00008D4C0000}"/>
    <cellStyle name="Check Cell 62" xfId="2569" xr:uid="{00000000-0005-0000-0000-00008E4C0000}"/>
    <cellStyle name="Check Cell 63" xfId="2570" xr:uid="{00000000-0005-0000-0000-00008F4C0000}"/>
    <cellStyle name="Check Cell 64" xfId="2571" xr:uid="{00000000-0005-0000-0000-0000904C0000}"/>
    <cellStyle name="Check Cell 65" xfId="2572" xr:uid="{00000000-0005-0000-0000-0000914C0000}"/>
    <cellStyle name="Check Cell 66" xfId="2573" xr:uid="{00000000-0005-0000-0000-0000924C0000}"/>
    <cellStyle name="Check Cell 67" xfId="2574" xr:uid="{00000000-0005-0000-0000-0000934C0000}"/>
    <cellStyle name="Check Cell 68" xfId="2575" xr:uid="{00000000-0005-0000-0000-0000944C0000}"/>
    <cellStyle name="Check Cell 69" xfId="2576" xr:uid="{00000000-0005-0000-0000-0000954C0000}"/>
    <cellStyle name="Check Cell 7" xfId="2577" xr:uid="{00000000-0005-0000-0000-0000964C0000}"/>
    <cellStyle name="Check Cell 70" xfId="2578" xr:uid="{00000000-0005-0000-0000-0000974C0000}"/>
    <cellStyle name="Check Cell 71" xfId="2579" xr:uid="{00000000-0005-0000-0000-0000984C0000}"/>
    <cellStyle name="Check Cell 72" xfId="2580" xr:uid="{00000000-0005-0000-0000-0000994C0000}"/>
    <cellStyle name="Check Cell 8" xfId="2581" xr:uid="{00000000-0005-0000-0000-00009A4C0000}"/>
    <cellStyle name="Check Cell 9" xfId="2582" xr:uid="{00000000-0005-0000-0000-00009B4C0000}"/>
    <cellStyle name="Co. Names" xfId="546" xr:uid="{00000000-0005-0000-0000-00009C4C0000}"/>
    <cellStyle name="Co. Names 2" xfId="24064" xr:uid="{00000000-0005-0000-0000-00009D4C0000}"/>
    <cellStyle name="Column total in dollars" xfId="11" xr:uid="{00000000-0005-0000-0000-00009E4C0000}"/>
    <cellStyle name="ColumnAttributeAbovePrompt" xfId="2583" xr:uid="{00000000-0005-0000-0000-00009F4C0000}"/>
    <cellStyle name="ColumnAttributePrompt" xfId="2584" xr:uid="{00000000-0005-0000-0000-0000A04C0000}"/>
    <cellStyle name="ColumnAttributeValue" xfId="2585" xr:uid="{00000000-0005-0000-0000-0000A14C0000}"/>
    <cellStyle name="ColumnHeadingPrompt" xfId="2586" xr:uid="{00000000-0005-0000-0000-0000A24C0000}"/>
    <cellStyle name="ColumnHeadingValue" xfId="2587" xr:uid="{00000000-0005-0000-0000-0000A34C0000}"/>
    <cellStyle name="Comma" xfId="25742" builtinId="3"/>
    <cellStyle name="Comma  - Style1" xfId="12" xr:uid="{00000000-0005-0000-0000-0000A54C0000}"/>
    <cellStyle name="Comma  - Style1 2" xfId="25800" xr:uid="{00000000-0005-0000-0000-0000A64C0000}"/>
    <cellStyle name="Comma  - Style2" xfId="13" xr:uid="{00000000-0005-0000-0000-0000A74C0000}"/>
    <cellStyle name="Comma  - Style2 2" xfId="25801" xr:uid="{00000000-0005-0000-0000-0000A84C0000}"/>
    <cellStyle name="Comma  - Style3" xfId="14" xr:uid="{00000000-0005-0000-0000-0000A94C0000}"/>
    <cellStyle name="Comma  - Style3 2" xfId="25802" xr:uid="{00000000-0005-0000-0000-0000AA4C0000}"/>
    <cellStyle name="Comma  - Style4" xfId="15" xr:uid="{00000000-0005-0000-0000-0000AB4C0000}"/>
    <cellStyle name="Comma  - Style4 2" xfId="25803" xr:uid="{00000000-0005-0000-0000-0000AC4C0000}"/>
    <cellStyle name="Comma  - Style5" xfId="16" xr:uid="{00000000-0005-0000-0000-0000AD4C0000}"/>
    <cellStyle name="Comma  - Style5 2" xfId="25804" xr:uid="{00000000-0005-0000-0000-0000AE4C0000}"/>
    <cellStyle name="Comma  - Style6" xfId="17" xr:uid="{00000000-0005-0000-0000-0000AF4C0000}"/>
    <cellStyle name="Comma  - Style6 2" xfId="25805" xr:uid="{00000000-0005-0000-0000-0000B04C0000}"/>
    <cellStyle name="Comma  - Style7" xfId="18" xr:uid="{00000000-0005-0000-0000-0000B14C0000}"/>
    <cellStyle name="Comma  - Style7 2" xfId="25806" xr:uid="{00000000-0005-0000-0000-0000B24C0000}"/>
    <cellStyle name="Comma  - Style8" xfId="19" xr:uid="{00000000-0005-0000-0000-0000B34C0000}"/>
    <cellStyle name="Comma  - Style8 2" xfId="25807" xr:uid="{00000000-0005-0000-0000-0000B44C0000}"/>
    <cellStyle name="Comma (0)" xfId="20" xr:uid="{00000000-0005-0000-0000-0000B54C0000}"/>
    <cellStyle name="Comma [0] 2" xfId="176" xr:uid="{00000000-0005-0000-0000-0000B64C0000}"/>
    <cellStyle name="Comma [0] 2 2" xfId="25886" xr:uid="{00000000-0005-0000-0000-0000B74C0000}"/>
    <cellStyle name="Comma [0] 3" xfId="177" xr:uid="{00000000-0005-0000-0000-0000B84C0000}"/>
    <cellStyle name="Comma [0] 3 2" xfId="363" xr:uid="{00000000-0005-0000-0000-0000B94C0000}"/>
    <cellStyle name="Comma [0] 3 2 2" xfId="445" xr:uid="{00000000-0005-0000-0000-0000BA4C0000}"/>
    <cellStyle name="Comma [0] 3 2 2 2" xfId="531" xr:uid="{00000000-0005-0000-0000-0000BB4C0000}"/>
    <cellStyle name="Comma [0] 3 2 2 2 2" xfId="13894" xr:uid="{00000000-0005-0000-0000-0000BC4C0000}"/>
    <cellStyle name="Comma [0] 3 2 2 3" xfId="13817" xr:uid="{00000000-0005-0000-0000-0000BD4C0000}"/>
    <cellStyle name="Comma [0] 3 2 3" xfId="494" xr:uid="{00000000-0005-0000-0000-0000BE4C0000}"/>
    <cellStyle name="Comma [0] 3 2 3 2" xfId="13857" xr:uid="{00000000-0005-0000-0000-0000BF4C0000}"/>
    <cellStyle name="Comma [0] 3 2 4" xfId="13773" xr:uid="{00000000-0005-0000-0000-0000C04C0000}"/>
    <cellStyle name="Comma [0] 3 3" xfId="425" xr:uid="{00000000-0005-0000-0000-0000C14C0000}"/>
    <cellStyle name="Comma [0] 3 3 2" xfId="516" xr:uid="{00000000-0005-0000-0000-0000C24C0000}"/>
    <cellStyle name="Comma [0] 3 3 2 2" xfId="13879" xr:uid="{00000000-0005-0000-0000-0000C34C0000}"/>
    <cellStyle name="Comma [0] 3 3 3" xfId="13802" xr:uid="{00000000-0005-0000-0000-0000C44C0000}"/>
    <cellStyle name="Comma [0] 3 4" xfId="479" xr:uid="{00000000-0005-0000-0000-0000C54C0000}"/>
    <cellStyle name="Comma [0] 3 4 2" xfId="13842" xr:uid="{00000000-0005-0000-0000-0000C64C0000}"/>
    <cellStyle name="Comma [0] 3 5" xfId="13687" xr:uid="{00000000-0005-0000-0000-0000C74C0000}"/>
    <cellStyle name="Comma [1]" xfId="547" xr:uid="{00000000-0005-0000-0000-0000C84C0000}"/>
    <cellStyle name="Comma [1] 2" xfId="24066" xr:uid="{00000000-0005-0000-0000-0000C94C0000}"/>
    <cellStyle name="Comma [2]" xfId="548" xr:uid="{00000000-0005-0000-0000-0000CA4C0000}"/>
    <cellStyle name="Comma [3]" xfId="549" xr:uid="{00000000-0005-0000-0000-0000CB4C0000}"/>
    <cellStyle name="Comma 10" xfId="172" xr:uid="{00000000-0005-0000-0000-0000CC4C0000}"/>
    <cellStyle name="Comma 10 10" xfId="25744" xr:uid="{00000000-0005-0000-0000-0000CD4C0000}"/>
    <cellStyle name="Comma 10 10 2" xfId="27894" xr:uid="{00000000-0005-0000-0000-0000CE4C0000}"/>
    <cellStyle name="Comma 10 11" xfId="28614" xr:uid="{00000000-0005-0000-0000-0000CF4C0000}"/>
    <cellStyle name="Comma 10 11 2" xfId="28856" xr:uid="{00000000-0005-0000-0000-0000D04C0000}"/>
    <cellStyle name="Comma 10 12" xfId="28615" xr:uid="{00000000-0005-0000-0000-0000D14C0000}"/>
    <cellStyle name="Comma 10 12 2" xfId="28857" xr:uid="{00000000-0005-0000-0000-0000D24C0000}"/>
    <cellStyle name="Comma 10 13" xfId="28616" xr:uid="{00000000-0005-0000-0000-0000D34C0000}"/>
    <cellStyle name="Comma 10 13 2" xfId="28858" xr:uid="{00000000-0005-0000-0000-0000D44C0000}"/>
    <cellStyle name="Comma 10 2" xfId="281" xr:uid="{00000000-0005-0000-0000-0000D54C0000}"/>
    <cellStyle name="Comma 10 2 2" xfId="25940" xr:uid="{00000000-0005-0000-0000-0000D64C0000}"/>
    <cellStyle name="Comma 10 3" xfId="633" xr:uid="{00000000-0005-0000-0000-0000D74C0000}"/>
    <cellStyle name="Comma 10 3 2" xfId="13905" xr:uid="{00000000-0005-0000-0000-0000D84C0000}"/>
    <cellStyle name="Comma 10 3 2 2" xfId="28859" xr:uid="{00000000-0005-0000-0000-0000D94C0000}"/>
    <cellStyle name="Comma 10 3 3" xfId="28617" xr:uid="{00000000-0005-0000-0000-0000DA4C0000}"/>
    <cellStyle name="Comma 10 4" xfId="28618" xr:uid="{00000000-0005-0000-0000-0000DB4C0000}"/>
    <cellStyle name="Comma 10 4 2" xfId="28860" xr:uid="{00000000-0005-0000-0000-0000DC4C0000}"/>
    <cellStyle name="Comma 10 5" xfId="28619" xr:uid="{00000000-0005-0000-0000-0000DD4C0000}"/>
    <cellStyle name="Comma 10 5 2" xfId="28861" xr:uid="{00000000-0005-0000-0000-0000DE4C0000}"/>
    <cellStyle name="Comma 10 6" xfId="28620" xr:uid="{00000000-0005-0000-0000-0000DF4C0000}"/>
    <cellStyle name="Comma 10 6 2" xfId="28862" xr:uid="{00000000-0005-0000-0000-0000E04C0000}"/>
    <cellStyle name="Comma 10 7" xfId="28621" xr:uid="{00000000-0005-0000-0000-0000E14C0000}"/>
    <cellStyle name="Comma 10 7 2" xfId="28863" xr:uid="{00000000-0005-0000-0000-0000E24C0000}"/>
    <cellStyle name="Comma 10 8" xfId="28622" xr:uid="{00000000-0005-0000-0000-0000E34C0000}"/>
    <cellStyle name="Comma 10 8 2" xfId="28864" xr:uid="{00000000-0005-0000-0000-0000E44C0000}"/>
    <cellStyle name="Comma 10 9" xfId="28623" xr:uid="{00000000-0005-0000-0000-0000E54C0000}"/>
    <cellStyle name="Comma 10 9 2" xfId="28865" xr:uid="{00000000-0005-0000-0000-0000E64C0000}"/>
    <cellStyle name="Comma 11" xfId="178" xr:uid="{00000000-0005-0000-0000-0000E74C0000}"/>
    <cellStyle name="Comma 11 10" xfId="28624" xr:uid="{00000000-0005-0000-0000-0000E84C0000}"/>
    <cellStyle name="Comma 11 10 2" xfId="28866" xr:uid="{00000000-0005-0000-0000-0000E94C0000}"/>
    <cellStyle name="Comma 11 11" xfId="28625" xr:uid="{00000000-0005-0000-0000-0000EA4C0000}"/>
    <cellStyle name="Comma 11 11 2" xfId="28867" xr:uid="{00000000-0005-0000-0000-0000EB4C0000}"/>
    <cellStyle name="Comma 11 12" xfId="28626" xr:uid="{00000000-0005-0000-0000-0000EC4C0000}"/>
    <cellStyle name="Comma 11 12 2" xfId="28868" xr:uid="{00000000-0005-0000-0000-0000ED4C0000}"/>
    <cellStyle name="Comma 11 13" xfId="28627" xr:uid="{00000000-0005-0000-0000-0000EE4C0000}"/>
    <cellStyle name="Comma 11 13 2" xfId="28869" xr:uid="{00000000-0005-0000-0000-0000EF4C0000}"/>
    <cellStyle name="Comma 11 2" xfId="634" xr:uid="{00000000-0005-0000-0000-0000F04C0000}"/>
    <cellStyle name="Comma 11 2 2" xfId="28870" xr:uid="{00000000-0005-0000-0000-0000F14C0000}"/>
    <cellStyle name="Comma 11 2 3" xfId="28628" xr:uid="{00000000-0005-0000-0000-0000F24C0000}"/>
    <cellStyle name="Comma 11 3" xfId="23929" xr:uid="{00000000-0005-0000-0000-0000F34C0000}"/>
    <cellStyle name="Comma 11 3 2" xfId="28871" xr:uid="{00000000-0005-0000-0000-0000F44C0000}"/>
    <cellStyle name="Comma 11 3 3" xfId="28629" xr:uid="{00000000-0005-0000-0000-0000F54C0000}"/>
    <cellStyle name="Comma 11 4" xfId="25887" xr:uid="{00000000-0005-0000-0000-0000F64C0000}"/>
    <cellStyle name="Comma 11 4 2" xfId="28872" xr:uid="{00000000-0005-0000-0000-0000F74C0000}"/>
    <cellStyle name="Comma 11 5" xfId="28630" xr:uid="{00000000-0005-0000-0000-0000F84C0000}"/>
    <cellStyle name="Comma 11 5 2" xfId="28873" xr:uid="{00000000-0005-0000-0000-0000F94C0000}"/>
    <cellStyle name="Comma 11 6" xfId="28631" xr:uid="{00000000-0005-0000-0000-0000FA4C0000}"/>
    <cellStyle name="Comma 11 6 2" xfId="28874" xr:uid="{00000000-0005-0000-0000-0000FB4C0000}"/>
    <cellStyle name="Comma 11 7" xfId="28632" xr:uid="{00000000-0005-0000-0000-0000FC4C0000}"/>
    <cellStyle name="Comma 11 7 2" xfId="28875" xr:uid="{00000000-0005-0000-0000-0000FD4C0000}"/>
    <cellStyle name="Comma 11 8" xfId="28633" xr:uid="{00000000-0005-0000-0000-0000FE4C0000}"/>
    <cellStyle name="Comma 11 8 2" xfId="28876" xr:uid="{00000000-0005-0000-0000-0000FF4C0000}"/>
    <cellStyle name="Comma 11 9" xfId="28634" xr:uid="{00000000-0005-0000-0000-0000004D0000}"/>
    <cellStyle name="Comma 11 9 2" xfId="28877" xr:uid="{00000000-0005-0000-0000-0000014D0000}"/>
    <cellStyle name="Comma 12" xfId="179" xr:uid="{00000000-0005-0000-0000-0000024D0000}"/>
    <cellStyle name="Comma 12 10" xfId="28635" xr:uid="{00000000-0005-0000-0000-0000034D0000}"/>
    <cellStyle name="Comma 12 10 2" xfId="28878" xr:uid="{00000000-0005-0000-0000-0000044D0000}"/>
    <cellStyle name="Comma 12 11" xfId="28636" xr:uid="{00000000-0005-0000-0000-0000054D0000}"/>
    <cellStyle name="Comma 12 11 2" xfId="28879" xr:uid="{00000000-0005-0000-0000-0000064D0000}"/>
    <cellStyle name="Comma 12 12" xfId="28637" xr:uid="{00000000-0005-0000-0000-0000074D0000}"/>
    <cellStyle name="Comma 12 12 2" xfId="28880" xr:uid="{00000000-0005-0000-0000-0000084D0000}"/>
    <cellStyle name="Comma 12 13" xfId="28638" xr:uid="{00000000-0005-0000-0000-0000094D0000}"/>
    <cellStyle name="Comma 12 13 2" xfId="28881" xr:uid="{00000000-0005-0000-0000-00000A4D0000}"/>
    <cellStyle name="Comma 12 2" xfId="25888" xr:uid="{00000000-0005-0000-0000-00000B4D0000}"/>
    <cellStyle name="Comma 12 2 2" xfId="28882" xr:uid="{00000000-0005-0000-0000-00000C4D0000}"/>
    <cellStyle name="Comma 12 3" xfId="28639" xr:uid="{00000000-0005-0000-0000-00000D4D0000}"/>
    <cellStyle name="Comma 12 3 2" xfId="28883" xr:uid="{00000000-0005-0000-0000-00000E4D0000}"/>
    <cellStyle name="Comma 12 4" xfId="28640" xr:uid="{00000000-0005-0000-0000-00000F4D0000}"/>
    <cellStyle name="Comma 12 4 2" xfId="28884" xr:uid="{00000000-0005-0000-0000-0000104D0000}"/>
    <cellStyle name="Comma 12 5" xfId="28641" xr:uid="{00000000-0005-0000-0000-0000114D0000}"/>
    <cellStyle name="Comma 12 5 2" xfId="28885" xr:uid="{00000000-0005-0000-0000-0000124D0000}"/>
    <cellStyle name="Comma 12 6" xfId="28642" xr:uid="{00000000-0005-0000-0000-0000134D0000}"/>
    <cellStyle name="Comma 12 6 2" xfId="28886" xr:uid="{00000000-0005-0000-0000-0000144D0000}"/>
    <cellStyle name="Comma 12 7" xfId="28643" xr:uid="{00000000-0005-0000-0000-0000154D0000}"/>
    <cellStyle name="Comma 12 7 2" xfId="28887" xr:uid="{00000000-0005-0000-0000-0000164D0000}"/>
    <cellStyle name="Comma 12 8" xfId="28644" xr:uid="{00000000-0005-0000-0000-0000174D0000}"/>
    <cellStyle name="Comma 12 8 2" xfId="28888" xr:uid="{00000000-0005-0000-0000-0000184D0000}"/>
    <cellStyle name="Comma 12 9" xfId="28645" xr:uid="{00000000-0005-0000-0000-0000194D0000}"/>
    <cellStyle name="Comma 12 9 2" xfId="28889" xr:uid="{00000000-0005-0000-0000-00001A4D0000}"/>
    <cellStyle name="Comma 13" xfId="180" xr:uid="{00000000-0005-0000-0000-00001B4D0000}"/>
    <cellStyle name="Comma 13 10" xfId="28646" xr:uid="{00000000-0005-0000-0000-00001C4D0000}"/>
    <cellStyle name="Comma 13 10 2" xfId="28890" xr:uid="{00000000-0005-0000-0000-00001D4D0000}"/>
    <cellStyle name="Comma 13 11" xfId="28647" xr:uid="{00000000-0005-0000-0000-00001E4D0000}"/>
    <cellStyle name="Comma 13 11 2" xfId="28891" xr:uid="{00000000-0005-0000-0000-00001F4D0000}"/>
    <cellStyle name="Comma 13 12" xfId="28648" xr:uid="{00000000-0005-0000-0000-0000204D0000}"/>
    <cellStyle name="Comma 13 12 2" xfId="28892" xr:uid="{00000000-0005-0000-0000-0000214D0000}"/>
    <cellStyle name="Comma 13 13" xfId="28649" xr:uid="{00000000-0005-0000-0000-0000224D0000}"/>
    <cellStyle name="Comma 13 13 2" xfId="28893" xr:uid="{00000000-0005-0000-0000-0000234D0000}"/>
    <cellStyle name="Comma 13 2" xfId="25889" xr:uid="{00000000-0005-0000-0000-0000244D0000}"/>
    <cellStyle name="Comma 13 2 2" xfId="28894" xr:uid="{00000000-0005-0000-0000-0000254D0000}"/>
    <cellStyle name="Comma 13 3" xfId="28650" xr:uid="{00000000-0005-0000-0000-0000264D0000}"/>
    <cellStyle name="Comma 13 3 2" xfId="28895" xr:uid="{00000000-0005-0000-0000-0000274D0000}"/>
    <cellStyle name="Comma 13 4" xfId="28651" xr:uid="{00000000-0005-0000-0000-0000284D0000}"/>
    <cellStyle name="Comma 13 4 2" xfId="28896" xr:uid="{00000000-0005-0000-0000-0000294D0000}"/>
    <cellStyle name="Comma 13 5" xfId="28652" xr:uid="{00000000-0005-0000-0000-00002A4D0000}"/>
    <cellStyle name="Comma 13 5 2" xfId="28897" xr:uid="{00000000-0005-0000-0000-00002B4D0000}"/>
    <cellStyle name="Comma 13 6" xfId="28653" xr:uid="{00000000-0005-0000-0000-00002C4D0000}"/>
    <cellStyle name="Comma 13 6 2" xfId="28898" xr:uid="{00000000-0005-0000-0000-00002D4D0000}"/>
    <cellStyle name="Comma 13 7" xfId="28654" xr:uid="{00000000-0005-0000-0000-00002E4D0000}"/>
    <cellStyle name="Comma 13 7 2" xfId="28899" xr:uid="{00000000-0005-0000-0000-00002F4D0000}"/>
    <cellStyle name="Comma 13 8" xfId="28655" xr:uid="{00000000-0005-0000-0000-0000304D0000}"/>
    <cellStyle name="Comma 13 8 2" xfId="28900" xr:uid="{00000000-0005-0000-0000-0000314D0000}"/>
    <cellStyle name="Comma 13 9" xfId="28656" xr:uid="{00000000-0005-0000-0000-0000324D0000}"/>
    <cellStyle name="Comma 13 9 2" xfId="28901" xr:uid="{00000000-0005-0000-0000-0000334D0000}"/>
    <cellStyle name="Comma 14" xfId="175" xr:uid="{00000000-0005-0000-0000-0000344D0000}"/>
    <cellStyle name="Comma 14 10" xfId="28657" xr:uid="{00000000-0005-0000-0000-0000354D0000}"/>
    <cellStyle name="Comma 14 10 2" xfId="28902" xr:uid="{00000000-0005-0000-0000-0000364D0000}"/>
    <cellStyle name="Comma 14 11" xfId="28658" xr:uid="{00000000-0005-0000-0000-0000374D0000}"/>
    <cellStyle name="Comma 14 11 2" xfId="28903" xr:uid="{00000000-0005-0000-0000-0000384D0000}"/>
    <cellStyle name="Comma 14 12" xfId="28659" xr:uid="{00000000-0005-0000-0000-0000394D0000}"/>
    <cellStyle name="Comma 14 12 2" xfId="28904" xr:uid="{00000000-0005-0000-0000-00003A4D0000}"/>
    <cellStyle name="Comma 14 13" xfId="28660" xr:uid="{00000000-0005-0000-0000-00003B4D0000}"/>
    <cellStyle name="Comma 14 13 2" xfId="28905" xr:uid="{00000000-0005-0000-0000-00003C4D0000}"/>
    <cellStyle name="Comma 14 2" xfId="25885" xr:uid="{00000000-0005-0000-0000-00003D4D0000}"/>
    <cellStyle name="Comma 14 2 2" xfId="28906" xr:uid="{00000000-0005-0000-0000-00003E4D0000}"/>
    <cellStyle name="Comma 14 3" xfId="28661" xr:uid="{00000000-0005-0000-0000-00003F4D0000}"/>
    <cellStyle name="Comma 14 3 2" xfId="28907" xr:uid="{00000000-0005-0000-0000-0000404D0000}"/>
    <cellStyle name="Comma 14 4" xfId="28662" xr:uid="{00000000-0005-0000-0000-0000414D0000}"/>
    <cellStyle name="Comma 14 4 2" xfId="28908" xr:uid="{00000000-0005-0000-0000-0000424D0000}"/>
    <cellStyle name="Comma 14 5" xfId="28663" xr:uid="{00000000-0005-0000-0000-0000434D0000}"/>
    <cellStyle name="Comma 14 5 2" xfId="28909" xr:uid="{00000000-0005-0000-0000-0000444D0000}"/>
    <cellStyle name="Comma 14 6" xfId="28664" xr:uid="{00000000-0005-0000-0000-0000454D0000}"/>
    <cellStyle name="Comma 14 6 2" xfId="28910" xr:uid="{00000000-0005-0000-0000-0000464D0000}"/>
    <cellStyle name="Comma 14 7" xfId="28665" xr:uid="{00000000-0005-0000-0000-0000474D0000}"/>
    <cellStyle name="Comma 14 7 2" xfId="28911" xr:uid="{00000000-0005-0000-0000-0000484D0000}"/>
    <cellStyle name="Comma 14 8" xfId="28666" xr:uid="{00000000-0005-0000-0000-0000494D0000}"/>
    <cellStyle name="Comma 14 8 2" xfId="28912" xr:uid="{00000000-0005-0000-0000-00004A4D0000}"/>
    <cellStyle name="Comma 14 9" xfId="28667" xr:uid="{00000000-0005-0000-0000-00004B4D0000}"/>
    <cellStyle name="Comma 14 9 2" xfId="28913" xr:uid="{00000000-0005-0000-0000-00004C4D0000}"/>
    <cellStyle name="Comma 15" xfId="181" xr:uid="{00000000-0005-0000-0000-00004D4D0000}"/>
    <cellStyle name="Comma 15 2" xfId="27900" xr:uid="{00000000-0005-0000-0000-00004E4D0000}"/>
    <cellStyle name="Comma 15 3" xfId="25890" xr:uid="{00000000-0005-0000-0000-00004F4D0000}"/>
    <cellStyle name="Comma 16" xfId="173" xr:uid="{00000000-0005-0000-0000-0000504D0000}"/>
    <cellStyle name="Comma 16 2" xfId="27903" xr:uid="{00000000-0005-0000-0000-0000514D0000}"/>
    <cellStyle name="Comma 16 3" xfId="25883" xr:uid="{00000000-0005-0000-0000-0000524D0000}"/>
    <cellStyle name="Comma 17" xfId="182" xr:uid="{00000000-0005-0000-0000-0000534D0000}"/>
    <cellStyle name="Comma 17 2" xfId="25891" xr:uid="{00000000-0005-0000-0000-0000544D0000}"/>
    <cellStyle name="Comma 18" xfId="174" xr:uid="{00000000-0005-0000-0000-0000554D0000}"/>
    <cellStyle name="Comma 18 2" xfId="27915" xr:uid="{00000000-0005-0000-0000-0000564D0000}"/>
    <cellStyle name="Comma 18 3" xfId="25884" xr:uid="{00000000-0005-0000-0000-0000574D0000}"/>
    <cellStyle name="Comma 19" xfId="283" xr:uid="{00000000-0005-0000-0000-0000584D0000}"/>
    <cellStyle name="Comma 19 2" xfId="25942" xr:uid="{00000000-0005-0000-0000-0000594D0000}"/>
    <cellStyle name="Comma 2" xfId="5" xr:uid="{00000000-0005-0000-0000-00005A4D0000}"/>
    <cellStyle name="Comma 2 10" xfId="25766" xr:uid="{00000000-0005-0000-0000-00005B4D0000}"/>
    <cellStyle name="Comma 2 2" xfId="21" xr:uid="{00000000-0005-0000-0000-00005C4D0000}"/>
    <cellStyle name="Comma 2 2 2" xfId="398" xr:uid="{00000000-0005-0000-0000-00005D4D0000}"/>
    <cellStyle name="Comma 2 2 2 2" xfId="637" xr:uid="{00000000-0005-0000-0000-00005E4D0000}"/>
    <cellStyle name="Comma 2 2 2 3" xfId="636" xr:uid="{00000000-0005-0000-0000-00005F4D0000}"/>
    <cellStyle name="Comma 2 2 2 4" xfId="25780" xr:uid="{00000000-0005-0000-0000-0000604D0000}"/>
    <cellStyle name="Comma 2 2 2 5" xfId="28915" xr:uid="{00000000-0005-0000-0000-0000614D0000}"/>
    <cellStyle name="Comma 2 2 3" xfId="374" xr:uid="{00000000-0005-0000-0000-0000624D0000}"/>
    <cellStyle name="Comma 2 2 3 2" xfId="638" xr:uid="{00000000-0005-0000-0000-0000634D0000}"/>
    <cellStyle name="Comma 2 2 3 3" xfId="25993" xr:uid="{00000000-0005-0000-0000-0000644D0000}"/>
    <cellStyle name="Comma 2 2 4" xfId="23898" xr:uid="{00000000-0005-0000-0000-0000654D0000}"/>
    <cellStyle name="Comma 2 2 5" xfId="25767" xr:uid="{00000000-0005-0000-0000-0000664D0000}"/>
    <cellStyle name="Comma 2 3" xfId="183" xr:uid="{00000000-0005-0000-0000-0000674D0000}"/>
    <cellStyle name="Comma 2 3 2" xfId="364" xr:uid="{00000000-0005-0000-0000-0000684D0000}"/>
    <cellStyle name="Comma 2 3 2 2" xfId="446" xr:uid="{00000000-0005-0000-0000-0000694D0000}"/>
    <cellStyle name="Comma 2 3 2 2 2" xfId="532" xr:uid="{00000000-0005-0000-0000-00006A4D0000}"/>
    <cellStyle name="Comma 2 3 2 2 2 2" xfId="13895" xr:uid="{00000000-0005-0000-0000-00006B4D0000}"/>
    <cellStyle name="Comma 2 3 2 2 3" xfId="13818" xr:uid="{00000000-0005-0000-0000-00006C4D0000}"/>
    <cellStyle name="Comma 2 3 2 3" xfId="495" xr:uid="{00000000-0005-0000-0000-00006D4D0000}"/>
    <cellStyle name="Comma 2 3 2 3 2" xfId="13858" xr:uid="{00000000-0005-0000-0000-00006E4D0000}"/>
    <cellStyle name="Comma 2 3 2 4" xfId="13774" xr:uid="{00000000-0005-0000-0000-00006F4D0000}"/>
    <cellStyle name="Comma 2 3 2 5" xfId="28916" xr:uid="{00000000-0005-0000-0000-0000704D0000}"/>
    <cellStyle name="Comma 2 3 3" xfId="426" xr:uid="{00000000-0005-0000-0000-0000714D0000}"/>
    <cellStyle name="Comma 2 3 3 2" xfId="517" xr:uid="{00000000-0005-0000-0000-0000724D0000}"/>
    <cellStyle name="Comma 2 3 3 2 2" xfId="13880" xr:uid="{00000000-0005-0000-0000-0000734D0000}"/>
    <cellStyle name="Comma 2 3 3 3" xfId="13803" xr:uid="{00000000-0005-0000-0000-0000744D0000}"/>
    <cellStyle name="Comma 2 3 4" xfId="480" xr:uid="{00000000-0005-0000-0000-0000754D0000}"/>
    <cellStyle name="Comma 2 3 4 2" xfId="13843" xr:uid="{00000000-0005-0000-0000-0000764D0000}"/>
    <cellStyle name="Comma 2 3 5" xfId="639" xr:uid="{00000000-0005-0000-0000-0000774D0000}"/>
    <cellStyle name="Comma 2 3 5 2" xfId="13907" xr:uid="{00000000-0005-0000-0000-0000784D0000}"/>
    <cellStyle name="Comma 2 3 6" xfId="13688" xr:uid="{00000000-0005-0000-0000-0000794D0000}"/>
    <cellStyle name="Comma 2 3 7" xfId="24067" xr:uid="{00000000-0005-0000-0000-00007A4D0000}"/>
    <cellStyle name="Comma 2 3 8" xfId="28668" xr:uid="{00000000-0005-0000-0000-00007B4D0000}"/>
    <cellStyle name="Comma 2 4" xfId="351" xr:uid="{00000000-0005-0000-0000-00007C4D0000}"/>
    <cellStyle name="Comma 2 4 2" xfId="25781" xr:uid="{00000000-0005-0000-0000-00007D4D0000}"/>
    <cellStyle name="Comma 2 4 2 2" xfId="28917" xr:uid="{00000000-0005-0000-0000-00007E4D0000}"/>
    <cellStyle name="Comma 2 4 3" xfId="25768" xr:uid="{00000000-0005-0000-0000-00007F4D0000}"/>
    <cellStyle name="Comma 2 4 4" xfId="27922" xr:uid="{00000000-0005-0000-0000-0000804D0000}"/>
    <cellStyle name="Comma 2 4 5" xfId="25988" xr:uid="{00000000-0005-0000-0000-0000814D0000}"/>
    <cellStyle name="Comma 2 5" xfId="373" xr:uid="{00000000-0005-0000-0000-0000824D0000}"/>
    <cellStyle name="Comma 2 5 2" xfId="25782" xr:uid="{00000000-0005-0000-0000-0000834D0000}"/>
    <cellStyle name="Comma 2 5 2 2" xfId="28918" xr:uid="{00000000-0005-0000-0000-0000844D0000}"/>
    <cellStyle name="Comma 2 5 3" xfId="25769" xr:uid="{00000000-0005-0000-0000-0000854D0000}"/>
    <cellStyle name="Comma 2 5 4" xfId="28669" xr:uid="{00000000-0005-0000-0000-0000864D0000}"/>
    <cellStyle name="Comma 2 6" xfId="635" xr:uid="{00000000-0005-0000-0000-0000874D0000}"/>
    <cellStyle name="Comma 2 6 2" xfId="13906" xr:uid="{00000000-0005-0000-0000-0000884D0000}"/>
    <cellStyle name="Comma 2 6 2 2" xfId="28919" xr:uid="{00000000-0005-0000-0000-0000894D0000}"/>
    <cellStyle name="Comma 2 6 3" xfId="25779" xr:uid="{00000000-0005-0000-0000-00008A4D0000}"/>
    <cellStyle name="Comma 2 7" xfId="2588" xr:uid="{00000000-0005-0000-0000-00008B4D0000}"/>
    <cellStyle name="Comma 2 7 2" xfId="28914" xr:uid="{00000000-0005-0000-0000-00008C4D0000}"/>
    <cellStyle name="Comma 2 8" xfId="13603" xr:uid="{00000000-0005-0000-0000-00008D4D0000}"/>
    <cellStyle name="Comma 2 8 2" xfId="26556" xr:uid="{00000000-0005-0000-0000-00008E4D0000}"/>
    <cellStyle name="Comma 2 9" xfId="12600" xr:uid="{00000000-0005-0000-0000-00008F4D0000}"/>
    <cellStyle name="Comma 20" xfId="282" xr:uid="{00000000-0005-0000-0000-0000904D0000}"/>
    <cellStyle name="Comma 20 2" xfId="27914" xr:uid="{00000000-0005-0000-0000-0000914D0000}"/>
    <cellStyle name="Comma 20 3" xfId="25941" xr:uid="{00000000-0005-0000-0000-0000924D0000}"/>
    <cellStyle name="Comma 21" xfId="290" xr:uid="{00000000-0005-0000-0000-0000934D0000}"/>
    <cellStyle name="Comma 21 2" xfId="369" xr:uid="{00000000-0005-0000-0000-0000944D0000}"/>
    <cellStyle name="Comma 21 2 2" xfId="25992" xr:uid="{00000000-0005-0000-0000-0000954D0000}"/>
    <cellStyle name="Comma 21 3" xfId="27913" xr:uid="{00000000-0005-0000-0000-0000964D0000}"/>
    <cellStyle name="Comma 21 4" xfId="25947" xr:uid="{00000000-0005-0000-0000-0000974D0000}"/>
    <cellStyle name="Comma 22" xfId="288" xr:uid="{00000000-0005-0000-0000-0000984D0000}"/>
    <cellStyle name="Comma 22 2" xfId="27912" xr:uid="{00000000-0005-0000-0000-0000994D0000}"/>
    <cellStyle name="Comma 22 3" xfId="25945" xr:uid="{00000000-0005-0000-0000-00009A4D0000}"/>
    <cellStyle name="Comma 23" xfId="291" xr:uid="{00000000-0005-0000-0000-00009B4D0000}"/>
    <cellStyle name="Comma 23 2" xfId="27911" xr:uid="{00000000-0005-0000-0000-00009C4D0000}"/>
    <cellStyle name="Comma 23 3" xfId="25948" xr:uid="{00000000-0005-0000-0000-00009D4D0000}"/>
    <cellStyle name="Comma 24" xfId="289" xr:uid="{00000000-0005-0000-0000-00009E4D0000}"/>
    <cellStyle name="Comma 24 2" xfId="27910" xr:uid="{00000000-0005-0000-0000-00009F4D0000}"/>
    <cellStyle name="Comma 24 3" xfId="25946" xr:uid="{00000000-0005-0000-0000-0000A04D0000}"/>
    <cellStyle name="Comma 25" xfId="301" xr:uid="{00000000-0005-0000-0000-0000A14D0000}"/>
    <cellStyle name="Comma 25 2" xfId="27902" xr:uid="{00000000-0005-0000-0000-0000A24D0000}"/>
    <cellStyle name="Comma 25 3" xfId="25954" xr:uid="{00000000-0005-0000-0000-0000A34D0000}"/>
    <cellStyle name="Comma 26" xfId="300" xr:uid="{00000000-0005-0000-0000-0000A44D0000}"/>
    <cellStyle name="Comma 26 2" xfId="27909" xr:uid="{00000000-0005-0000-0000-0000A54D0000}"/>
    <cellStyle name="Comma 26 3" xfId="25953" xr:uid="{00000000-0005-0000-0000-0000A64D0000}"/>
    <cellStyle name="Comma 27" xfId="312" xr:uid="{00000000-0005-0000-0000-0000A74D0000}"/>
    <cellStyle name="Comma 27 2" xfId="25962" xr:uid="{00000000-0005-0000-0000-0000A84D0000}"/>
    <cellStyle name="Comma 28" xfId="311" xr:uid="{00000000-0005-0000-0000-0000A94D0000}"/>
    <cellStyle name="Comma 28 2" xfId="25961" xr:uid="{00000000-0005-0000-0000-0000AA4D0000}"/>
    <cellStyle name="Comma 29" xfId="313" xr:uid="{00000000-0005-0000-0000-0000AB4D0000}"/>
    <cellStyle name="Comma 29 2" xfId="25963" xr:uid="{00000000-0005-0000-0000-0000AC4D0000}"/>
    <cellStyle name="Comma 3" xfId="10" xr:uid="{00000000-0005-0000-0000-0000AD4D0000}"/>
    <cellStyle name="Comma 3 10" xfId="23905" xr:uid="{00000000-0005-0000-0000-0000AE4D0000}"/>
    <cellStyle name="Comma 3 10 2" xfId="28920" xr:uid="{00000000-0005-0000-0000-0000AF4D0000}"/>
    <cellStyle name="Comma 3 10 3" xfId="28670" xr:uid="{00000000-0005-0000-0000-0000B04D0000}"/>
    <cellStyle name="Comma 3 11" xfId="25777" xr:uid="{00000000-0005-0000-0000-0000B14D0000}"/>
    <cellStyle name="Comma 3 11 2" xfId="28921" xr:uid="{00000000-0005-0000-0000-0000B24D0000}"/>
    <cellStyle name="Comma 3 11 3" xfId="28671" xr:uid="{00000000-0005-0000-0000-0000B34D0000}"/>
    <cellStyle name="Comma 3 12" xfId="25799" xr:uid="{00000000-0005-0000-0000-0000B44D0000}"/>
    <cellStyle name="Comma 3 12 2" xfId="28922" xr:uid="{00000000-0005-0000-0000-0000B54D0000}"/>
    <cellStyle name="Comma 3 13" xfId="28672" xr:uid="{00000000-0005-0000-0000-0000B64D0000}"/>
    <cellStyle name="Comma 3 13 2" xfId="28923" xr:uid="{00000000-0005-0000-0000-0000B74D0000}"/>
    <cellStyle name="Comma 3 14" xfId="30159" xr:uid="{00000000-0005-0000-0000-0000B84D0000}"/>
    <cellStyle name="Comma 3 2" xfId="22" xr:uid="{00000000-0005-0000-0000-0000B94D0000}"/>
    <cellStyle name="Comma 3 2 2" xfId="28924" xr:uid="{00000000-0005-0000-0000-0000BA4D0000}"/>
    <cellStyle name="Comma 3 2 3" xfId="28673" xr:uid="{00000000-0005-0000-0000-0000BB4D0000}"/>
    <cellStyle name="Comma 3 3" xfId="184" xr:uid="{00000000-0005-0000-0000-0000BC4D0000}"/>
    <cellStyle name="Comma 3 3 2" xfId="28925" xr:uid="{00000000-0005-0000-0000-0000BD4D0000}"/>
    <cellStyle name="Comma 3 3 3" xfId="28674" xr:uid="{00000000-0005-0000-0000-0000BE4D0000}"/>
    <cellStyle name="Comma 3 4" xfId="353" xr:uid="{00000000-0005-0000-0000-0000BF4D0000}"/>
    <cellStyle name="Comma 3 4 2" xfId="25990" xr:uid="{00000000-0005-0000-0000-0000C04D0000}"/>
    <cellStyle name="Comma 3 5" xfId="397" xr:uid="{00000000-0005-0000-0000-0000C14D0000}"/>
    <cellStyle name="Comma 3 5 2" xfId="26007" xr:uid="{00000000-0005-0000-0000-0000C24D0000}"/>
    <cellStyle name="Comma 3 6" xfId="375" xr:uid="{00000000-0005-0000-0000-0000C34D0000}"/>
    <cellStyle name="Comma 3 6 2" xfId="28926" xr:uid="{00000000-0005-0000-0000-0000C44D0000}"/>
    <cellStyle name="Comma 3 6 3" xfId="28675" xr:uid="{00000000-0005-0000-0000-0000C54D0000}"/>
    <cellStyle name="Comma 3 7" xfId="2589" xr:uid="{00000000-0005-0000-0000-0000C64D0000}"/>
    <cellStyle name="Comma 3 7 2" xfId="28927" xr:uid="{00000000-0005-0000-0000-0000C74D0000}"/>
    <cellStyle name="Comma 3 7 3" xfId="28676" xr:uid="{00000000-0005-0000-0000-0000C84D0000}"/>
    <cellStyle name="Comma 3 8" xfId="13605" xr:uid="{00000000-0005-0000-0000-0000C94D0000}"/>
    <cellStyle name="Comma 3 8 2" xfId="26558" xr:uid="{00000000-0005-0000-0000-0000CA4D0000}"/>
    <cellStyle name="Comma 3 9" xfId="13599" xr:uid="{00000000-0005-0000-0000-0000CB4D0000}"/>
    <cellStyle name="Comma 3 9 2" xfId="28928" xr:uid="{00000000-0005-0000-0000-0000CC4D0000}"/>
    <cellStyle name="Comma 3 9 3" xfId="28677" xr:uid="{00000000-0005-0000-0000-0000CD4D0000}"/>
    <cellStyle name="Comma 30" xfId="310" xr:uid="{00000000-0005-0000-0000-0000CE4D0000}"/>
    <cellStyle name="Comma 30 2" xfId="25960" xr:uid="{00000000-0005-0000-0000-0000CF4D0000}"/>
    <cellStyle name="Comma 31" xfId="314" xr:uid="{00000000-0005-0000-0000-0000D04D0000}"/>
    <cellStyle name="Comma 31 2" xfId="27916" xr:uid="{00000000-0005-0000-0000-0000D14D0000}"/>
    <cellStyle name="Comma 31 3" xfId="25964" xr:uid="{00000000-0005-0000-0000-0000D24D0000}"/>
    <cellStyle name="Comma 32" xfId="308" xr:uid="{00000000-0005-0000-0000-0000D34D0000}"/>
    <cellStyle name="Comma 32 2" xfId="27918" xr:uid="{00000000-0005-0000-0000-0000D44D0000}"/>
    <cellStyle name="Comma 32 3" xfId="25959" xr:uid="{00000000-0005-0000-0000-0000D54D0000}"/>
    <cellStyle name="Comma 33" xfId="315" xr:uid="{00000000-0005-0000-0000-0000D64D0000}"/>
    <cellStyle name="Comma 33 2" xfId="25965" xr:uid="{00000000-0005-0000-0000-0000D74D0000}"/>
    <cellStyle name="Comma 34" xfId="306" xr:uid="{00000000-0005-0000-0000-0000D84D0000}"/>
    <cellStyle name="Comma 34 2" xfId="27908" xr:uid="{00000000-0005-0000-0000-0000D94D0000}"/>
    <cellStyle name="Comma 34 3" xfId="25957" xr:uid="{00000000-0005-0000-0000-0000DA4D0000}"/>
    <cellStyle name="Comma 35" xfId="337" xr:uid="{00000000-0005-0000-0000-0000DB4D0000}"/>
    <cellStyle name="Comma 35 2" xfId="27917" xr:uid="{00000000-0005-0000-0000-0000DC4D0000}"/>
    <cellStyle name="Comma 35 3" xfId="25979" xr:uid="{00000000-0005-0000-0000-0000DD4D0000}"/>
    <cellStyle name="Comma 36" xfId="334" xr:uid="{00000000-0005-0000-0000-0000DE4D0000}"/>
    <cellStyle name="Comma 36 2" xfId="25976" xr:uid="{00000000-0005-0000-0000-0000DF4D0000}"/>
    <cellStyle name="Comma 37" xfId="338" xr:uid="{00000000-0005-0000-0000-0000E04D0000}"/>
    <cellStyle name="Comma 37 2" xfId="25980" xr:uid="{00000000-0005-0000-0000-0000E14D0000}"/>
    <cellStyle name="Comma 38" xfId="336" xr:uid="{00000000-0005-0000-0000-0000E24D0000}"/>
    <cellStyle name="Comma 38 2" xfId="25978" xr:uid="{00000000-0005-0000-0000-0000E34D0000}"/>
    <cellStyle name="Comma 39" xfId="394" xr:uid="{00000000-0005-0000-0000-0000E44D0000}"/>
    <cellStyle name="Comma 39 2" xfId="26004" xr:uid="{00000000-0005-0000-0000-0000E54D0000}"/>
    <cellStyle name="Comma 4" xfId="8" xr:uid="{00000000-0005-0000-0000-0000E64D0000}"/>
    <cellStyle name="Comma 4 10" xfId="28678" xr:uid="{00000000-0005-0000-0000-0000E74D0000}"/>
    <cellStyle name="Comma 4 10 2" xfId="28929" xr:uid="{00000000-0005-0000-0000-0000E84D0000}"/>
    <cellStyle name="Comma 4 11" xfId="28679" xr:uid="{00000000-0005-0000-0000-0000E94D0000}"/>
    <cellStyle name="Comma 4 11 2" xfId="28930" xr:uid="{00000000-0005-0000-0000-0000EA4D0000}"/>
    <cellStyle name="Comma 4 12" xfId="28680" xr:uid="{00000000-0005-0000-0000-0000EB4D0000}"/>
    <cellStyle name="Comma 4 12 2" xfId="28931" xr:uid="{00000000-0005-0000-0000-0000EC4D0000}"/>
    <cellStyle name="Comma 4 13" xfId="28681" xr:uid="{00000000-0005-0000-0000-0000ED4D0000}"/>
    <cellStyle name="Comma 4 13 2" xfId="28932" xr:uid="{00000000-0005-0000-0000-0000EE4D0000}"/>
    <cellStyle name="Comma 4 2" xfId="185" xr:uid="{00000000-0005-0000-0000-0000EF4D0000}"/>
    <cellStyle name="Comma 4 2 2" xfId="365" xr:uid="{00000000-0005-0000-0000-0000F04D0000}"/>
    <cellStyle name="Comma 4 2 2 2" xfId="447" xr:uid="{00000000-0005-0000-0000-0000F14D0000}"/>
    <cellStyle name="Comma 4 2 2 2 2" xfId="533" xr:uid="{00000000-0005-0000-0000-0000F24D0000}"/>
    <cellStyle name="Comma 4 2 2 2 2 2" xfId="13896" xr:uid="{00000000-0005-0000-0000-0000F34D0000}"/>
    <cellStyle name="Comma 4 2 2 2 3" xfId="13819" xr:uid="{00000000-0005-0000-0000-0000F44D0000}"/>
    <cellStyle name="Comma 4 2 2 3" xfId="496" xr:uid="{00000000-0005-0000-0000-0000F54D0000}"/>
    <cellStyle name="Comma 4 2 2 3 2" xfId="13859" xr:uid="{00000000-0005-0000-0000-0000F64D0000}"/>
    <cellStyle name="Comma 4 2 2 4" xfId="13775" xr:uid="{00000000-0005-0000-0000-0000F74D0000}"/>
    <cellStyle name="Comma 4 2 2 5" xfId="28933" xr:uid="{00000000-0005-0000-0000-0000F84D0000}"/>
    <cellStyle name="Comma 4 2 3" xfId="427" xr:uid="{00000000-0005-0000-0000-0000F94D0000}"/>
    <cellStyle name="Comma 4 2 3 2" xfId="518" xr:uid="{00000000-0005-0000-0000-0000FA4D0000}"/>
    <cellStyle name="Comma 4 2 3 2 2" xfId="13881" xr:uid="{00000000-0005-0000-0000-0000FB4D0000}"/>
    <cellStyle name="Comma 4 2 3 3" xfId="13804" xr:uid="{00000000-0005-0000-0000-0000FC4D0000}"/>
    <cellStyle name="Comma 4 2 4" xfId="481" xr:uid="{00000000-0005-0000-0000-0000FD4D0000}"/>
    <cellStyle name="Comma 4 2 4 2" xfId="13844" xr:uid="{00000000-0005-0000-0000-0000FE4D0000}"/>
    <cellStyle name="Comma 4 2 5" xfId="641" xr:uid="{00000000-0005-0000-0000-0000FF4D0000}"/>
    <cellStyle name="Comma 4 2 6" xfId="13689" xr:uid="{00000000-0005-0000-0000-0000004E0000}"/>
    <cellStyle name="Comma 4 2 7" xfId="24068" xr:uid="{00000000-0005-0000-0000-0000014E0000}"/>
    <cellStyle name="Comma 4 2 7 2" xfId="27055" xr:uid="{00000000-0005-0000-0000-0000024E0000}"/>
    <cellStyle name="Comma 4 3" xfId="352" xr:uid="{00000000-0005-0000-0000-0000034E0000}"/>
    <cellStyle name="Comma 4 3 2" xfId="25989" xr:uid="{00000000-0005-0000-0000-0000044E0000}"/>
    <cellStyle name="Comma 4 4" xfId="640" xr:uid="{00000000-0005-0000-0000-0000054E0000}"/>
    <cellStyle name="Comma 4 4 2" xfId="28934" xr:uid="{00000000-0005-0000-0000-0000064E0000}"/>
    <cellStyle name="Comma 4 4 3" xfId="28682" xr:uid="{00000000-0005-0000-0000-0000074E0000}"/>
    <cellStyle name="Comma 4 5" xfId="3619" xr:uid="{00000000-0005-0000-0000-0000084E0000}"/>
    <cellStyle name="Comma 4 5 2" xfId="28935" xr:uid="{00000000-0005-0000-0000-0000094E0000}"/>
    <cellStyle name="Comma 4 5 3" xfId="28683" xr:uid="{00000000-0005-0000-0000-00000A4E0000}"/>
    <cellStyle name="Comma 4 6" xfId="25790" xr:uid="{00000000-0005-0000-0000-00000B4E0000}"/>
    <cellStyle name="Comma 4 6 2" xfId="28936" xr:uid="{00000000-0005-0000-0000-00000C4E0000}"/>
    <cellStyle name="Comma 4 7" xfId="28684" xr:uid="{00000000-0005-0000-0000-00000D4E0000}"/>
    <cellStyle name="Comma 4 7 2" xfId="28937" xr:uid="{00000000-0005-0000-0000-00000E4E0000}"/>
    <cellStyle name="Comma 4 8" xfId="28685" xr:uid="{00000000-0005-0000-0000-00000F4E0000}"/>
    <cellStyle name="Comma 4 8 2" xfId="28938" xr:uid="{00000000-0005-0000-0000-0000104E0000}"/>
    <cellStyle name="Comma 4 9" xfId="28686" xr:uid="{00000000-0005-0000-0000-0000114E0000}"/>
    <cellStyle name="Comma 4 9 2" xfId="28939" xr:uid="{00000000-0005-0000-0000-0000124E0000}"/>
    <cellStyle name="Comma 40" xfId="371" xr:uid="{00000000-0005-0000-0000-0000134E0000}"/>
    <cellStyle name="Comma 40 2" xfId="501" xr:uid="{00000000-0005-0000-0000-0000144E0000}"/>
    <cellStyle name="Comma 40 2 2" xfId="13864" xr:uid="{00000000-0005-0000-0000-0000154E0000}"/>
    <cellStyle name="Comma 40 3" xfId="13780" xr:uid="{00000000-0005-0000-0000-0000164E0000}"/>
    <cellStyle name="Comma 41" xfId="391" xr:uid="{00000000-0005-0000-0000-0000174E0000}"/>
    <cellStyle name="Comma 41 2" xfId="505" xr:uid="{00000000-0005-0000-0000-0000184E0000}"/>
    <cellStyle name="Comma 41 2 2" xfId="13868" xr:uid="{00000000-0005-0000-0000-0000194E0000}"/>
    <cellStyle name="Comma 41 3" xfId="13786" xr:uid="{00000000-0005-0000-0000-00001A4E0000}"/>
    <cellStyle name="Comma 42" xfId="388" xr:uid="{00000000-0005-0000-0000-00001B4E0000}"/>
    <cellStyle name="Comma 42 2" xfId="504" xr:uid="{00000000-0005-0000-0000-00001C4E0000}"/>
    <cellStyle name="Comma 42 2 2" xfId="13867" xr:uid="{00000000-0005-0000-0000-00001D4E0000}"/>
    <cellStyle name="Comma 42 3" xfId="13784" xr:uid="{00000000-0005-0000-0000-00001E4E0000}"/>
    <cellStyle name="Comma 43" xfId="452" xr:uid="{00000000-0005-0000-0000-00001F4E0000}"/>
    <cellStyle name="Comma 43 2" xfId="538" xr:uid="{00000000-0005-0000-0000-0000204E0000}"/>
    <cellStyle name="Comma 43 2 2" xfId="13901" xr:uid="{00000000-0005-0000-0000-0000214E0000}"/>
    <cellStyle name="Comma 43 3" xfId="13824" xr:uid="{00000000-0005-0000-0000-0000224E0000}"/>
    <cellStyle name="Comma 44" xfId="13600" xr:uid="{00000000-0005-0000-0000-0000234E0000}"/>
    <cellStyle name="Comma 44 2" xfId="26553" xr:uid="{00000000-0005-0000-0000-0000244E0000}"/>
    <cellStyle name="Comma 45" xfId="23886" xr:uid="{00000000-0005-0000-0000-0000254E0000}"/>
    <cellStyle name="Comma 46" xfId="23891" xr:uid="{00000000-0005-0000-0000-0000264E0000}"/>
    <cellStyle name="Comma 47" xfId="23895" xr:uid="{00000000-0005-0000-0000-0000274E0000}"/>
    <cellStyle name="Comma 48" xfId="23899" xr:uid="{00000000-0005-0000-0000-0000284E0000}"/>
    <cellStyle name="Comma 49" xfId="2" xr:uid="{00000000-0005-0000-0000-0000294E0000}"/>
    <cellStyle name="Comma 49 2" xfId="25796" xr:uid="{00000000-0005-0000-0000-00002A4E0000}"/>
    <cellStyle name="Comma 5" xfId="23" xr:uid="{00000000-0005-0000-0000-00002B4E0000}"/>
    <cellStyle name="Comma 5 10" xfId="28687" xr:uid="{00000000-0005-0000-0000-00002C4E0000}"/>
    <cellStyle name="Comma 5 10 2" xfId="28940" xr:uid="{00000000-0005-0000-0000-00002D4E0000}"/>
    <cellStyle name="Comma 5 11" xfId="28688" xr:uid="{00000000-0005-0000-0000-00002E4E0000}"/>
    <cellStyle name="Comma 5 11 2" xfId="28941" xr:uid="{00000000-0005-0000-0000-00002F4E0000}"/>
    <cellStyle name="Comma 5 12" xfId="28689" xr:uid="{00000000-0005-0000-0000-0000304E0000}"/>
    <cellStyle name="Comma 5 12 2" xfId="28942" xr:uid="{00000000-0005-0000-0000-0000314E0000}"/>
    <cellStyle name="Comma 5 13" xfId="28690" xr:uid="{00000000-0005-0000-0000-0000324E0000}"/>
    <cellStyle name="Comma 5 13 2" xfId="28943" xr:uid="{00000000-0005-0000-0000-0000334E0000}"/>
    <cellStyle name="Comma 5 2" xfId="24069" xr:uid="{00000000-0005-0000-0000-0000344E0000}"/>
    <cellStyle name="Comma 5 2 2" xfId="28944" xr:uid="{00000000-0005-0000-0000-0000354E0000}"/>
    <cellStyle name="Comma 5 2 3" xfId="28691" xr:uid="{00000000-0005-0000-0000-0000364E0000}"/>
    <cellStyle name="Comma 5 3" xfId="28692" xr:uid="{00000000-0005-0000-0000-0000374E0000}"/>
    <cellStyle name="Comma 5 3 2" xfId="28945" xr:uid="{00000000-0005-0000-0000-0000384E0000}"/>
    <cellStyle name="Comma 5 4" xfId="28693" xr:uid="{00000000-0005-0000-0000-0000394E0000}"/>
    <cellStyle name="Comma 5 4 2" xfId="28946" xr:uid="{00000000-0005-0000-0000-00003A4E0000}"/>
    <cellStyle name="Comma 5 5" xfId="28694" xr:uid="{00000000-0005-0000-0000-00003B4E0000}"/>
    <cellStyle name="Comma 5 5 2" xfId="28947" xr:uid="{00000000-0005-0000-0000-00003C4E0000}"/>
    <cellStyle name="Comma 5 6" xfId="28695" xr:uid="{00000000-0005-0000-0000-00003D4E0000}"/>
    <cellStyle name="Comma 5 6 2" xfId="28948" xr:uid="{00000000-0005-0000-0000-00003E4E0000}"/>
    <cellStyle name="Comma 5 7" xfId="28696" xr:uid="{00000000-0005-0000-0000-00003F4E0000}"/>
    <cellStyle name="Comma 5 7 2" xfId="28949" xr:uid="{00000000-0005-0000-0000-0000404E0000}"/>
    <cellStyle name="Comma 5 8" xfId="28697" xr:uid="{00000000-0005-0000-0000-0000414E0000}"/>
    <cellStyle name="Comma 5 8 2" xfId="28950" xr:uid="{00000000-0005-0000-0000-0000424E0000}"/>
    <cellStyle name="Comma 5 9" xfId="28698" xr:uid="{00000000-0005-0000-0000-0000434E0000}"/>
    <cellStyle name="Comma 5 9 2" xfId="28951" xr:uid="{00000000-0005-0000-0000-0000444E0000}"/>
    <cellStyle name="Comma 50" xfId="25277" xr:uid="{00000000-0005-0000-0000-0000454E0000}"/>
    <cellStyle name="Comma 50 2" xfId="27432" xr:uid="{00000000-0005-0000-0000-0000464E0000}"/>
    <cellStyle name="Comma 51" xfId="25294" xr:uid="{00000000-0005-0000-0000-0000474E0000}"/>
    <cellStyle name="Comma 51 2" xfId="27449" xr:uid="{00000000-0005-0000-0000-0000484E0000}"/>
    <cellStyle name="Comma 52" xfId="25456" xr:uid="{00000000-0005-0000-0000-0000494E0000}"/>
    <cellStyle name="Comma 52 2" xfId="27609" xr:uid="{00000000-0005-0000-0000-00004A4E0000}"/>
    <cellStyle name="Comma 53" xfId="25747" xr:uid="{00000000-0005-0000-0000-00004B4E0000}"/>
    <cellStyle name="Comma 54" xfId="25753" xr:uid="{00000000-0005-0000-0000-00004C4E0000}"/>
    <cellStyle name="Comma 55" xfId="25754" xr:uid="{00000000-0005-0000-0000-00004D4E0000}"/>
    <cellStyle name="Comma 56" xfId="25759" xr:uid="{00000000-0005-0000-0000-00004E4E0000}"/>
    <cellStyle name="Comma 57" xfId="25760" xr:uid="{00000000-0005-0000-0000-00004F4E0000}"/>
    <cellStyle name="Comma 58" xfId="28613" xr:uid="{00000000-0005-0000-0000-0000504E0000}"/>
    <cellStyle name="Comma 59" xfId="28843" xr:uid="{00000000-0005-0000-0000-0000514E0000}"/>
    <cellStyle name="Comma 6" xfId="24" xr:uid="{00000000-0005-0000-0000-0000524E0000}"/>
    <cellStyle name="Comma 6 10" xfId="28699" xr:uid="{00000000-0005-0000-0000-0000534E0000}"/>
    <cellStyle name="Comma 6 10 2" xfId="28952" xr:uid="{00000000-0005-0000-0000-0000544E0000}"/>
    <cellStyle name="Comma 6 11" xfId="28700" xr:uid="{00000000-0005-0000-0000-0000554E0000}"/>
    <cellStyle name="Comma 6 11 2" xfId="28953" xr:uid="{00000000-0005-0000-0000-0000564E0000}"/>
    <cellStyle name="Comma 6 12" xfId="28701" xr:uid="{00000000-0005-0000-0000-0000574E0000}"/>
    <cellStyle name="Comma 6 12 2" xfId="28954" xr:uid="{00000000-0005-0000-0000-0000584E0000}"/>
    <cellStyle name="Comma 6 13" xfId="28702" xr:uid="{00000000-0005-0000-0000-0000594E0000}"/>
    <cellStyle name="Comma 6 13 2" xfId="28955" xr:uid="{00000000-0005-0000-0000-00005A4E0000}"/>
    <cellStyle name="Comma 6 2" xfId="399" xr:uid="{00000000-0005-0000-0000-00005B4E0000}"/>
    <cellStyle name="Comma 6 2 2" xfId="24319" xr:uid="{00000000-0005-0000-0000-00005C4E0000}"/>
    <cellStyle name="Comma 6 2 2 2" xfId="28956" xr:uid="{00000000-0005-0000-0000-00005D4E0000}"/>
    <cellStyle name="Comma 6 2 3" xfId="24783" xr:uid="{00000000-0005-0000-0000-00005E4E0000}"/>
    <cellStyle name="Comma 6 2 4" xfId="25150" xr:uid="{00000000-0005-0000-0000-00005F4E0000}"/>
    <cellStyle name="Comma 6 2 5" xfId="26008" xr:uid="{00000000-0005-0000-0000-0000604E0000}"/>
    <cellStyle name="Comma 6 3" xfId="376" xr:uid="{00000000-0005-0000-0000-0000614E0000}"/>
    <cellStyle name="Comma 6 3 2" xfId="28957" xr:uid="{00000000-0005-0000-0000-0000624E0000}"/>
    <cellStyle name="Comma 6 3 3" xfId="28703" xr:uid="{00000000-0005-0000-0000-0000634E0000}"/>
    <cellStyle name="Comma 6 4" xfId="23931" xr:uid="{00000000-0005-0000-0000-0000644E0000}"/>
    <cellStyle name="Comma 6 4 2" xfId="28958" xr:uid="{00000000-0005-0000-0000-0000654E0000}"/>
    <cellStyle name="Comma 6 4 3" xfId="28704" xr:uid="{00000000-0005-0000-0000-0000664E0000}"/>
    <cellStyle name="Comma 6 5" xfId="24558" xr:uid="{00000000-0005-0000-0000-0000674E0000}"/>
    <cellStyle name="Comma 6 5 2" xfId="28959" xr:uid="{00000000-0005-0000-0000-0000684E0000}"/>
    <cellStyle name="Comma 6 5 3" xfId="28705" xr:uid="{00000000-0005-0000-0000-0000694E0000}"/>
    <cellStyle name="Comma 6 6" xfId="24948" xr:uid="{00000000-0005-0000-0000-00006A4E0000}"/>
    <cellStyle name="Comma 6 6 2" xfId="28960" xr:uid="{00000000-0005-0000-0000-00006B4E0000}"/>
    <cellStyle name="Comma 6 6 3" xfId="28706" xr:uid="{00000000-0005-0000-0000-00006C4E0000}"/>
    <cellStyle name="Comma 6 7" xfId="25808" xr:uid="{00000000-0005-0000-0000-00006D4E0000}"/>
    <cellStyle name="Comma 6 7 2" xfId="28961" xr:uid="{00000000-0005-0000-0000-00006E4E0000}"/>
    <cellStyle name="Comma 6 8" xfId="28707" xr:uid="{00000000-0005-0000-0000-00006F4E0000}"/>
    <cellStyle name="Comma 6 8 2" xfId="28962" xr:uid="{00000000-0005-0000-0000-0000704E0000}"/>
    <cellStyle name="Comma 6 9" xfId="28708" xr:uid="{00000000-0005-0000-0000-0000714E0000}"/>
    <cellStyle name="Comma 6 9 2" xfId="28963" xr:uid="{00000000-0005-0000-0000-0000724E0000}"/>
    <cellStyle name="Comma 60" xfId="29172" xr:uid="{00000000-0005-0000-0000-0000734E0000}"/>
    <cellStyle name="Comma 61" xfId="29171" xr:uid="{00000000-0005-0000-0000-0000744E0000}"/>
    <cellStyle name="Comma 62" xfId="29169" xr:uid="{00000000-0005-0000-0000-0000754E0000}"/>
    <cellStyle name="Comma 63" xfId="29176" xr:uid="{00000000-0005-0000-0000-0000764E0000}"/>
    <cellStyle name="Comma 64" xfId="29179" xr:uid="{00000000-0005-0000-0000-0000774E0000}"/>
    <cellStyle name="Comma 65" xfId="29177" xr:uid="{00000000-0005-0000-0000-0000784E0000}"/>
    <cellStyle name="Comma 66" xfId="29178" xr:uid="{00000000-0005-0000-0000-0000794E0000}"/>
    <cellStyle name="Comma 7" xfId="186" xr:uid="{00000000-0005-0000-0000-00007A4E0000}"/>
    <cellStyle name="Comma 7 10" xfId="28709" xr:uid="{00000000-0005-0000-0000-00007B4E0000}"/>
    <cellStyle name="Comma 7 10 2" xfId="28964" xr:uid="{00000000-0005-0000-0000-00007C4E0000}"/>
    <cellStyle name="Comma 7 11" xfId="28710" xr:uid="{00000000-0005-0000-0000-00007D4E0000}"/>
    <cellStyle name="Comma 7 11 2" xfId="28965" xr:uid="{00000000-0005-0000-0000-00007E4E0000}"/>
    <cellStyle name="Comma 7 12" xfId="28711" xr:uid="{00000000-0005-0000-0000-00007F4E0000}"/>
    <cellStyle name="Comma 7 12 2" xfId="28966" xr:uid="{00000000-0005-0000-0000-0000804E0000}"/>
    <cellStyle name="Comma 7 13" xfId="28712" xr:uid="{00000000-0005-0000-0000-0000814E0000}"/>
    <cellStyle name="Comma 7 13 2" xfId="28967" xr:uid="{00000000-0005-0000-0000-0000824E0000}"/>
    <cellStyle name="Comma 7 2" xfId="642" xr:uid="{00000000-0005-0000-0000-0000834E0000}"/>
    <cellStyle name="Comma 7 2 2" xfId="24406" xr:uid="{00000000-0005-0000-0000-0000844E0000}"/>
    <cellStyle name="Comma 7 2 2 2" xfId="28968" xr:uid="{00000000-0005-0000-0000-0000854E0000}"/>
    <cellStyle name="Comma 7 2 3" xfId="24858" xr:uid="{00000000-0005-0000-0000-0000864E0000}"/>
    <cellStyle name="Comma 7 2 4" xfId="25223" xr:uid="{00000000-0005-0000-0000-0000874E0000}"/>
    <cellStyle name="Comma 7 2 5" xfId="28713" xr:uid="{00000000-0005-0000-0000-0000884E0000}"/>
    <cellStyle name="Comma 7 3" xfId="24070" xr:uid="{00000000-0005-0000-0000-0000894E0000}"/>
    <cellStyle name="Comma 7 3 2" xfId="28969" xr:uid="{00000000-0005-0000-0000-00008A4E0000}"/>
    <cellStyle name="Comma 7 3 3" xfId="28714" xr:uid="{00000000-0005-0000-0000-00008B4E0000}"/>
    <cellStyle name="Comma 7 4" xfId="24703" xr:uid="{00000000-0005-0000-0000-00008C4E0000}"/>
    <cellStyle name="Comma 7 4 2" xfId="28970" xr:uid="{00000000-0005-0000-0000-00008D4E0000}"/>
    <cellStyle name="Comma 7 4 3" xfId="28715" xr:uid="{00000000-0005-0000-0000-00008E4E0000}"/>
    <cellStyle name="Comma 7 5" xfId="25025" xr:uid="{00000000-0005-0000-0000-00008F4E0000}"/>
    <cellStyle name="Comma 7 5 2" xfId="28971" xr:uid="{00000000-0005-0000-0000-0000904E0000}"/>
    <cellStyle name="Comma 7 5 3" xfId="28716" xr:uid="{00000000-0005-0000-0000-0000914E0000}"/>
    <cellStyle name="Comma 7 6" xfId="25892" xr:uid="{00000000-0005-0000-0000-0000924E0000}"/>
    <cellStyle name="Comma 7 6 2" xfId="28972" xr:uid="{00000000-0005-0000-0000-0000934E0000}"/>
    <cellStyle name="Comma 7 7" xfId="28717" xr:uid="{00000000-0005-0000-0000-0000944E0000}"/>
    <cellStyle name="Comma 7 7 2" xfId="28973" xr:uid="{00000000-0005-0000-0000-0000954E0000}"/>
    <cellStyle name="Comma 7 8" xfId="28718" xr:uid="{00000000-0005-0000-0000-0000964E0000}"/>
    <cellStyle name="Comma 7 8 2" xfId="28974" xr:uid="{00000000-0005-0000-0000-0000974E0000}"/>
    <cellStyle name="Comma 7 9" xfId="28719" xr:uid="{00000000-0005-0000-0000-0000984E0000}"/>
    <cellStyle name="Comma 7 9 2" xfId="28975" xr:uid="{00000000-0005-0000-0000-0000994E0000}"/>
    <cellStyle name="Comma 8" xfId="187" xr:uid="{00000000-0005-0000-0000-00009A4E0000}"/>
    <cellStyle name="Comma 8 10" xfId="28720" xr:uid="{00000000-0005-0000-0000-00009B4E0000}"/>
    <cellStyle name="Comma 8 10 2" xfId="28976" xr:uid="{00000000-0005-0000-0000-00009C4E0000}"/>
    <cellStyle name="Comma 8 11" xfId="28721" xr:uid="{00000000-0005-0000-0000-00009D4E0000}"/>
    <cellStyle name="Comma 8 11 2" xfId="28977" xr:uid="{00000000-0005-0000-0000-00009E4E0000}"/>
    <cellStyle name="Comma 8 12" xfId="28722" xr:uid="{00000000-0005-0000-0000-00009F4E0000}"/>
    <cellStyle name="Comma 8 12 2" xfId="28978" xr:uid="{00000000-0005-0000-0000-0000A04E0000}"/>
    <cellStyle name="Comma 8 13" xfId="28723" xr:uid="{00000000-0005-0000-0000-0000A14E0000}"/>
    <cellStyle name="Comma 8 13 2" xfId="28979" xr:uid="{00000000-0005-0000-0000-0000A24E0000}"/>
    <cellStyle name="Comma 8 2" xfId="643" xr:uid="{00000000-0005-0000-0000-0000A34E0000}"/>
    <cellStyle name="Comma 8 2 2" xfId="13908" xr:uid="{00000000-0005-0000-0000-0000A44E0000}"/>
    <cellStyle name="Comma 8 2 2 2" xfId="28980" xr:uid="{00000000-0005-0000-0000-0000A54E0000}"/>
    <cellStyle name="Comma 8 2 3" xfId="24481" xr:uid="{00000000-0005-0000-0000-0000A64E0000}"/>
    <cellStyle name="Comma 8 2 4" xfId="24913" xr:uid="{00000000-0005-0000-0000-0000A74E0000}"/>
    <cellStyle name="Comma 8 2 5" xfId="25273" xr:uid="{00000000-0005-0000-0000-0000A84E0000}"/>
    <cellStyle name="Comma 8 2 6" xfId="28724" xr:uid="{00000000-0005-0000-0000-0000A94E0000}"/>
    <cellStyle name="Comma 8 3" xfId="24295" xr:uid="{00000000-0005-0000-0000-0000AA4E0000}"/>
    <cellStyle name="Comma 8 3 2" xfId="28981" xr:uid="{00000000-0005-0000-0000-0000AB4E0000}"/>
    <cellStyle name="Comma 8 3 3" xfId="28725" xr:uid="{00000000-0005-0000-0000-0000AC4E0000}"/>
    <cellStyle name="Comma 8 4" xfId="24776" xr:uid="{00000000-0005-0000-0000-0000AD4E0000}"/>
    <cellStyle name="Comma 8 4 2" xfId="28982" xr:uid="{00000000-0005-0000-0000-0000AE4E0000}"/>
    <cellStyle name="Comma 8 4 3" xfId="28726" xr:uid="{00000000-0005-0000-0000-0000AF4E0000}"/>
    <cellStyle name="Comma 8 5" xfId="25145" xr:uid="{00000000-0005-0000-0000-0000B04E0000}"/>
    <cellStyle name="Comma 8 5 2" xfId="28983" xr:uid="{00000000-0005-0000-0000-0000B14E0000}"/>
    <cellStyle name="Comma 8 5 3" xfId="28727" xr:uid="{00000000-0005-0000-0000-0000B24E0000}"/>
    <cellStyle name="Comma 8 6" xfId="25893" xr:uid="{00000000-0005-0000-0000-0000B34E0000}"/>
    <cellStyle name="Comma 8 6 2" xfId="28984" xr:uid="{00000000-0005-0000-0000-0000B44E0000}"/>
    <cellStyle name="Comma 8 7" xfId="28728" xr:uid="{00000000-0005-0000-0000-0000B54E0000}"/>
    <cellStyle name="Comma 8 7 2" xfId="28985" xr:uid="{00000000-0005-0000-0000-0000B64E0000}"/>
    <cellStyle name="Comma 8 8" xfId="28729" xr:uid="{00000000-0005-0000-0000-0000B74E0000}"/>
    <cellStyle name="Comma 8 8 2" xfId="28986" xr:uid="{00000000-0005-0000-0000-0000B84E0000}"/>
    <cellStyle name="Comma 8 9" xfId="28730" xr:uid="{00000000-0005-0000-0000-0000B94E0000}"/>
    <cellStyle name="Comma 8 9 2" xfId="28987" xr:uid="{00000000-0005-0000-0000-0000BA4E0000}"/>
    <cellStyle name="Comma 9" xfId="188" xr:uid="{00000000-0005-0000-0000-0000BB4E0000}"/>
    <cellStyle name="Comma 9 10" xfId="28731" xr:uid="{00000000-0005-0000-0000-0000BC4E0000}"/>
    <cellStyle name="Comma 9 10 2" xfId="28988" xr:uid="{00000000-0005-0000-0000-0000BD4E0000}"/>
    <cellStyle name="Comma 9 11" xfId="28732" xr:uid="{00000000-0005-0000-0000-0000BE4E0000}"/>
    <cellStyle name="Comma 9 11 2" xfId="28989" xr:uid="{00000000-0005-0000-0000-0000BF4E0000}"/>
    <cellStyle name="Comma 9 12" xfId="28733" xr:uid="{00000000-0005-0000-0000-0000C04E0000}"/>
    <cellStyle name="Comma 9 12 2" xfId="28990" xr:uid="{00000000-0005-0000-0000-0000C14E0000}"/>
    <cellStyle name="Comma 9 13" xfId="28734" xr:uid="{00000000-0005-0000-0000-0000C24E0000}"/>
    <cellStyle name="Comma 9 13 2" xfId="28991" xr:uid="{00000000-0005-0000-0000-0000C34E0000}"/>
    <cellStyle name="Comma 9 2" xfId="24482" xr:uid="{00000000-0005-0000-0000-0000C44E0000}"/>
    <cellStyle name="Comma 9 2 2" xfId="24914" xr:uid="{00000000-0005-0000-0000-0000C54E0000}"/>
    <cellStyle name="Comma 9 2 2 2" xfId="28992" xr:uid="{00000000-0005-0000-0000-0000C64E0000}"/>
    <cellStyle name="Comma 9 2 3" xfId="25274" xr:uid="{00000000-0005-0000-0000-0000C74E0000}"/>
    <cellStyle name="Comma 9 2 4" xfId="28735" xr:uid="{00000000-0005-0000-0000-0000C84E0000}"/>
    <cellStyle name="Comma 9 3" xfId="24296" xr:uid="{00000000-0005-0000-0000-0000C94E0000}"/>
    <cellStyle name="Comma 9 3 2" xfId="28993" xr:uid="{00000000-0005-0000-0000-0000CA4E0000}"/>
    <cellStyle name="Comma 9 3 3" xfId="28736" xr:uid="{00000000-0005-0000-0000-0000CB4E0000}"/>
    <cellStyle name="Comma 9 4" xfId="24777" xr:uid="{00000000-0005-0000-0000-0000CC4E0000}"/>
    <cellStyle name="Comma 9 4 2" xfId="28994" xr:uid="{00000000-0005-0000-0000-0000CD4E0000}"/>
    <cellStyle name="Comma 9 4 3" xfId="28737" xr:uid="{00000000-0005-0000-0000-0000CE4E0000}"/>
    <cellStyle name="Comma 9 5" xfId="25146" xr:uid="{00000000-0005-0000-0000-0000CF4E0000}"/>
    <cellStyle name="Comma 9 5 2" xfId="28995" xr:uid="{00000000-0005-0000-0000-0000D04E0000}"/>
    <cellStyle name="Comma 9 5 3" xfId="28738" xr:uid="{00000000-0005-0000-0000-0000D14E0000}"/>
    <cellStyle name="Comma 9 6" xfId="25894" xr:uid="{00000000-0005-0000-0000-0000D24E0000}"/>
    <cellStyle name="Comma 9 6 2" xfId="28996" xr:uid="{00000000-0005-0000-0000-0000D34E0000}"/>
    <cellStyle name="Comma 9 7" xfId="28739" xr:uid="{00000000-0005-0000-0000-0000D44E0000}"/>
    <cellStyle name="Comma 9 7 2" xfId="28997" xr:uid="{00000000-0005-0000-0000-0000D54E0000}"/>
    <cellStyle name="Comma 9 8" xfId="28740" xr:uid="{00000000-0005-0000-0000-0000D64E0000}"/>
    <cellStyle name="Comma 9 8 2" xfId="28998" xr:uid="{00000000-0005-0000-0000-0000D74E0000}"/>
    <cellStyle name="Comma 9 9" xfId="28741" xr:uid="{00000000-0005-0000-0000-0000D84E0000}"/>
    <cellStyle name="Comma 9 9 2" xfId="28999" xr:uid="{00000000-0005-0000-0000-0000D94E0000}"/>
    <cellStyle name="Comma0" xfId="25" xr:uid="{00000000-0005-0000-0000-0000DA4E0000}"/>
    <cellStyle name="Comma0 - Style3" xfId="26" xr:uid="{00000000-0005-0000-0000-0000DB4E0000}"/>
    <cellStyle name="Comma0 - Style4" xfId="27" xr:uid="{00000000-0005-0000-0000-0000DC4E0000}"/>
    <cellStyle name="Comma0 10" xfId="461" xr:uid="{00000000-0005-0000-0000-0000DD4E0000}"/>
    <cellStyle name="Comma0 10 2" xfId="26026" xr:uid="{00000000-0005-0000-0000-0000DE4E0000}"/>
    <cellStyle name="Comma0 11" xfId="24411" xr:uid="{00000000-0005-0000-0000-0000DF4E0000}"/>
    <cellStyle name="Comma0 11 2" xfId="27161" xr:uid="{00000000-0005-0000-0000-0000E04E0000}"/>
    <cellStyle name="Comma0 12" xfId="24399" xr:uid="{00000000-0005-0000-0000-0000E14E0000}"/>
    <cellStyle name="Comma0 12 2" xfId="27152" xr:uid="{00000000-0005-0000-0000-0000E24E0000}"/>
    <cellStyle name="Comma0 13" xfId="24503" xr:uid="{00000000-0005-0000-0000-0000E34E0000}"/>
    <cellStyle name="Comma0 13 2" xfId="27191" xr:uid="{00000000-0005-0000-0000-0000E44E0000}"/>
    <cellStyle name="Comma0 14" xfId="24400" xr:uid="{00000000-0005-0000-0000-0000E54E0000}"/>
    <cellStyle name="Comma0 14 2" xfId="27153" xr:uid="{00000000-0005-0000-0000-0000E64E0000}"/>
    <cellStyle name="Comma0 15" xfId="24496" xr:uid="{00000000-0005-0000-0000-0000E74E0000}"/>
    <cellStyle name="Comma0 15 2" xfId="27185" xr:uid="{00000000-0005-0000-0000-0000E84E0000}"/>
    <cellStyle name="Comma0 16" xfId="24474" xr:uid="{00000000-0005-0000-0000-0000E94E0000}"/>
    <cellStyle name="Comma0 16 2" xfId="27170" xr:uid="{00000000-0005-0000-0000-0000EA4E0000}"/>
    <cellStyle name="Comma0 17" xfId="24497" xr:uid="{00000000-0005-0000-0000-0000EB4E0000}"/>
    <cellStyle name="Comma0 17 2" xfId="27186" xr:uid="{00000000-0005-0000-0000-0000EC4E0000}"/>
    <cellStyle name="Comma0 18" xfId="24402" xr:uid="{00000000-0005-0000-0000-0000ED4E0000}"/>
    <cellStyle name="Comma0 18 2" xfId="27155" xr:uid="{00000000-0005-0000-0000-0000EE4E0000}"/>
    <cellStyle name="Comma0 19" xfId="24477" xr:uid="{00000000-0005-0000-0000-0000EF4E0000}"/>
    <cellStyle name="Comma0 19 2" xfId="27172" xr:uid="{00000000-0005-0000-0000-0000F04E0000}"/>
    <cellStyle name="Comma0 2" xfId="400" xr:uid="{00000000-0005-0000-0000-0000F14E0000}"/>
    <cellStyle name="Comma0 2 2" xfId="24072" xr:uid="{00000000-0005-0000-0000-0000F24E0000}"/>
    <cellStyle name="Comma0 2 2 2" xfId="27057" xr:uid="{00000000-0005-0000-0000-0000F34E0000}"/>
    <cellStyle name="Comma0 20" xfId="24508" xr:uid="{00000000-0005-0000-0000-0000F44E0000}"/>
    <cellStyle name="Comma0 20 2" xfId="27194" xr:uid="{00000000-0005-0000-0000-0000F54E0000}"/>
    <cellStyle name="Comma0 21" xfId="24509" xr:uid="{00000000-0005-0000-0000-0000F64E0000}"/>
    <cellStyle name="Comma0 21 2" xfId="27195" xr:uid="{00000000-0005-0000-0000-0000F74E0000}"/>
    <cellStyle name="Comma0 22" xfId="24510" xr:uid="{00000000-0005-0000-0000-0000F84E0000}"/>
    <cellStyle name="Comma0 22 2" xfId="27196" xr:uid="{00000000-0005-0000-0000-0000F94E0000}"/>
    <cellStyle name="Comma0 23" xfId="24512" xr:uid="{00000000-0005-0000-0000-0000FA4E0000}"/>
    <cellStyle name="Comma0 23 2" xfId="27198" xr:uid="{00000000-0005-0000-0000-0000FB4E0000}"/>
    <cellStyle name="Comma0 24" xfId="24513" xr:uid="{00000000-0005-0000-0000-0000FC4E0000}"/>
    <cellStyle name="Comma0 24 2" xfId="27199" xr:uid="{00000000-0005-0000-0000-0000FD4E0000}"/>
    <cellStyle name="Comma0 25" xfId="24514" xr:uid="{00000000-0005-0000-0000-0000FE4E0000}"/>
    <cellStyle name="Comma0 25 2" xfId="27200" xr:uid="{00000000-0005-0000-0000-0000FF4E0000}"/>
    <cellStyle name="Comma0 26" xfId="24515" xr:uid="{00000000-0005-0000-0000-0000004F0000}"/>
    <cellStyle name="Comma0 26 2" xfId="27201" xr:uid="{00000000-0005-0000-0000-0000014F0000}"/>
    <cellStyle name="Comma0 27" xfId="24516" xr:uid="{00000000-0005-0000-0000-0000024F0000}"/>
    <cellStyle name="Comma0 27 2" xfId="27202" xr:uid="{00000000-0005-0000-0000-0000034F0000}"/>
    <cellStyle name="Comma0 28" xfId="24517" xr:uid="{00000000-0005-0000-0000-0000044F0000}"/>
    <cellStyle name="Comma0 28 2" xfId="27203" xr:uid="{00000000-0005-0000-0000-0000054F0000}"/>
    <cellStyle name="Comma0 29" xfId="23909" xr:uid="{00000000-0005-0000-0000-0000064F0000}"/>
    <cellStyle name="Comma0 29 2" xfId="27034" xr:uid="{00000000-0005-0000-0000-0000074F0000}"/>
    <cellStyle name="Comma0 3" xfId="377" xr:uid="{00000000-0005-0000-0000-0000084F0000}"/>
    <cellStyle name="Comma0 3 2" xfId="24073" xr:uid="{00000000-0005-0000-0000-0000094F0000}"/>
    <cellStyle name="Comma0 3 2 2" xfId="27058" xr:uid="{00000000-0005-0000-0000-00000A4F0000}"/>
    <cellStyle name="Comma0 3 3" xfId="25994" xr:uid="{00000000-0005-0000-0000-00000B4F0000}"/>
    <cellStyle name="Comma0 30" xfId="23926" xr:uid="{00000000-0005-0000-0000-00000C4F0000}"/>
    <cellStyle name="Comma0 30 2" xfId="27040" xr:uid="{00000000-0005-0000-0000-00000D4F0000}"/>
    <cellStyle name="Comma0 31" xfId="24531" xr:uid="{00000000-0005-0000-0000-00000E4F0000}"/>
    <cellStyle name="Comma0 31 2" xfId="27210" xr:uid="{00000000-0005-0000-0000-00000F4F0000}"/>
    <cellStyle name="Comma0 32" xfId="24012" xr:uid="{00000000-0005-0000-0000-0000104F0000}"/>
    <cellStyle name="Comma0 32 2" xfId="27046" xr:uid="{00000000-0005-0000-0000-0000114F0000}"/>
    <cellStyle name="Comma0 33" xfId="24540" xr:uid="{00000000-0005-0000-0000-0000124F0000}"/>
    <cellStyle name="Comma0 33 2" xfId="27216" xr:uid="{00000000-0005-0000-0000-0000134F0000}"/>
    <cellStyle name="Comma0 34" xfId="24102" xr:uid="{00000000-0005-0000-0000-0000144F0000}"/>
    <cellStyle name="Comma0 34 2" xfId="27066" xr:uid="{00000000-0005-0000-0000-0000154F0000}"/>
    <cellStyle name="Comma0 35" xfId="24032" xr:uid="{00000000-0005-0000-0000-0000164F0000}"/>
    <cellStyle name="Comma0 35 2" xfId="27047" xr:uid="{00000000-0005-0000-0000-0000174F0000}"/>
    <cellStyle name="Comma0 36" xfId="24071" xr:uid="{00000000-0005-0000-0000-0000184F0000}"/>
    <cellStyle name="Comma0 36 2" xfId="27056" xr:uid="{00000000-0005-0000-0000-0000194F0000}"/>
    <cellStyle name="Comma0 37" xfId="24533" xr:uid="{00000000-0005-0000-0000-00001A4F0000}"/>
    <cellStyle name="Comma0 37 2" xfId="27211" xr:uid="{00000000-0005-0000-0000-00001B4F0000}"/>
    <cellStyle name="Comma0 38" xfId="24535" xr:uid="{00000000-0005-0000-0000-00001C4F0000}"/>
    <cellStyle name="Comma0 38 2" xfId="27213" xr:uid="{00000000-0005-0000-0000-00001D4F0000}"/>
    <cellStyle name="Comma0 39" xfId="24524" xr:uid="{00000000-0005-0000-0000-00001E4F0000}"/>
    <cellStyle name="Comma0 39 2" xfId="27205" xr:uid="{00000000-0005-0000-0000-00001F4F0000}"/>
    <cellStyle name="Comma0 4" xfId="435" xr:uid="{00000000-0005-0000-0000-0000204F0000}"/>
    <cellStyle name="Comma0 4 2" xfId="26017" xr:uid="{00000000-0005-0000-0000-0000214F0000}"/>
    <cellStyle name="Comma0 40" xfId="24547" xr:uid="{00000000-0005-0000-0000-0000224F0000}"/>
    <cellStyle name="Comma0 40 2" xfId="27220" xr:uid="{00000000-0005-0000-0000-0000234F0000}"/>
    <cellStyle name="Comma0 41" xfId="24773" xr:uid="{00000000-0005-0000-0000-0000244F0000}"/>
    <cellStyle name="Comma0 41 2" xfId="27314" xr:uid="{00000000-0005-0000-0000-0000254F0000}"/>
    <cellStyle name="Comma0 42" xfId="24922" xr:uid="{00000000-0005-0000-0000-0000264F0000}"/>
    <cellStyle name="Comma0 42 2" xfId="27331" xr:uid="{00000000-0005-0000-0000-0000274F0000}"/>
    <cellStyle name="Comma0 43" xfId="24687" xr:uid="{00000000-0005-0000-0000-0000284F0000}"/>
    <cellStyle name="Comma0 43 2" xfId="27277" xr:uid="{00000000-0005-0000-0000-0000294F0000}"/>
    <cellStyle name="Comma0 44" xfId="24702" xr:uid="{00000000-0005-0000-0000-00002A4F0000}"/>
    <cellStyle name="Comma0 44 2" xfId="27291" xr:uid="{00000000-0005-0000-0000-00002B4F0000}"/>
    <cellStyle name="Comma0 45" xfId="24934" xr:uid="{00000000-0005-0000-0000-00002C4F0000}"/>
    <cellStyle name="Comma0 45 2" xfId="27341" xr:uid="{00000000-0005-0000-0000-00002D4F0000}"/>
    <cellStyle name="Comma0 46" xfId="24765" xr:uid="{00000000-0005-0000-0000-00002E4F0000}"/>
    <cellStyle name="Comma0 46 2" xfId="27307" xr:uid="{00000000-0005-0000-0000-00002F4F0000}"/>
    <cellStyle name="Comma0 47" xfId="24938" xr:uid="{00000000-0005-0000-0000-0000304F0000}"/>
    <cellStyle name="Comma0 47 2" xfId="27343" xr:uid="{00000000-0005-0000-0000-0000314F0000}"/>
    <cellStyle name="Comma0 48" xfId="24706" xr:uid="{00000000-0005-0000-0000-0000324F0000}"/>
    <cellStyle name="Comma0 48 2" xfId="27293" xr:uid="{00000000-0005-0000-0000-0000334F0000}"/>
    <cellStyle name="Comma0 49" xfId="24766" xr:uid="{00000000-0005-0000-0000-0000344F0000}"/>
    <cellStyle name="Comma0 49 2" xfId="27308" xr:uid="{00000000-0005-0000-0000-0000354F0000}"/>
    <cellStyle name="Comma0 5" xfId="430" xr:uid="{00000000-0005-0000-0000-0000364F0000}"/>
    <cellStyle name="Comma0 5 2" xfId="26014" xr:uid="{00000000-0005-0000-0000-0000374F0000}"/>
    <cellStyle name="Comma0 50" xfId="24546" xr:uid="{00000000-0005-0000-0000-0000384F0000}"/>
    <cellStyle name="Comma0 50 2" xfId="27219" xr:uid="{00000000-0005-0000-0000-0000394F0000}"/>
    <cellStyle name="Comma0 51" xfId="24761" xr:uid="{00000000-0005-0000-0000-00003A4F0000}"/>
    <cellStyle name="Comma0 51 2" xfId="27306" xr:uid="{00000000-0005-0000-0000-00003B4F0000}"/>
    <cellStyle name="Comma0 52" xfId="24923" xr:uid="{00000000-0005-0000-0000-00003C4F0000}"/>
    <cellStyle name="Comma0 52 2" xfId="27332" xr:uid="{00000000-0005-0000-0000-00003D4F0000}"/>
    <cellStyle name="Comma0 53" xfId="24942" xr:uid="{00000000-0005-0000-0000-00003E4F0000}"/>
    <cellStyle name="Comma0 53 2" xfId="27346" xr:uid="{00000000-0005-0000-0000-00003F4F0000}"/>
    <cellStyle name="Comma0 6" xfId="433" xr:uid="{00000000-0005-0000-0000-0000404F0000}"/>
    <cellStyle name="Comma0 6 2" xfId="26015" xr:uid="{00000000-0005-0000-0000-0000414F0000}"/>
    <cellStyle name="Comma0 7" xfId="455" xr:uid="{00000000-0005-0000-0000-0000424F0000}"/>
    <cellStyle name="Comma0 7 2" xfId="26020" xr:uid="{00000000-0005-0000-0000-0000434F0000}"/>
    <cellStyle name="Comma0 8" xfId="463" xr:uid="{00000000-0005-0000-0000-0000444F0000}"/>
    <cellStyle name="Comma0 8 2" xfId="26028" xr:uid="{00000000-0005-0000-0000-0000454F0000}"/>
    <cellStyle name="Comma0 9" xfId="456" xr:uid="{00000000-0005-0000-0000-0000464F0000}"/>
    <cellStyle name="Comma0 9 2" xfId="26021" xr:uid="{00000000-0005-0000-0000-0000474F0000}"/>
    <cellStyle name="Comma0_3.7 Revenue Correcting - Dec09" xfId="349" xr:uid="{00000000-0005-0000-0000-0000484F0000}"/>
    <cellStyle name="Comma1 - Style1" xfId="28" xr:uid="{00000000-0005-0000-0000-0000494F0000}"/>
    <cellStyle name="Currency" xfId="25745" builtinId="4"/>
    <cellStyle name="Currency [1]" xfId="550" xr:uid="{00000000-0005-0000-0000-00004B4F0000}"/>
    <cellStyle name="Currency [1] 2" xfId="24074" xr:uid="{00000000-0005-0000-0000-00004C4F0000}"/>
    <cellStyle name="Currency [2]" xfId="551" xr:uid="{00000000-0005-0000-0000-00004D4F0000}"/>
    <cellStyle name="Currency [2] 2" xfId="24075" xr:uid="{00000000-0005-0000-0000-00004E4F0000}"/>
    <cellStyle name="Currency [3]" xfId="552" xr:uid="{00000000-0005-0000-0000-00004F4F0000}"/>
    <cellStyle name="Currency [3] 2" xfId="24076" xr:uid="{00000000-0005-0000-0000-0000504F0000}"/>
    <cellStyle name="Currency 10" xfId="24300" xr:uid="{00000000-0005-0000-0000-0000514F0000}"/>
    <cellStyle name="Currency 10 2" xfId="27136" xr:uid="{00000000-0005-0000-0000-0000524F0000}"/>
    <cellStyle name="Currency 11" xfId="24466" xr:uid="{00000000-0005-0000-0000-0000534F0000}"/>
    <cellStyle name="Currency 11 2" xfId="27167" xr:uid="{00000000-0005-0000-0000-0000544F0000}"/>
    <cellStyle name="Currency 12" xfId="3" xr:uid="{00000000-0005-0000-0000-0000554F0000}"/>
    <cellStyle name="Currency 12 2" xfId="25797" xr:uid="{00000000-0005-0000-0000-0000564F0000}"/>
    <cellStyle name="Currency 13" xfId="24305" xr:uid="{00000000-0005-0000-0000-0000574F0000}"/>
    <cellStyle name="Currency 13 2" xfId="27141" xr:uid="{00000000-0005-0000-0000-0000584F0000}"/>
    <cellStyle name="Currency 14" xfId="25278" xr:uid="{00000000-0005-0000-0000-0000594F0000}"/>
    <cellStyle name="Currency 14 2" xfId="27433" xr:uid="{00000000-0005-0000-0000-00005A4F0000}"/>
    <cellStyle name="Currency 15" xfId="25293" xr:uid="{00000000-0005-0000-0000-00005B4F0000}"/>
    <cellStyle name="Currency 15 2" xfId="27448" xr:uid="{00000000-0005-0000-0000-00005C4F0000}"/>
    <cellStyle name="Currency 16" xfId="24306" xr:uid="{00000000-0005-0000-0000-00005D4F0000}"/>
    <cellStyle name="Currency 16 2" xfId="27142" xr:uid="{00000000-0005-0000-0000-00005E4F0000}"/>
    <cellStyle name="Currency 17" xfId="24307" xr:uid="{00000000-0005-0000-0000-00005F4F0000}"/>
    <cellStyle name="Currency 17 2" xfId="27143" xr:uid="{00000000-0005-0000-0000-0000604F0000}"/>
    <cellStyle name="Currency 18" xfId="25457" xr:uid="{00000000-0005-0000-0000-0000614F0000}"/>
    <cellStyle name="Currency 18 2" xfId="27610" xr:uid="{00000000-0005-0000-0000-0000624F0000}"/>
    <cellStyle name="Currency 2" xfId="29" xr:uid="{00000000-0005-0000-0000-0000634F0000}"/>
    <cellStyle name="Currency 2 10" xfId="24077" xr:uid="{00000000-0005-0000-0000-0000644F0000}"/>
    <cellStyle name="Currency 2 11" xfId="25751" xr:uid="{00000000-0005-0000-0000-0000654F0000}"/>
    <cellStyle name="Currency 2 2" xfId="354" xr:uid="{00000000-0005-0000-0000-0000664F0000}"/>
    <cellStyle name="Currency 2 2 2" xfId="437" xr:uid="{00000000-0005-0000-0000-0000674F0000}"/>
    <cellStyle name="Currency 2 2 2 2" xfId="523" xr:uid="{00000000-0005-0000-0000-0000684F0000}"/>
    <cellStyle name="Currency 2 2 2 2 2" xfId="13886" xr:uid="{00000000-0005-0000-0000-0000694F0000}"/>
    <cellStyle name="Currency 2 2 2 3" xfId="13809" xr:uid="{00000000-0005-0000-0000-00006A4F0000}"/>
    <cellStyle name="Currency 2 2 3" xfId="486" xr:uid="{00000000-0005-0000-0000-00006B4F0000}"/>
    <cellStyle name="Currency 2 2 3 2" xfId="13849" xr:uid="{00000000-0005-0000-0000-00006C4F0000}"/>
    <cellStyle name="Currency 2 2 4" xfId="13764" xr:uid="{00000000-0005-0000-0000-00006D4F0000}"/>
    <cellStyle name="Currency 2 2 5" xfId="24078" xr:uid="{00000000-0005-0000-0000-00006E4F0000}"/>
    <cellStyle name="Currency 2 2 5 2" xfId="27059" xr:uid="{00000000-0005-0000-0000-00006F4F0000}"/>
    <cellStyle name="Currency 2 3" xfId="401" xr:uid="{00000000-0005-0000-0000-0000704F0000}"/>
    <cellStyle name="Currency 2 3 2" xfId="506" xr:uid="{00000000-0005-0000-0000-0000714F0000}"/>
    <cellStyle name="Currency 2 3 2 2" xfId="13869" xr:uid="{00000000-0005-0000-0000-0000724F0000}"/>
    <cellStyle name="Currency 2 3 3" xfId="13788" xr:uid="{00000000-0005-0000-0000-0000734F0000}"/>
    <cellStyle name="Currency 2 3 4" xfId="24079" xr:uid="{00000000-0005-0000-0000-0000744F0000}"/>
    <cellStyle name="Currency 2 3 4 2" xfId="27060" xr:uid="{00000000-0005-0000-0000-0000754F0000}"/>
    <cellStyle name="Currency 2 4" xfId="378" xr:uid="{00000000-0005-0000-0000-0000764F0000}"/>
    <cellStyle name="Currency 2 5" xfId="468" xr:uid="{00000000-0005-0000-0000-0000774F0000}"/>
    <cellStyle name="Currency 2 5 2" xfId="26031" xr:uid="{00000000-0005-0000-0000-0000784F0000}"/>
    <cellStyle name="Currency 2 6" xfId="471" xr:uid="{00000000-0005-0000-0000-0000794F0000}"/>
    <cellStyle name="Currency 2 6 2" xfId="13834" xr:uid="{00000000-0005-0000-0000-00007A4F0000}"/>
    <cellStyle name="Currency 2 7" xfId="644" xr:uid="{00000000-0005-0000-0000-00007B4F0000}"/>
    <cellStyle name="Currency 2 7 2" xfId="13909" xr:uid="{00000000-0005-0000-0000-00007C4F0000}"/>
    <cellStyle name="Currency 2 8" xfId="23896" xr:uid="{00000000-0005-0000-0000-00007D4F0000}"/>
    <cellStyle name="Currency 2 9" xfId="13606" xr:uid="{00000000-0005-0000-0000-00007E4F0000}"/>
    <cellStyle name="Currency 3" xfId="30" xr:uid="{00000000-0005-0000-0000-00007F4F0000}"/>
    <cellStyle name="Currency 3 2" xfId="402" xr:uid="{00000000-0005-0000-0000-0000804F0000}"/>
    <cellStyle name="Currency 3 2 2" xfId="24302" xr:uid="{00000000-0005-0000-0000-0000814F0000}"/>
    <cellStyle name="Currency 3 2 2 2" xfId="27138" xr:uid="{00000000-0005-0000-0000-0000824F0000}"/>
    <cellStyle name="Currency 3 3" xfId="379" xr:uid="{00000000-0005-0000-0000-0000834F0000}"/>
    <cellStyle name="Currency 3 3 2" xfId="25995" xr:uid="{00000000-0005-0000-0000-0000844F0000}"/>
    <cellStyle name="Currency 3 4" xfId="3620" xr:uid="{00000000-0005-0000-0000-0000854F0000}"/>
    <cellStyle name="Currency 3 5" xfId="24080" xr:uid="{00000000-0005-0000-0000-0000864F0000}"/>
    <cellStyle name="Currency 3 6" xfId="25791" xr:uid="{00000000-0005-0000-0000-0000874F0000}"/>
    <cellStyle name="Currency 4" xfId="168" xr:uid="{00000000-0005-0000-0000-0000884F0000}"/>
    <cellStyle name="Currency 4 2" xfId="25882" xr:uid="{00000000-0005-0000-0000-0000894F0000}"/>
    <cellStyle name="Currency 5" xfId="169" xr:uid="{00000000-0005-0000-0000-00008A4F0000}"/>
    <cellStyle name="Currency 5 2" xfId="360" xr:uid="{00000000-0005-0000-0000-00008B4F0000}"/>
    <cellStyle name="Currency 5 2 2" xfId="442" xr:uid="{00000000-0005-0000-0000-00008C4F0000}"/>
    <cellStyle name="Currency 5 2 2 2" xfId="528" xr:uid="{00000000-0005-0000-0000-00008D4F0000}"/>
    <cellStyle name="Currency 5 2 2 2 2" xfId="13891" xr:uid="{00000000-0005-0000-0000-00008E4F0000}"/>
    <cellStyle name="Currency 5 2 2 3" xfId="13814" xr:uid="{00000000-0005-0000-0000-00008F4F0000}"/>
    <cellStyle name="Currency 5 2 3" xfId="491" xr:uid="{00000000-0005-0000-0000-0000904F0000}"/>
    <cellStyle name="Currency 5 2 3 2" xfId="13854" xr:uid="{00000000-0005-0000-0000-0000914F0000}"/>
    <cellStyle name="Currency 5 2 4" xfId="13770" xr:uid="{00000000-0005-0000-0000-0000924F0000}"/>
    <cellStyle name="Currency 5 2 5" xfId="24303" xr:uid="{00000000-0005-0000-0000-0000934F0000}"/>
    <cellStyle name="Currency 5 2 5 2" xfId="27139" xr:uid="{00000000-0005-0000-0000-0000944F0000}"/>
    <cellStyle name="Currency 5 3" xfId="422" xr:uid="{00000000-0005-0000-0000-0000954F0000}"/>
    <cellStyle name="Currency 5 3 2" xfId="513" xr:uid="{00000000-0005-0000-0000-0000964F0000}"/>
    <cellStyle name="Currency 5 3 2 2" xfId="13876" xr:uid="{00000000-0005-0000-0000-0000974F0000}"/>
    <cellStyle name="Currency 5 3 3" xfId="13799" xr:uid="{00000000-0005-0000-0000-0000984F0000}"/>
    <cellStyle name="Currency 5 3 4" xfId="24407" xr:uid="{00000000-0005-0000-0000-0000994F0000}"/>
    <cellStyle name="Currency 5 3 5" xfId="24859" xr:uid="{00000000-0005-0000-0000-00009A4F0000}"/>
    <cellStyle name="Currency 5 3 6" xfId="25224" xr:uid="{00000000-0005-0000-0000-00009B4F0000}"/>
    <cellStyle name="Currency 5 4" xfId="476" xr:uid="{00000000-0005-0000-0000-00009C4F0000}"/>
    <cellStyle name="Currency 5 4 2" xfId="13839" xr:uid="{00000000-0005-0000-0000-00009D4F0000}"/>
    <cellStyle name="Currency 5 5" xfId="13684" xr:uid="{00000000-0005-0000-0000-00009E4F0000}"/>
    <cellStyle name="Currency 5 6" xfId="23903" xr:uid="{00000000-0005-0000-0000-00009F4F0000}"/>
    <cellStyle name="Currency 5 6 2" xfId="27032" xr:uid="{00000000-0005-0000-0000-0000A04F0000}"/>
    <cellStyle name="Currency 5 7" xfId="24081" xr:uid="{00000000-0005-0000-0000-0000A14F0000}"/>
    <cellStyle name="Currency 5 8" xfId="24707" xr:uid="{00000000-0005-0000-0000-0000A24F0000}"/>
    <cellStyle name="Currency 5 9" xfId="25026" xr:uid="{00000000-0005-0000-0000-0000A34F0000}"/>
    <cellStyle name="Currency 6" xfId="395" xr:uid="{00000000-0005-0000-0000-0000A44F0000}"/>
    <cellStyle name="Currency 6 2" xfId="24293" xr:uid="{00000000-0005-0000-0000-0000A54F0000}"/>
    <cellStyle name="Currency 6 3" xfId="26005" xr:uid="{00000000-0005-0000-0000-0000A64F0000}"/>
    <cellStyle name="Currency 7" xfId="2590" xr:uid="{00000000-0005-0000-0000-0000A74F0000}"/>
    <cellStyle name="Currency 7 2" xfId="24484" xr:uid="{00000000-0005-0000-0000-0000A84F0000}"/>
    <cellStyle name="Currency 7 2 2" xfId="24915" xr:uid="{00000000-0005-0000-0000-0000A94F0000}"/>
    <cellStyle name="Currency 7 2 3" xfId="25275" xr:uid="{00000000-0005-0000-0000-0000AA4F0000}"/>
    <cellStyle name="Currency 7 3" xfId="24297" xr:uid="{00000000-0005-0000-0000-0000AB4F0000}"/>
    <cellStyle name="Currency 7 4" xfId="24778" xr:uid="{00000000-0005-0000-0000-0000AC4F0000}"/>
    <cellStyle name="Currency 7 5" xfId="25147" xr:uid="{00000000-0005-0000-0000-0000AD4F0000}"/>
    <cellStyle name="Currency 7 6" xfId="26146" xr:uid="{00000000-0005-0000-0000-0000AE4F0000}"/>
    <cellStyle name="Currency 8" xfId="13601" xr:uid="{00000000-0005-0000-0000-0000AF4F0000}"/>
    <cellStyle name="Currency 8 2" xfId="23904" xr:uid="{00000000-0005-0000-0000-0000B04F0000}"/>
    <cellStyle name="Currency 8 2 2" xfId="27033" xr:uid="{00000000-0005-0000-0000-0000B14F0000}"/>
    <cellStyle name="Currency 8 3" xfId="26554" xr:uid="{00000000-0005-0000-0000-0000B24F0000}"/>
    <cellStyle name="Currency 9" xfId="23889" xr:uid="{00000000-0005-0000-0000-0000B34F0000}"/>
    <cellStyle name="Currency 9 2" xfId="24299" xr:uid="{00000000-0005-0000-0000-0000B44F0000}"/>
    <cellStyle name="Currency 9 2 2" xfId="27135" xr:uid="{00000000-0005-0000-0000-0000B54F0000}"/>
    <cellStyle name="Currency No Comma" xfId="31" xr:uid="{00000000-0005-0000-0000-0000B64F0000}"/>
    <cellStyle name="Currency(0)" xfId="32" xr:uid="{00000000-0005-0000-0000-0000B74F0000}"/>
    <cellStyle name="Currency0" xfId="33" xr:uid="{00000000-0005-0000-0000-0000B84F0000}"/>
    <cellStyle name="Currency0 2" xfId="403" xr:uid="{00000000-0005-0000-0000-0000B94F0000}"/>
    <cellStyle name="Currency0 2 2" xfId="24082" xr:uid="{00000000-0005-0000-0000-0000BA4F0000}"/>
    <cellStyle name="Currency0 2 2 2" xfId="27061" xr:uid="{00000000-0005-0000-0000-0000BB4F0000}"/>
    <cellStyle name="Currency0 3" xfId="380" xr:uid="{00000000-0005-0000-0000-0000BC4F0000}"/>
    <cellStyle name="Currency0 3 2" xfId="25996" xr:uid="{00000000-0005-0000-0000-0000BD4F0000}"/>
    <cellStyle name="Currency0 4" xfId="23910" xr:uid="{00000000-0005-0000-0000-0000BE4F0000}"/>
    <cellStyle name="Currency0 4 2" xfId="27035" xr:uid="{00000000-0005-0000-0000-0000BF4F0000}"/>
    <cellStyle name="Currsmall" xfId="553" xr:uid="{00000000-0005-0000-0000-0000C04F0000}"/>
    <cellStyle name="Data Link" xfId="554" xr:uid="{00000000-0005-0000-0000-0000C14F0000}"/>
    <cellStyle name="Date" xfId="34" xr:uid="{00000000-0005-0000-0000-0000C24F0000}"/>
    <cellStyle name="Date - Style3" xfId="35" xr:uid="{00000000-0005-0000-0000-0000C34F0000}"/>
    <cellStyle name="Date (mm/dd/yy)" xfId="555" xr:uid="{00000000-0005-0000-0000-0000C44F0000}"/>
    <cellStyle name="Date (mm/dd/yy) 2" xfId="26040" xr:uid="{00000000-0005-0000-0000-0000C54F0000}"/>
    <cellStyle name="Date (mm/yy)" xfId="556" xr:uid="{00000000-0005-0000-0000-0000C64F0000}"/>
    <cellStyle name="Date (mm/yy) 2" xfId="26041" xr:uid="{00000000-0005-0000-0000-0000C74F0000}"/>
    <cellStyle name="Date (mmm/yy)" xfId="557" xr:uid="{00000000-0005-0000-0000-0000C84F0000}"/>
    <cellStyle name="Date (mmm/yy) 2" xfId="26042" xr:uid="{00000000-0005-0000-0000-0000C94F0000}"/>
    <cellStyle name="Date (Mon, Tues, etc)" xfId="558" xr:uid="{00000000-0005-0000-0000-0000CA4F0000}"/>
    <cellStyle name="Date (Mon, Tues, etc) 2" xfId="26043" xr:uid="{00000000-0005-0000-0000-0000CB4F0000}"/>
    <cellStyle name="Date (Monday, Tuesday, etc)" xfId="559" xr:uid="{00000000-0005-0000-0000-0000CC4F0000}"/>
    <cellStyle name="Date (Monday, Tuesday, etc) 2" xfId="26044" xr:uid="{00000000-0005-0000-0000-0000CD4F0000}"/>
    <cellStyle name="Date 10" xfId="460" xr:uid="{00000000-0005-0000-0000-0000CE4F0000}"/>
    <cellStyle name="Date 10 2" xfId="26025" xr:uid="{00000000-0005-0000-0000-0000CF4F0000}"/>
    <cellStyle name="Date 11" xfId="24408" xr:uid="{00000000-0005-0000-0000-0000D04F0000}"/>
    <cellStyle name="Date 11 2" xfId="27159" xr:uid="{00000000-0005-0000-0000-0000D14F0000}"/>
    <cellStyle name="Date 12" xfId="24401" xr:uid="{00000000-0005-0000-0000-0000D24F0000}"/>
    <cellStyle name="Date 12 2" xfId="27154" xr:uid="{00000000-0005-0000-0000-0000D34F0000}"/>
    <cellStyle name="Date 13" xfId="24409" xr:uid="{00000000-0005-0000-0000-0000D44F0000}"/>
    <cellStyle name="Date 13 2" xfId="27160" xr:uid="{00000000-0005-0000-0000-0000D54F0000}"/>
    <cellStyle name="Date 14" xfId="24405" xr:uid="{00000000-0005-0000-0000-0000D64F0000}"/>
    <cellStyle name="Date 14 2" xfId="27158" xr:uid="{00000000-0005-0000-0000-0000D74F0000}"/>
    <cellStyle name="Date 15" xfId="24502" xr:uid="{00000000-0005-0000-0000-0000D84F0000}"/>
    <cellStyle name="Date 15 2" xfId="27190" xr:uid="{00000000-0005-0000-0000-0000D94F0000}"/>
    <cellStyle name="Date 16" xfId="24404" xr:uid="{00000000-0005-0000-0000-0000DA4F0000}"/>
    <cellStyle name="Date 16 2" xfId="27157" xr:uid="{00000000-0005-0000-0000-0000DB4F0000}"/>
    <cellStyle name="Date 17" xfId="24495" xr:uid="{00000000-0005-0000-0000-0000DC4F0000}"/>
    <cellStyle name="Date 17 2" xfId="27184" xr:uid="{00000000-0005-0000-0000-0000DD4F0000}"/>
    <cellStyle name="Date 18" xfId="24315" xr:uid="{00000000-0005-0000-0000-0000DE4F0000}"/>
    <cellStyle name="Date 18 2" xfId="27146" xr:uid="{00000000-0005-0000-0000-0000DF4F0000}"/>
    <cellStyle name="Date 19" xfId="24493" xr:uid="{00000000-0005-0000-0000-0000E04F0000}"/>
    <cellStyle name="Date 19 2" xfId="27182" xr:uid="{00000000-0005-0000-0000-0000E14F0000}"/>
    <cellStyle name="Date 2" xfId="404" xr:uid="{00000000-0005-0000-0000-0000E24F0000}"/>
    <cellStyle name="Date 2 2" xfId="24083" xr:uid="{00000000-0005-0000-0000-0000E34F0000}"/>
    <cellStyle name="Date 2 2 2" xfId="27062" xr:uid="{00000000-0005-0000-0000-0000E44F0000}"/>
    <cellStyle name="Date 20" xfId="24317" xr:uid="{00000000-0005-0000-0000-0000E54F0000}"/>
    <cellStyle name="Date 20 2" xfId="27147" xr:uid="{00000000-0005-0000-0000-0000E64F0000}"/>
    <cellStyle name="Date 21" xfId="24489" xr:uid="{00000000-0005-0000-0000-0000E74F0000}"/>
    <cellStyle name="Date 21 2" xfId="27179" xr:uid="{00000000-0005-0000-0000-0000E84F0000}"/>
    <cellStyle name="Date 22" xfId="24483" xr:uid="{00000000-0005-0000-0000-0000E94F0000}"/>
    <cellStyle name="Date 22 2" xfId="27175" xr:uid="{00000000-0005-0000-0000-0000EA4F0000}"/>
    <cellStyle name="Date 23" xfId="24491" xr:uid="{00000000-0005-0000-0000-0000EB4F0000}"/>
    <cellStyle name="Date 23 2" xfId="27181" xr:uid="{00000000-0005-0000-0000-0000EC4F0000}"/>
    <cellStyle name="Date 24" xfId="24403" xr:uid="{00000000-0005-0000-0000-0000ED4F0000}"/>
    <cellStyle name="Date 24 2" xfId="27156" xr:uid="{00000000-0005-0000-0000-0000EE4F0000}"/>
    <cellStyle name="Date 25" xfId="24488" xr:uid="{00000000-0005-0000-0000-0000EF4F0000}"/>
    <cellStyle name="Date 25 2" xfId="27178" xr:uid="{00000000-0005-0000-0000-0000F04F0000}"/>
    <cellStyle name="Date 26" xfId="24507" xr:uid="{00000000-0005-0000-0000-0000F14F0000}"/>
    <cellStyle name="Date 26 2" xfId="27193" xr:uid="{00000000-0005-0000-0000-0000F24F0000}"/>
    <cellStyle name="Date 27" xfId="23911" xr:uid="{00000000-0005-0000-0000-0000F34F0000}"/>
    <cellStyle name="Date 27 2" xfId="27036" xr:uid="{00000000-0005-0000-0000-0000F44F0000}"/>
    <cellStyle name="Date 28" xfId="23925" xr:uid="{00000000-0005-0000-0000-0000F54F0000}"/>
    <cellStyle name="Date 28 2" xfId="27039" xr:uid="{00000000-0005-0000-0000-0000F64F0000}"/>
    <cellStyle name="Date 29" xfId="24530" xr:uid="{00000000-0005-0000-0000-0000F74F0000}"/>
    <cellStyle name="Date 29 2" xfId="27209" xr:uid="{00000000-0005-0000-0000-0000F84F0000}"/>
    <cellStyle name="Date 3" xfId="381" xr:uid="{00000000-0005-0000-0000-0000F94F0000}"/>
    <cellStyle name="Date 3 2" xfId="25997" xr:uid="{00000000-0005-0000-0000-0000FA4F0000}"/>
    <cellStyle name="Date 30" xfId="24007" xr:uid="{00000000-0005-0000-0000-0000FB4F0000}"/>
    <cellStyle name="Date 30 2" xfId="27045" xr:uid="{00000000-0005-0000-0000-0000FC4F0000}"/>
    <cellStyle name="Date 31" xfId="24539" xr:uid="{00000000-0005-0000-0000-0000FD4F0000}"/>
    <cellStyle name="Date 31 2" xfId="27215" xr:uid="{00000000-0005-0000-0000-0000FE4F0000}"/>
    <cellStyle name="Date 32" xfId="24520" xr:uid="{00000000-0005-0000-0000-0000FF4F0000}"/>
    <cellStyle name="Date 32 2" xfId="27204" xr:uid="{00000000-0005-0000-0000-000000500000}"/>
    <cellStyle name="Date 33" xfId="24084" xr:uid="{00000000-0005-0000-0000-000001500000}"/>
    <cellStyle name="Date 33 2" xfId="27063" xr:uid="{00000000-0005-0000-0000-000002500000}"/>
    <cellStyle name="Date 34" xfId="24527" xr:uid="{00000000-0005-0000-0000-000003500000}"/>
    <cellStyle name="Date 34 2" xfId="27207" xr:uid="{00000000-0005-0000-0000-000004500000}"/>
    <cellStyle name="Date 35" xfId="24538" xr:uid="{00000000-0005-0000-0000-000005500000}"/>
    <cellStyle name="Date 35 2" xfId="27214" xr:uid="{00000000-0005-0000-0000-000006500000}"/>
    <cellStyle name="Date 36" xfId="24097" xr:uid="{00000000-0005-0000-0000-000007500000}"/>
    <cellStyle name="Date 36 2" xfId="27065" xr:uid="{00000000-0005-0000-0000-000008500000}"/>
    <cellStyle name="Date 37" xfId="24534" xr:uid="{00000000-0005-0000-0000-000009500000}"/>
    <cellStyle name="Date 37 2" xfId="27212" xr:uid="{00000000-0005-0000-0000-00000A500000}"/>
    <cellStyle name="Date 38" xfId="24548" xr:uid="{00000000-0005-0000-0000-00000B500000}"/>
    <cellStyle name="Date 38 2" xfId="27221" xr:uid="{00000000-0005-0000-0000-00000C500000}"/>
    <cellStyle name="Date 39" xfId="24772" xr:uid="{00000000-0005-0000-0000-00000D500000}"/>
    <cellStyle name="Date 39 2" xfId="27313" xr:uid="{00000000-0005-0000-0000-00000E500000}"/>
    <cellStyle name="Date 4" xfId="434" xr:uid="{00000000-0005-0000-0000-00000F500000}"/>
    <cellStyle name="Date 4 2" xfId="26016" xr:uid="{00000000-0005-0000-0000-000010500000}"/>
    <cellStyle name="Date 40" xfId="24635" xr:uid="{00000000-0005-0000-0000-000011500000}"/>
    <cellStyle name="Date 40 2" xfId="27229" xr:uid="{00000000-0005-0000-0000-000012500000}"/>
    <cellStyle name="Date 41" xfId="24916" xr:uid="{00000000-0005-0000-0000-000013500000}"/>
    <cellStyle name="Date 41 2" xfId="27327" xr:uid="{00000000-0005-0000-0000-000014500000}"/>
    <cellStyle name="Date 42" xfId="24932" xr:uid="{00000000-0005-0000-0000-000015500000}"/>
    <cellStyle name="Date 42 2" xfId="27339" xr:uid="{00000000-0005-0000-0000-000016500000}"/>
    <cellStyle name="Date 43" xfId="24856" xr:uid="{00000000-0005-0000-0000-000017500000}"/>
    <cellStyle name="Date 43 2" xfId="27317" xr:uid="{00000000-0005-0000-0000-000018500000}"/>
    <cellStyle name="Date 44" xfId="24760" xr:uid="{00000000-0005-0000-0000-000019500000}"/>
    <cellStyle name="Date 44 2" xfId="27305" xr:uid="{00000000-0005-0000-0000-00001A500000}"/>
    <cellStyle name="Date 45" xfId="24930" xr:uid="{00000000-0005-0000-0000-00001B500000}"/>
    <cellStyle name="Date 45 2" xfId="27338" xr:uid="{00000000-0005-0000-0000-00001C500000}"/>
    <cellStyle name="Date 46" xfId="24925" xr:uid="{00000000-0005-0000-0000-00001D500000}"/>
    <cellStyle name="Date 46 2" xfId="27334" xr:uid="{00000000-0005-0000-0000-00001E500000}"/>
    <cellStyle name="Date 47" xfId="24939" xr:uid="{00000000-0005-0000-0000-00001F500000}"/>
    <cellStyle name="Date 47 2" xfId="27344" xr:uid="{00000000-0005-0000-0000-000020500000}"/>
    <cellStyle name="Date 48" xfId="24921" xr:uid="{00000000-0005-0000-0000-000021500000}"/>
    <cellStyle name="Date 48 2" xfId="27330" xr:uid="{00000000-0005-0000-0000-000022500000}"/>
    <cellStyle name="Date 49" xfId="24928" xr:uid="{00000000-0005-0000-0000-000023500000}"/>
    <cellStyle name="Date 49 2" xfId="27337" xr:uid="{00000000-0005-0000-0000-000024500000}"/>
    <cellStyle name="Date 5" xfId="436" xr:uid="{00000000-0005-0000-0000-000025500000}"/>
    <cellStyle name="Date 5 2" xfId="26018" xr:uid="{00000000-0005-0000-0000-000026500000}"/>
    <cellStyle name="Date 50" xfId="24908" xr:uid="{00000000-0005-0000-0000-000027500000}"/>
    <cellStyle name="Date 50 2" xfId="27326" xr:uid="{00000000-0005-0000-0000-000028500000}"/>
    <cellStyle name="Date 51" xfId="24943" xr:uid="{00000000-0005-0000-0000-000029500000}"/>
    <cellStyle name="Date 51 2" xfId="27347" xr:uid="{00000000-0005-0000-0000-00002A500000}"/>
    <cellStyle name="Date 6" xfId="389" xr:uid="{00000000-0005-0000-0000-00002B500000}"/>
    <cellStyle name="Date 6 2" xfId="26000" xr:uid="{00000000-0005-0000-0000-00002C500000}"/>
    <cellStyle name="Date 7" xfId="457" xr:uid="{00000000-0005-0000-0000-00002D500000}"/>
    <cellStyle name="Date 7 2" xfId="26022" xr:uid="{00000000-0005-0000-0000-00002E500000}"/>
    <cellStyle name="Date 8" xfId="462" xr:uid="{00000000-0005-0000-0000-00002F500000}"/>
    <cellStyle name="Date 8 2" xfId="26027" xr:uid="{00000000-0005-0000-0000-000030500000}"/>
    <cellStyle name="Date 9" xfId="458" xr:uid="{00000000-0005-0000-0000-000031500000}"/>
    <cellStyle name="Date 9 2" xfId="26023" xr:uid="{00000000-0005-0000-0000-000032500000}"/>
    <cellStyle name="Date_2002SavingsIdeasSummary" xfId="560" xr:uid="{00000000-0005-0000-0000-000033500000}"/>
    <cellStyle name="Emphasis 1" xfId="24085" xr:uid="{00000000-0005-0000-0000-000034500000}"/>
    <cellStyle name="Emphasis 2" xfId="24086" xr:uid="{00000000-0005-0000-0000-000035500000}"/>
    <cellStyle name="Emphasis 3" xfId="24087" xr:uid="{00000000-0005-0000-0000-000036500000}"/>
    <cellStyle name="Explanatory Text 10" xfId="2591" xr:uid="{00000000-0005-0000-0000-000037500000}"/>
    <cellStyle name="Explanatory Text 11" xfId="2592" xr:uid="{00000000-0005-0000-0000-000038500000}"/>
    <cellStyle name="Explanatory Text 12" xfId="2593" xr:uid="{00000000-0005-0000-0000-000039500000}"/>
    <cellStyle name="Explanatory Text 13" xfId="2594" xr:uid="{00000000-0005-0000-0000-00003A500000}"/>
    <cellStyle name="Explanatory Text 14" xfId="2595" xr:uid="{00000000-0005-0000-0000-00003B500000}"/>
    <cellStyle name="Explanatory Text 15" xfId="2596" xr:uid="{00000000-0005-0000-0000-00003C500000}"/>
    <cellStyle name="Explanatory Text 16" xfId="2597" xr:uid="{00000000-0005-0000-0000-00003D500000}"/>
    <cellStyle name="Explanatory Text 17" xfId="2598" xr:uid="{00000000-0005-0000-0000-00003E500000}"/>
    <cellStyle name="Explanatory Text 18" xfId="2599" xr:uid="{00000000-0005-0000-0000-00003F500000}"/>
    <cellStyle name="Explanatory Text 19" xfId="2600" xr:uid="{00000000-0005-0000-0000-000040500000}"/>
    <cellStyle name="Explanatory Text 2" xfId="2601" xr:uid="{00000000-0005-0000-0000-000041500000}"/>
    <cellStyle name="Explanatory Text 20" xfId="2602" xr:uid="{00000000-0005-0000-0000-000042500000}"/>
    <cellStyle name="Explanatory Text 21" xfId="2603" xr:uid="{00000000-0005-0000-0000-000043500000}"/>
    <cellStyle name="Explanatory Text 22" xfId="2604" xr:uid="{00000000-0005-0000-0000-000044500000}"/>
    <cellStyle name="Explanatory Text 23" xfId="2605" xr:uid="{00000000-0005-0000-0000-000045500000}"/>
    <cellStyle name="Explanatory Text 24" xfId="2606" xr:uid="{00000000-0005-0000-0000-000046500000}"/>
    <cellStyle name="Explanatory Text 25" xfId="2607" xr:uid="{00000000-0005-0000-0000-000047500000}"/>
    <cellStyle name="Explanatory Text 26" xfId="2608" xr:uid="{00000000-0005-0000-0000-000048500000}"/>
    <cellStyle name="Explanatory Text 27" xfId="2609" xr:uid="{00000000-0005-0000-0000-000049500000}"/>
    <cellStyle name="Explanatory Text 28" xfId="2610" xr:uid="{00000000-0005-0000-0000-00004A500000}"/>
    <cellStyle name="Explanatory Text 29" xfId="2611" xr:uid="{00000000-0005-0000-0000-00004B500000}"/>
    <cellStyle name="Explanatory Text 3" xfId="2612" xr:uid="{00000000-0005-0000-0000-00004C500000}"/>
    <cellStyle name="Explanatory Text 30" xfId="2613" xr:uid="{00000000-0005-0000-0000-00004D500000}"/>
    <cellStyle name="Explanatory Text 31" xfId="2614" xr:uid="{00000000-0005-0000-0000-00004E500000}"/>
    <cellStyle name="Explanatory Text 32" xfId="2615" xr:uid="{00000000-0005-0000-0000-00004F500000}"/>
    <cellStyle name="Explanatory Text 33" xfId="2616" xr:uid="{00000000-0005-0000-0000-000050500000}"/>
    <cellStyle name="Explanatory Text 34" xfId="2617" xr:uid="{00000000-0005-0000-0000-000051500000}"/>
    <cellStyle name="Explanatory Text 35" xfId="2618" xr:uid="{00000000-0005-0000-0000-000052500000}"/>
    <cellStyle name="Explanatory Text 36" xfId="2619" xr:uid="{00000000-0005-0000-0000-000053500000}"/>
    <cellStyle name="Explanatory Text 37" xfId="2620" xr:uid="{00000000-0005-0000-0000-000054500000}"/>
    <cellStyle name="Explanatory Text 38" xfId="2621" xr:uid="{00000000-0005-0000-0000-000055500000}"/>
    <cellStyle name="Explanatory Text 39" xfId="2622" xr:uid="{00000000-0005-0000-0000-000056500000}"/>
    <cellStyle name="Explanatory Text 4" xfId="2623" xr:uid="{00000000-0005-0000-0000-000057500000}"/>
    <cellStyle name="Explanatory Text 40" xfId="2624" xr:uid="{00000000-0005-0000-0000-000058500000}"/>
    <cellStyle name="Explanatory Text 41" xfId="2625" xr:uid="{00000000-0005-0000-0000-000059500000}"/>
    <cellStyle name="Explanatory Text 42" xfId="2626" xr:uid="{00000000-0005-0000-0000-00005A500000}"/>
    <cellStyle name="Explanatory Text 43" xfId="2627" xr:uid="{00000000-0005-0000-0000-00005B500000}"/>
    <cellStyle name="Explanatory Text 44" xfId="2628" xr:uid="{00000000-0005-0000-0000-00005C500000}"/>
    <cellStyle name="Explanatory Text 45" xfId="2629" xr:uid="{00000000-0005-0000-0000-00005D500000}"/>
    <cellStyle name="Explanatory Text 46" xfId="2630" xr:uid="{00000000-0005-0000-0000-00005E500000}"/>
    <cellStyle name="Explanatory Text 47" xfId="2631" xr:uid="{00000000-0005-0000-0000-00005F500000}"/>
    <cellStyle name="Explanatory Text 48" xfId="2632" xr:uid="{00000000-0005-0000-0000-000060500000}"/>
    <cellStyle name="Explanatory Text 49" xfId="2633" xr:uid="{00000000-0005-0000-0000-000061500000}"/>
    <cellStyle name="Explanatory Text 5" xfId="2634" xr:uid="{00000000-0005-0000-0000-000062500000}"/>
    <cellStyle name="Explanatory Text 50" xfId="2635" xr:uid="{00000000-0005-0000-0000-000063500000}"/>
    <cellStyle name="Explanatory Text 51" xfId="2636" xr:uid="{00000000-0005-0000-0000-000064500000}"/>
    <cellStyle name="Explanatory Text 52" xfId="2637" xr:uid="{00000000-0005-0000-0000-000065500000}"/>
    <cellStyle name="Explanatory Text 53" xfId="2638" xr:uid="{00000000-0005-0000-0000-000066500000}"/>
    <cellStyle name="Explanatory Text 54" xfId="2639" xr:uid="{00000000-0005-0000-0000-000067500000}"/>
    <cellStyle name="Explanatory Text 55" xfId="2640" xr:uid="{00000000-0005-0000-0000-000068500000}"/>
    <cellStyle name="Explanatory Text 56" xfId="2641" xr:uid="{00000000-0005-0000-0000-000069500000}"/>
    <cellStyle name="Explanatory Text 57" xfId="2642" xr:uid="{00000000-0005-0000-0000-00006A500000}"/>
    <cellStyle name="Explanatory Text 58" xfId="2643" xr:uid="{00000000-0005-0000-0000-00006B500000}"/>
    <cellStyle name="Explanatory Text 59" xfId="2644" xr:uid="{00000000-0005-0000-0000-00006C500000}"/>
    <cellStyle name="Explanatory Text 6" xfId="2645" xr:uid="{00000000-0005-0000-0000-00006D500000}"/>
    <cellStyle name="Explanatory Text 60" xfId="2646" xr:uid="{00000000-0005-0000-0000-00006E500000}"/>
    <cellStyle name="Explanatory Text 61" xfId="2647" xr:uid="{00000000-0005-0000-0000-00006F500000}"/>
    <cellStyle name="Explanatory Text 62" xfId="2648" xr:uid="{00000000-0005-0000-0000-000070500000}"/>
    <cellStyle name="Explanatory Text 63" xfId="2649" xr:uid="{00000000-0005-0000-0000-000071500000}"/>
    <cellStyle name="Explanatory Text 64" xfId="2650" xr:uid="{00000000-0005-0000-0000-000072500000}"/>
    <cellStyle name="Explanatory Text 65" xfId="2651" xr:uid="{00000000-0005-0000-0000-000073500000}"/>
    <cellStyle name="Explanatory Text 66" xfId="2652" xr:uid="{00000000-0005-0000-0000-000074500000}"/>
    <cellStyle name="Explanatory Text 67" xfId="2653" xr:uid="{00000000-0005-0000-0000-000075500000}"/>
    <cellStyle name="Explanatory Text 68" xfId="2654" xr:uid="{00000000-0005-0000-0000-000076500000}"/>
    <cellStyle name="Explanatory Text 69" xfId="2655" xr:uid="{00000000-0005-0000-0000-000077500000}"/>
    <cellStyle name="Explanatory Text 7" xfId="2656" xr:uid="{00000000-0005-0000-0000-000078500000}"/>
    <cellStyle name="Explanatory Text 70" xfId="2657" xr:uid="{00000000-0005-0000-0000-000079500000}"/>
    <cellStyle name="Explanatory Text 71" xfId="2658" xr:uid="{00000000-0005-0000-0000-00007A500000}"/>
    <cellStyle name="Explanatory Text 72" xfId="2659" xr:uid="{00000000-0005-0000-0000-00007B500000}"/>
    <cellStyle name="Explanatory Text 8" xfId="2660" xr:uid="{00000000-0005-0000-0000-00007C500000}"/>
    <cellStyle name="Explanatory Text 9" xfId="2661" xr:uid="{00000000-0005-0000-0000-00007D500000}"/>
    <cellStyle name="F2" xfId="561" xr:uid="{00000000-0005-0000-0000-00007E500000}"/>
    <cellStyle name="F2 2" xfId="24088" xr:uid="{00000000-0005-0000-0000-00007F500000}"/>
    <cellStyle name="F2 3" xfId="23912" xr:uid="{00000000-0005-0000-0000-000080500000}"/>
    <cellStyle name="F3" xfId="562" xr:uid="{00000000-0005-0000-0000-000081500000}"/>
    <cellStyle name="F3 2" xfId="24089" xr:uid="{00000000-0005-0000-0000-000082500000}"/>
    <cellStyle name="F3 3" xfId="23913" xr:uid="{00000000-0005-0000-0000-000083500000}"/>
    <cellStyle name="F4" xfId="563" xr:uid="{00000000-0005-0000-0000-000084500000}"/>
    <cellStyle name="F4 2" xfId="24090" xr:uid="{00000000-0005-0000-0000-000085500000}"/>
    <cellStyle name="F4 3" xfId="23914" xr:uid="{00000000-0005-0000-0000-000086500000}"/>
    <cellStyle name="F5" xfId="564" xr:uid="{00000000-0005-0000-0000-000087500000}"/>
    <cellStyle name="F5 2" xfId="24091" xr:uid="{00000000-0005-0000-0000-000088500000}"/>
    <cellStyle name="F5 3" xfId="23915" xr:uid="{00000000-0005-0000-0000-000089500000}"/>
    <cellStyle name="F6" xfId="565" xr:uid="{00000000-0005-0000-0000-00008A500000}"/>
    <cellStyle name="F6 2" xfId="24092" xr:uid="{00000000-0005-0000-0000-00008B500000}"/>
    <cellStyle name="F6 3" xfId="23916" xr:uid="{00000000-0005-0000-0000-00008C500000}"/>
    <cellStyle name="F7" xfId="566" xr:uid="{00000000-0005-0000-0000-00008D500000}"/>
    <cellStyle name="F7 2" xfId="24093" xr:uid="{00000000-0005-0000-0000-00008E500000}"/>
    <cellStyle name="F7 3" xfId="23917" xr:uid="{00000000-0005-0000-0000-00008F500000}"/>
    <cellStyle name="F8" xfId="567" xr:uid="{00000000-0005-0000-0000-000090500000}"/>
    <cellStyle name="F8 2" xfId="24094" xr:uid="{00000000-0005-0000-0000-000091500000}"/>
    <cellStyle name="F8 3" xfId="23918" xr:uid="{00000000-0005-0000-0000-000092500000}"/>
    <cellStyle name="Fixed" xfId="36" xr:uid="{00000000-0005-0000-0000-000093500000}"/>
    <cellStyle name="Fixed 2" xfId="405" xr:uid="{00000000-0005-0000-0000-000094500000}"/>
    <cellStyle name="Fixed 2 2" xfId="24095" xr:uid="{00000000-0005-0000-0000-000095500000}"/>
    <cellStyle name="Fixed 2 2 2" xfId="27064" xr:uid="{00000000-0005-0000-0000-000096500000}"/>
    <cellStyle name="Fixed 3" xfId="382" xr:uid="{00000000-0005-0000-0000-000097500000}"/>
    <cellStyle name="Fixed 3 2" xfId="25998" xr:uid="{00000000-0005-0000-0000-000098500000}"/>
    <cellStyle name="Fixed 4" xfId="23919" xr:uid="{00000000-0005-0000-0000-000099500000}"/>
    <cellStyle name="Fixed 4 2" xfId="27037" xr:uid="{00000000-0005-0000-0000-00009A500000}"/>
    <cellStyle name="Fixlong" xfId="568" xr:uid="{00000000-0005-0000-0000-00009B500000}"/>
    <cellStyle name="Followed Hyperlink" xfId="4621" builtinId="9" customBuiltin="1"/>
    <cellStyle name="Followed Hyperlink 2" xfId="2662" xr:uid="{00000000-0005-0000-0000-00009D500000}"/>
    <cellStyle name="Followed Hyperlink 3" xfId="2663" xr:uid="{00000000-0005-0000-0000-00009E500000}"/>
    <cellStyle name="Formula" xfId="569" xr:uid="{00000000-0005-0000-0000-00009F500000}"/>
    <cellStyle name="Formula 2" xfId="24096" xr:uid="{00000000-0005-0000-0000-0000A0500000}"/>
    <cellStyle name="Formula 2 2" xfId="24774" xr:uid="{00000000-0005-0000-0000-0000A1500000}"/>
    <cellStyle name="Formula 3" xfId="24861" xr:uid="{00000000-0005-0000-0000-0000A2500000}"/>
    <cellStyle name="General" xfId="37" xr:uid="{00000000-0005-0000-0000-0000A3500000}"/>
    <cellStyle name="Good 10" xfId="2664" xr:uid="{00000000-0005-0000-0000-0000A4500000}"/>
    <cellStyle name="Good 11" xfId="2665" xr:uid="{00000000-0005-0000-0000-0000A5500000}"/>
    <cellStyle name="Good 12" xfId="2666" xr:uid="{00000000-0005-0000-0000-0000A6500000}"/>
    <cellStyle name="Good 13" xfId="2667" xr:uid="{00000000-0005-0000-0000-0000A7500000}"/>
    <cellStyle name="Good 14" xfId="2668" xr:uid="{00000000-0005-0000-0000-0000A8500000}"/>
    <cellStyle name="Good 15" xfId="2669" xr:uid="{00000000-0005-0000-0000-0000A9500000}"/>
    <cellStyle name="Good 16" xfId="2670" xr:uid="{00000000-0005-0000-0000-0000AA500000}"/>
    <cellStyle name="Good 17" xfId="2671" xr:uid="{00000000-0005-0000-0000-0000AB500000}"/>
    <cellStyle name="Good 18" xfId="2672" xr:uid="{00000000-0005-0000-0000-0000AC500000}"/>
    <cellStyle name="Good 19" xfId="2673" xr:uid="{00000000-0005-0000-0000-0000AD500000}"/>
    <cellStyle name="Good 2" xfId="2674" xr:uid="{00000000-0005-0000-0000-0000AE500000}"/>
    <cellStyle name="Good 2 2" xfId="24099" xr:uid="{00000000-0005-0000-0000-0000AF500000}"/>
    <cellStyle name="Good 2 3" xfId="24098" xr:uid="{00000000-0005-0000-0000-0000B0500000}"/>
    <cellStyle name="Good 20" xfId="2675" xr:uid="{00000000-0005-0000-0000-0000B1500000}"/>
    <cellStyle name="Good 21" xfId="2676" xr:uid="{00000000-0005-0000-0000-0000B2500000}"/>
    <cellStyle name="Good 22" xfId="2677" xr:uid="{00000000-0005-0000-0000-0000B3500000}"/>
    <cellStyle name="Good 23" xfId="2678" xr:uid="{00000000-0005-0000-0000-0000B4500000}"/>
    <cellStyle name="Good 24" xfId="2679" xr:uid="{00000000-0005-0000-0000-0000B5500000}"/>
    <cellStyle name="Good 25" xfId="2680" xr:uid="{00000000-0005-0000-0000-0000B6500000}"/>
    <cellStyle name="Good 26" xfId="2681" xr:uid="{00000000-0005-0000-0000-0000B7500000}"/>
    <cellStyle name="Good 27" xfId="2682" xr:uid="{00000000-0005-0000-0000-0000B8500000}"/>
    <cellStyle name="Good 28" xfId="2683" xr:uid="{00000000-0005-0000-0000-0000B9500000}"/>
    <cellStyle name="Good 29" xfId="2684" xr:uid="{00000000-0005-0000-0000-0000BA500000}"/>
    <cellStyle name="Good 3" xfId="2685" xr:uid="{00000000-0005-0000-0000-0000BB500000}"/>
    <cellStyle name="Good 3 2" xfId="24100" xr:uid="{00000000-0005-0000-0000-0000BC500000}"/>
    <cellStyle name="Good 30" xfId="2686" xr:uid="{00000000-0005-0000-0000-0000BD500000}"/>
    <cellStyle name="Good 31" xfId="2687" xr:uid="{00000000-0005-0000-0000-0000BE500000}"/>
    <cellStyle name="Good 32" xfId="2688" xr:uid="{00000000-0005-0000-0000-0000BF500000}"/>
    <cellStyle name="Good 33" xfId="2689" xr:uid="{00000000-0005-0000-0000-0000C0500000}"/>
    <cellStyle name="Good 34" xfId="2690" xr:uid="{00000000-0005-0000-0000-0000C1500000}"/>
    <cellStyle name="Good 35" xfId="2691" xr:uid="{00000000-0005-0000-0000-0000C2500000}"/>
    <cellStyle name="Good 36" xfId="2692" xr:uid="{00000000-0005-0000-0000-0000C3500000}"/>
    <cellStyle name="Good 37" xfId="2693" xr:uid="{00000000-0005-0000-0000-0000C4500000}"/>
    <cellStyle name="Good 38" xfId="2694" xr:uid="{00000000-0005-0000-0000-0000C5500000}"/>
    <cellStyle name="Good 39" xfId="2695" xr:uid="{00000000-0005-0000-0000-0000C6500000}"/>
    <cellStyle name="Good 4" xfId="2696" xr:uid="{00000000-0005-0000-0000-0000C7500000}"/>
    <cellStyle name="Good 4 2" xfId="24101" xr:uid="{00000000-0005-0000-0000-0000C8500000}"/>
    <cellStyle name="Good 40" xfId="2697" xr:uid="{00000000-0005-0000-0000-0000C9500000}"/>
    <cellStyle name="Good 41" xfId="2698" xr:uid="{00000000-0005-0000-0000-0000CA500000}"/>
    <cellStyle name="Good 42" xfId="2699" xr:uid="{00000000-0005-0000-0000-0000CB500000}"/>
    <cellStyle name="Good 43" xfId="2700" xr:uid="{00000000-0005-0000-0000-0000CC500000}"/>
    <cellStyle name="Good 44" xfId="2701" xr:uid="{00000000-0005-0000-0000-0000CD500000}"/>
    <cellStyle name="Good 45" xfId="2702" xr:uid="{00000000-0005-0000-0000-0000CE500000}"/>
    <cellStyle name="Good 46" xfId="2703" xr:uid="{00000000-0005-0000-0000-0000CF500000}"/>
    <cellStyle name="Good 47" xfId="2704" xr:uid="{00000000-0005-0000-0000-0000D0500000}"/>
    <cellStyle name="Good 48" xfId="2705" xr:uid="{00000000-0005-0000-0000-0000D1500000}"/>
    <cellStyle name="Good 49" xfId="2706" xr:uid="{00000000-0005-0000-0000-0000D2500000}"/>
    <cellStyle name="Good 5" xfId="2707" xr:uid="{00000000-0005-0000-0000-0000D3500000}"/>
    <cellStyle name="Good 50" xfId="2708" xr:uid="{00000000-0005-0000-0000-0000D4500000}"/>
    <cellStyle name="Good 51" xfId="2709" xr:uid="{00000000-0005-0000-0000-0000D5500000}"/>
    <cellStyle name="Good 52" xfId="2710" xr:uid="{00000000-0005-0000-0000-0000D6500000}"/>
    <cellStyle name="Good 53" xfId="2711" xr:uid="{00000000-0005-0000-0000-0000D7500000}"/>
    <cellStyle name="Good 54" xfId="2712" xr:uid="{00000000-0005-0000-0000-0000D8500000}"/>
    <cellStyle name="Good 55" xfId="2713" xr:uid="{00000000-0005-0000-0000-0000D9500000}"/>
    <cellStyle name="Good 56" xfId="2714" xr:uid="{00000000-0005-0000-0000-0000DA500000}"/>
    <cellStyle name="Good 57" xfId="2715" xr:uid="{00000000-0005-0000-0000-0000DB500000}"/>
    <cellStyle name="Good 58" xfId="2716" xr:uid="{00000000-0005-0000-0000-0000DC500000}"/>
    <cellStyle name="Good 59" xfId="2717" xr:uid="{00000000-0005-0000-0000-0000DD500000}"/>
    <cellStyle name="Good 6" xfId="2718" xr:uid="{00000000-0005-0000-0000-0000DE500000}"/>
    <cellStyle name="Good 60" xfId="2719" xr:uid="{00000000-0005-0000-0000-0000DF500000}"/>
    <cellStyle name="Good 61" xfId="2720" xr:uid="{00000000-0005-0000-0000-0000E0500000}"/>
    <cellStyle name="Good 62" xfId="2721" xr:uid="{00000000-0005-0000-0000-0000E1500000}"/>
    <cellStyle name="Good 63" xfId="2722" xr:uid="{00000000-0005-0000-0000-0000E2500000}"/>
    <cellStyle name="Good 64" xfId="2723" xr:uid="{00000000-0005-0000-0000-0000E3500000}"/>
    <cellStyle name="Good 65" xfId="2724" xr:uid="{00000000-0005-0000-0000-0000E4500000}"/>
    <cellStyle name="Good 66" xfId="2725" xr:uid="{00000000-0005-0000-0000-0000E5500000}"/>
    <cellStyle name="Good 67" xfId="2726" xr:uid="{00000000-0005-0000-0000-0000E6500000}"/>
    <cellStyle name="Good 68" xfId="2727" xr:uid="{00000000-0005-0000-0000-0000E7500000}"/>
    <cellStyle name="Good 69" xfId="2728" xr:uid="{00000000-0005-0000-0000-0000E8500000}"/>
    <cellStyle name="Good 7" xfId="2729" xr:uid="{00000000-0005-0000-0000-0000E9500000}"/>
    <cellStyle name="Good 70" xfId="2730" xr:uid="{00000000-0005-0000-0000-0000EA500000}"/>
    <cellStyle name="Good 71" xfId="2731" xr:uid="{00000000-0005-0000-0000-0000EB500000}"/>
    <cellStyle name="Good 72" xfId="2732" xr:uid="{00000000-0005-0000-0000-0000EC500000}"/>
    <cellStyle name="Good 8" xfId="2733" xr:uid="{00000000-0005-0000-0000-0000ED500000}"/>
    <cellStyle name="Good 9" xfId="2734" xr:uid="{00000000-0005-0000-0000-0000EE500000}"/>
    <cellStyle name="Grey" xfId="38" xr:uid="{00000000-0005-0000-0000-0000EF500000}"/>
    <cellStyle name="header" xfId="39" xr:uid="{00000000-0005-0000-0000-0000F0500000}"/>
    <cellStyle name="Header1" xfId="40" xr:uid="{00000000-0005-0000-0000-0000F1500000}"/>
    <cellStyle name="Header1 2" xfId="25809" xr:uid="{00000000-0005-0000-0000-0000F2500000}"/>
    <cellStyle name="Header2" xfId="41" xr:uid="{00000000-0005-0000-0000-0000F3500000}"/>
    <cellStyle name="Header2 2" xfId="383" xr:uid="{00000000-0005-0000-0000-0000F4500000}"/>
    <cellStyle name="Header2 2 2" xfId="13782" xr:uid="{00000000-0005-0000-0000-0000F5500000}"/>
    <cellStyle name="Header2 2 2 2" xfId="25376" xr:uid="{00000000-0005-0000-0000-0000F6500000}"/>
    <cellStyle name="Header2 2 2 2 2" xfId="27530" xr:uid="{00000000-0005-0000-0000-0000F7500000}"/>
    <cellStyle name="Header2 2 2 2 2 2" xfId="32121" xr:uid="{C3B619B0-DC07-42E4-AA2E-9B018473B9F6}"/>
    <cellStyle name="Header2 2 2 2 3" xfId="29204" xr:uid="{00000000-0005-0000-0000-0000F8500000}"/>
    <cellStyle name="Header2 2 2 2 3 2" xfId="33187" xr:uid="{C2F66E54-A1E3-4C20-8A38-B7660639992D}"/>
    <cellStyle name="Header2 2 2 2 4" xfId="26314" xr:uid="{00000000-0005-0000-0000-0000F9500000}"/>
    <cellStyle name="Header2 2 2 2 4 2" xfId="31102" xr:uid="{4639B527-5D2E-4F98-A3F2-114D2F736E4C}"/>
    <cellStyle name="Header2 2 2 2 5" xfId="29362" xr:uid="{00000000-0005-0000-0000-0000FA500000}"/>
    <cellStyle name="Header2 2 2 2 6" xfId="30534" xr:uid="{1D05195A-62B3-43C6-A054-0E815CB92EAA}"/>
    <cellStyle name="Header2 2 2 3" xfId="29363" xr:uid="{00000000-0005-0000-0000-0000FB500000}"/>
    <cellStyle name="Header2 2 3" xfId="25280" xr:uid="{00000000-0005-0000-0000-0000FC500000}"/>
    <cellStyle name="Header2 2 3 2" xfId="27435" xr:uid="{00000000-0005-0000-0000-0000FD500000}"/>
    <cellStyle name="Header2 2 3 2 2" xfId="32030" xr:uid="{AC57F2A6-6527-4364-B8D8-D3A76DA1AFCF}"/>
    <cellStyle name="Header2 2 3 3" xfId="29186" xr:uid="{00000000-0005-0000-0000-0000FE500000}"/>
    <cellStyle name="Header2 2 3 3 2" xfId="33169" xr:uid="{D2BB6EC0-4099-4954-93FA-71AADF8AFB68}"/>
    <cellStyle name="Header2 2 3 4" xfId="26735" xr:uid="{00000000-0005-0000-0000-0000FF500000}"/>
    <cellStyle name="Header2 2 3 4 2" xfId="31496" xr:uid="{B3C7266E-46D2-46F3-A995-9EC2D975A107}"/>
    <cellStyle name="Header2 2 3 5" xfId="29361" xr:uid="{00000000-0005-0000-0000-000000510000}"/>
    <cellStyle name="Header2 2 3 6" xfId="30443" xr:uid="{6F8C5E05-49B9-4CBB-86A3-06197E626730}"/>
    <cellStyle name="Header2 2 4" xfId="29364" xr:uid="{00000000-0005-0000-0000-000001510000}"/>
    <cellStyle name="Header2 3" xfId="13607" xr:uid="{00000000-0005-0000-0000-000002510000}"/>
    <cellStyle name="Header2 3 2" xfId="25374" xr:uid="{00000000-0005-0000-0000-000003510000}"/>
    <cellStyle name="Header2 3 2 2" xfId="27528" xr:uid="{00000000-0005-0000-0000-000004510000}"/>
    <cellStyle name="Header2 3 2 2 2" xfId="32119" xr:uid="{0E0B95F6-27AD-450B-A1CA-C42EF0782D06}"/>
    <cellStyle name="Header2 3 2 3" xfId="29203" xr:uid="{00000000-0005-0000-0000-000005510000}"/>
    <cellStyle name="Header2 3 2 3 2" xfId="33186" xr:uid="{5B9D6D85-F64D-4449-9137-B04F29364A0B}"/>
    <cellStyle name="Header2 3 2 4" xfId="26953" xr:uid="{00000000-0005-0000-0000-000006510000}"/>
    <cellStyle name="Header2 3 2 4 2" xfId="31714" xr:uid="{5EC27C91-0051-4B63-A55A-4DE9120A926E}"/>
    <cellStyle name="Header2 3 2 5" xfId="29359" xr:uid="{00000000-0005-0000-0000-000007510000}"/>
    <cellStyle name="Header2 3 2 6" xfId="30532" xr:uid="{09954C51-BEC0-417A-B083-5782043466BD}"/>
    <cellStyle name="Header2 3 3" xfId="29360" xr:uid="{00000000-0005-0000-0000-000008510000}"/>
    <cellStyle name="Header2 4" xfId="24857" xr:uid="{00000000-0005-0000-0000-000009510000}"/>
    <cellStyle name="Header2 4 2" xfId="27318" xr:uid="{00000000-0005-0000-0000-00000A510000}"/>
    <cellStyle name="Header2 4 2 2" xfId="31937" xr:uid="{82CFEE61-3D7F-434F-8FF3-D49180B080D8}"/>
    <cellStyle name="Header2 4 3" xfId="26315" xr:uid="{00000000-0005-0000-0000-00000B510000}"/>
    <cellStyle name="Header2 4 3 2" xfId="31103" xr:uid="{F01EA148-9022-420A-B4B4-33EBD074D626}"/>
    <cellStyle name="Header2 4 4" xfId="26952" xr:uid="{00000000-0005-0000-0000-00000C510000}"/>
    <cellStyle name="Header2 4 4 2" xfId="31713" xr:uid="{3D47D7A6-1281-4E4A-BB5F-8A4A17244B69}"/>
    <cellStyle name="Header2 4 5" xfId="29404" xr:uid="{00000000-0005-0000-0000-00000D510000}"/>
    <cellStyle name="Header2 4 5 2" xfId="33347" xr:uid="{BEB23629-7218-4220-8871-F6BDF3D3031C}"/>
    <cellStyle name="Header2 4 6" xfId="29358" xr:uid="{00000000-0005-0000-0000-00000E510000}"/>
    <cellStyle name="Header2 5" xfId="29365" xr:uid="{00000000-0005-0000-0000-00000F510000}"/>
    <cellStyle name="Heading 1 10" xfId="2735" xr:uid="{00000000-0005-0000-0000-000010510000}"/>
    <cellStyle name="Heading 1 11" xfId="2736" xr:uid="{00000000-0005-0000-0000-000011510000}"/>
    <cellStyle name="Heading 1 12" xfId="2737" xr:uid="{00000000-0005-0000-0000-000012510000}"/>
    <cellStyle name="Heading 1 13" xfId="2738" xr:uid="{00000000-0005-0000-0000-000013510000}"/>
    <cellStyle name="Heading 1 14" xfId="2739" xr:uid="{00000000-0005-0000-0000-000014510000}"/>
    <cellStyle name="Heading 1 15" xfId="2740" xr:uid="{00000000-0005-0000-0000-000015510000}"/>
    <cellStyle name="Heading 1 16" xfId="2741" xr:uid="{00000000-0005-0000-0000-000016510000}"/>
    <cellStyle name="Heading 1 17" xfId="2742" xr:uid="{00000000-0005-0000-0000-000017510000}"/>
    <cellStyle name="Heading 1 18" xfId="2743" xr:uid="{00000000-0005-0000-0000-000018510000}"/>
    <cellStyle name="Heading 1 19" xfId="2744" xr:uid="{00000000-0005-0000-0000-000019510000}"/>
    <cellStyle name="Heading 1 2" xfId="42" xr:uid="{00000000-0005-0000-0000-00001A510000}"/>
    <cellStyle name="Heading 1 2 2" xfId="2745" xr:uid="{00000000-0005-0000-0000-00001B510000}"/>
    <cellStyle name="Heading 1 2 2 2" xfId="24104" xr:uid="{00000000-0005-0000-0000-00001C510000}"/>
    <cellStyle name="Heading 1 2 3" xfId="13608" xr:uid="{00000000-0005-0000-0000-00001D510000}"/>
    <cellStyle name="Heading 1 2 4" xfId="24103" xr:uid="{00000000-0005-0000-0000-00001E510000}"/>
    <cellStyle name="Heading 1 20" xfId="2746" xr:uid="{00000000-0005-0000-0000-00001F510000}"/>
    <cellStyle name="Heading 1 21" xfId="2747" xr:uid="{00000000-0005-0000-0000-000020510000}"/>
    <cellStyle name="Heading 1 22" xfId="2748" xr:uid="{00000000-0005-0000-0000-000021510000}"/>
    <cellStyle name="Heading 1 23" xfId="2749" xr:uid="{00000000-0005-0000-0000-000022510000}"/>
    <cellStyle name="Heading 1 24" xfId="2750" xr:uid="{00000000-0005-0000-0000-000023510000}"/>
    <cellStyle name="Heading 1 25" xfId="2751" xr:uid="{00000000-0005-0000-0000-000024510000}"/>
    <cellStyle name="Heading 1 26" xfId="2752" xr:uid="{00000000-0005-0000-0000-000025510000}"/>
    <cellStyle name="Heading 1 27" xfId="2753" xr:uid="{00000000-0005-0000-0000-000026510000}"/>
    <cellStyle name="Heading 1 28" xfId="2754" xr:uid="{00000000-0005-0000-0000-000027510000}"/>
    <cellStyle name="Heading 1 29" xfId="2755" xr:uid="{00000000-0005-0000-0000-000028510000}"/>
    <cellStyle name="Heading 1 3" xfId="2756" xr:uid="{00000000-0005-0000-0000-000029510000}"/>
    <cellStyle name="Heading 1 3 2" xfId="24105" xr:uid="{00000000-0005-0000-0000-00002A510000}"/>
    <cellStyle name="Heading 1 30" xfId="2757" xr:uid="{00000000-0005-0000-0000-00002B510000}"/>
    <cellStyle name="Heading 1 31" xfId="2758" xr:uid="{00000000-0005-0000-0000-00002C510000}"/>
    <cellStyle name="Heading 1 32" xfId="2759" xr:uid="{00000000-0005-0000-0000-00002D510000}"/>
    <cellStyle name="Heading 1 33" xfId="2760" xr:uid="{00000000-0005-0000-0000-00002E510000}"/>
    <cellStyle name="Heading 1 34" xfId="2761" xr:uid="{00000000-0005-0000-0000-00002F510000}"/>
    <cellStyle name="Heading 1 35" xfId="2762" xr:uid="{00000000-0005-0000-0000-000030510000}"/>
    <cellStyle name="Heading 1 36" xfId="2763" xr:uid="{00000000-0005-0000-0000-000031510000}"/>
    <cellStyle name="Heading 1 37" xfId="2764" xr:uid="{00000000-0005-0000-0000-000032510000}"/>
    <cellStyle name="Heading 1 38" xfId="2765" xr:uid="{00000000-0005-0000-0000-000033510000}"/>
    <cellStyle name="Heading 1 39" xfId="2766" xr:uid="{00000000-0005-0000-0000-000034510000}"/>
    <cellStyle name="Heading 1 4" xfId="2767" xr:uid="{00000000-0005-0000-0000-000035510000}"/>
    <cellStyle name="Heading 1 4 2" xfId="24106" xr:uid="{00000000-0005-0000-0000-000036510000}"/>
    <cellStyle name="Heading 1 40" xfId="2768" xr:uid="{00000000-0005-0000-0000-000037510000}"/>
    <cellStyle name="Heading 1 41" xfId="2769" xr:uid="{00000000-0005-0000-0000-000038510000}"/>
    <cellStyle name="Heading 1 42" xfId="2770" xr:uid="{00000000-0005-0000-0000-000039510000}"/>
    <cellStyle name="Heading 1 43" xfId="2771" xr:uid="{00000000-0005-0000-0000-00003A510000}"/>
    <cellStyle name="Heading 1 44" xfId="2772" xr:uid="{00000000-0005-0000-0000-00003B510000}"/>
    <cellStyle name="Heading 1 45" xfId="2773" xr:uid="{00000000-0005-0000-0000-00003C510000}"/>
    <cellStyle name="Heading 1 46" xfId="2774" xr:uid="{00000000-0005-0000-0000-00003D510000}"/>
    <cellStyle name="Heading 1 47" xfId="2775" xr:uid="{00000000-0005-0000-0000-00003E510000}"/>
    <cellStyle name="Heading 1 48" xfId="2776" xr:uid="{00000000-0005-0000-0000-00003F510000}"/>
    <cellStyle name="Heading 1 49" xfId="2777" xr:uid="{00000000-0005-0000-0000-000040510000}"/>
    <cellStyle name="Heading 1 5" xfId="2778" xr:uid="{00000000-0005-0000-0000-000041510000}"/>
    <cellStyle name="Heading 1 50" xfId="2779" xr:uid="{00000000-0005-0000-0000-000042510000}"/>
    <cellStyle name="Heading 1 51" xfId="2780" xr:uid="{00000000-0005-0000-0000-000043510000}"/>
    <cellStyle name="Heading 1 52" xfId="2781" xr:uid="{00000000-0005-0000-0000-000044510000}"/>
    <cellStyle name="Heading 1 53" xfId="2782" xr:uid="{00000000-0005-0000-0000-000045510000}"/>
    <cellStyle name="Heading 1 54" xfId="2783" xr:uid="{00000000-0005-0000-0000-000046510000}"/>
    <cellStyle name="Heading 1 55" xfId="2784" xr:uid="{00000000-0005-0000-0000-000047510000}"/>
    <cellStyle name="Heading 1 56" xfId="2785" xr:uid="{00000000-0005-0000-0000-000048510000}"/>
    <cellStyle name="Heading 1 57" xfId="2786" xr:uid="{00000000-0005-0000-0000-000049510000}"/>
    <cellStyle name="Heading 1 58" xfId="2787" xr:uid="{00000000-0005-0000-0000-00004A510000}"/>
    <cellStyle name="Heading 1 59" xfId="2788" xr:uid="{00000000-0005-0000-0000-00004B510000}"/>
    <cellStyle name="Heading 1 6" xfId="2789" xr:uid="{00000000-0005-0000-0000-00004C510000}"/>
    <cellStyle name="Heading 1 60" xfId="2790" xr:uid="{00000000-0005-0000-0000-00004D510000}"/>
    <cellStyle name="Heading 1 61" xfId="2791" xr:uid="{00000000-0005-0000-0000-00004E510000}"/>
    <cellStyle name="Heading 1 62" xfId="2792" xr:uid="{00000000-0005-0000-0000-00004F510000}"/>
    <cellStyle name="Heading 1 63" xfId="2793" xr:uid="{00000000-0005-0000-0000-000050510000}"/>
    <cellStyle name="Heading 1 64" xfId="2794" xr:uid="{00000000-0005-0000-0000-000051510000}"/>
    <cellStyle name="Heading 1 65" xfId="2795" xr:uid="{00000000-0005-0000-0000-000052510000}"/>
    <cellStyle name="Heading 1 66" xfId="2796" xr:uid="{00000000-0005-0000-0000-000053510000}"/>
    <cellStyle name="Heading 1 67" xfId="2797" xr:uid="{00000000-0005-0000-0000-000054510000}"/>
    <cellStyle name="Heading 1 68" xfId="2798" xr:uid="{00000000-0005-0000-0000-000055510000}"/>
    <cellStyle name="Heading 1 69" xfId="2799" xr:uid="{00000000-0005-0000-0000-000056510000}"/>
    <cellStyle name="Heading 1 7" xfId="2800" xr:uid="{00000000-0005-0000-0000-000057510000}"/>
    <cellStyle name="Heading 1 70" xfId="2801" xr:uid="{00000000-0005-0000-0000-000058510000}"/>
    <cellStyle name="Heading 1 71" xfId="2802" xr:uid="{00000000-0005-0000-0000-000059510000}"/>
    <cellStyle name="Heading 1 72" xfId="2803" xr:uid="{00000000-0005-0000-0000-00005A510000}"/>
    <cellStyle name="Heading 1 73" xfId="23920" xr:uid="{00000000-0005-0000-0000-00005B510000}"/>
    <cellStyle name="Heading 1 8" xfId="2804" xr:uid="{00000000-0005-0000-0000-00005C510000}"/>
    <cellStyle name="Heading 1 9" xfId="2805" xr:uid="{00000000-0005-0000-0000-00005D510000}"/>
    <cellStyle name="Heading 2 10" xfId="2806" xr:uid="{00000000-0005-0000-0000-00005E510000}"/>
    <cellStyle name="Heading 2 11" xfId="2807" xr:uid="{00000000-0005-0000-0000-00005F510000}"/>
    <cellStyle name="Heading 2 12" xfId="2808" xr:uid="{00000000-0005-0000-0000-000060510000}"/>
    <cellStyle name="Heading 2 13" xfId="2809" xr:uid="{00000000-0005-0000-0000-000061510000}"/>
    <cellStyle name="Heading 2 14" xfId="2810" xr:uid="{00000000-0005-0000-0000-000062510000}"/>
    <cellStyle name="Heading 2 15" xfId="2811" xr:uid="{00000000-0005-0000-0000-000063510000}"/>
    <cellStyle name="Heading 2 16" xfId="2812" xr:uid="{00000000-0005-0000-0000-000064510000}"/>
    <cellStyle name="Heading 2 17" xfId="2813" xr:uid="{00000000-0005-0000-0000-000065510000}"/>
    <cellStyle name="Heading 2 18" xfId="2814" xr:uid="{00000000-0005-0000-0000-000066510000}"/>
    <cellStyle name="Heading 2 19" xfId="2815" xr:uid="{00000000-0005-0000-0000-000067510000}"/>
    <cellStyle name="Heading 2 2" xfId="43" xr:uid="{00000000-0005-0000-0000-000068510000}"/>
    <cellStyle name="Heading 2 2 2" xfId="2816" xr:uid="{00000000-0005-0000-0000-000069510000}"/>
    <cellStyle name="Heading 2 2 2 2" xfId="24108" xr:uid="{00000000-0005-0000-0000-00006A510000}"/>
    <cellStyle name="Heading 2 2 3" xfId="13609" xr:uid="{00000000-0005-0000-0000-00006B510000}"/>
    <cellStyle name="Heading 2 2 4" xfId="24107" xr:uid="{00000000-0005-0000-0000-00006C510000}"/>
    <cellStyle name="Heading 2 20" xfId="2817" xr:uid="{00000000-0005-0000-0000-00006D510000}"/>
    <cellStyle name="Heading 2 21" xfId="2818" xr:uid="{00000000-0005-0000-0000-00006E510000}"/>
    <cellStyle name="Heading 2 22" xfId="2819" xr:uid="{00000000-0005-0000-0000-00006F510000}"/>
    <cellStyle name="Heading 2 23" xfId="2820" xr:uid="{00000000-0005-0000-0000-000070510000}"/>
    <cellStyle name="Heading 2 24" xfId="2821" xr:uid="{00000000-0005-0000-0000-000071510000}"/>
    <cellStyle name="Heading 2 25" xfId="2822" xr:uid="{00000000-0005-0000-0000-000072510000}"/>
    <cellStyle name="Heading 2 26" xfId="2823" xr:uid="{00000000-0005-0000-0000-000073510000}"/>
    <cellStyle name="Heading 2 27" xfId="2824" xr:uid="{00000000-0005-0000-0000-000074510000}"/>
    <cellStyle name="Heading 2 28" xfId="2825" xr:uid="{00000000-0005-0000-0000-000075510000}"/>
    <cellStyle name="Heading 2 29" xfId="2826" xr:uid="{00000000-0005-0000-0000-000076510000}"/>
    <cellStyle name="Heading 2 3" xfId="2827" xr:uid="{00000000-0005-0000-0000-000077510000}"/>
    <cellStyle name="Heading 2 3 2" xfId="24109" xr:uid="{00000000-0005-0000-0000-000078510000}"/>
    <cellStyle name="Heading 2 30" xfId="2828" xr:uid="{00000000-0005-0000-0000-000079510000}"/>
    <cellStyle name="Heading 2 31" xfId="2829" xr:uid="{00000000-0005-0000-0000-00007A510000}"/>
    <cellStyle name="Heading 2 32" xfId="2830" xr:uid="{00000000-0005-0000-0000-00007B510000}"/>
    <cellStyle name="Heading 2 33" xfId="2831" xr:uid="{00000000-0005-0000-0000-00007C510000}"/>
    <cellStyle name="Heading 2 34" xfId="2832" xr:uid="{00000000-0005-0000-0000-00007D510000}"/>
    <cellStyle name="Heading 2 35" xfId="2833" xr:uid="{00000000-0005-0000-0000-00007E510000}"/>
    <cellStyle name="Heading 2 36" xfId="2834" xr:uid="{00000000-0005-0000-0000-00007F510000}"/>
    <cellStyle name="Heading 2 37" xfId="2835" xr:uid="{00000000-0005-0000-0000-000080510000}"/>
    <cellStyle name="Heading 2 38" xfId="2836" xr:uid="{00000000-0005-0000-0000-000081510000}"/>
    <cellStyle name="Heading 2 39" xfId="2837" xr:uid="{00000000-0005-0000-0000-000082510000}"/>
    <cellStyle name="Heading 2 4" xfId="2838" xr:uid="{00000000-0005-0000-0000-000083510000}"/>
    <cellStyle name="Heading 2 4 2" xfId="24110" xr:uid="{00000000-0005-0000-0000-000084510000}"/>
    <cellStyle name="Heading 2 40" xfId="2839" xr:uid="{00000000-0005-0000-0000-000085510000}"/>
    <cellStyle name="Heading 2 41" xfId="2840" xr:uid="{00000000-0005-0000-0000-000086510000}"/>
    <cellStyle name="Heading 2 42" xfId="2841" xr:uid="{00000000-0005-0000-0000-000087510000}"/>
    <cellStyle name="Heading 2 43" xfId="2842" xr:uid="{00000000-0005-0000-0000-000088510000}"/>
    <cellStyle name="Heading 2 44" xfId="2843" xr:uid="{00000000-0005-0000-0000-000089510000}"/>
    <cellStyle name="Heading 2 45" xfId="2844" xr:uid="{00000000-0005-0000-0000-00008A510000}"/>
    <cellStyle name="Heading 2 46" xfId="2845" xr:uid="{00000000-0005-0000-0000-00008B510000}"/>
    <cellStyle name="Heading 2 47" xfId="2846" xr:uid="{00000000-0005-0000-0000-00008C510000}"/>
    <cellStyle name="Heading 2 48" xfId="2847" xr:uid="{00000000-0005-0000-0000-00008D510000}"/>
    <cellStyle name="Heading 2 49" xfId="2848" xr:uid="{00000000-0005-0000-0000-00008E510000}"/>
    <cellStyle name="Heading 2 5" xfId="2849" xr:uid="{00000000-0005-0000-0000-00008F510000}"/>
    <cellStyle name="Heading 2 50" xfId="2850" xr:uid="{00000000-0005-0000-0000-000090510000}"/>
    <cellStyle name="Heading 2 51" xfId="2851" xr:uid="{00000000-0005-0000-0000-000091510000}"/>
    <cellStyle name="Heading 2 52" xfId="2852" xr:uid="{00000000-0005-0000-0000-000092510000}"/>
    <cellStyle name="Heading 2 53" xfId="2853" xr:uid="{00000000-0005-0000-0000-000093510000}"/>
    <cellStyle name="Heading 2 54" xfId="2854" xr:uid="{00000000-0005-0000-0000-000094510000}"/>
    <cellStyle name="Heading 2 55" xfId="2855" xr:uid="{00000000-0005-0000-0000-000095510000}"/>
    <cellStyle name="Heading 2 56" xfId="2856" xr:uid="{00000000-0005-0000-0000-000096510000}"/>
    <cellStyle name="Heading 2 57" xfId="2857" xr:uid="{00000000-0005-0000-0000-000097510000}"/>
    <cellStyle name="Heading 2 58" xfId="2858" xr:uid="{00000000-0005-0000-0000-000098510000}"/>
    <cellStyle name="Heading 2 59" xfId="2859" xr:uid="{00000000-0005-0000-0000-000099510000}"/>
    <cellStyle name="Heading 2 6" xfId="2860" xr:uid="{00000000-0005-0000-0000-00009A510000}"/>
    <cellStyle name="Heading 2 60" xfId="2861" xr:uid="{00000000-0005-0000-0000-00009B510000}"/>
    <cellStyle name="Heading 2 61" xfId="2862" xr:uid="{00000000-0005-0000-0000-00009C510000}"/>
    <cellStyle name="Heading 2 62" xfId="2863" xr:uid="{00000000-0005-0000-0000-00009D510000}"/>
    <cellStyle name="Heading 2 63" xfId="2864" xr:uid="{00000000-0005-0000-0000-00009E510000}"/>
    <cellStyle name="Heading 2 64" xfId="2865" xr:uid="{00000000-0005-0000-0000-00009F510000}"/>
    <cellStyle name="Heading 2 65" xfId="2866" xr:uid="{00000000-0005-0000-0000-0000A0510000}"/>
    <cellStyle name="Heading 2 66" xfId="2867" xr:uid="{00000000-0005-0000-0000-0000A1510000}"/>
    <cellStyle name="Heading 2 67" xfId="2868" xr:uid="{00000000-0005-0000-0000-0000A2510000}"/>
    <cellStyle name="Heading 2 68" xfId="2869" xr:uid="{00000000-0005-0000-0000-0000A3510000}"/>
    <cellStyle name="Heading 2 69" xfId="2870" xr:uid="{00000000-0005-0000-0000-0000A4510000}"/>
    <cellStyle name="Heading 2 7" xfId="2871" xr:uid="{00000000-0005-0000-0000-0000A5510000}"/>
    <cellStyle name="Heading 2 70" xfId="2872" xr:uid="{00000000-0005-0000-0000-0000A6510000}"/>
    <cellStyle name="Heading 2 71" xfId="2873" xr:uid="{00000000-0005-0000-0000-0000A7510000}"/>
    <cellStyle name="Heading 2 72" xfId="2874" xr:uid="{00000000-0005-0000-0000-0000A8510000}"/>
    <cellStyle name="Heading 2 73" xfId="23921" xr:uid="{00000000-0005-0000-0000-0000A9510000}"/>
    <cellStyle name="Heading 2 8" xfId="2875" xr:uid="{00000000-0005-0000-0000-0000AA510000}"/>
    <cellStyle name="Heading 2 9" xfId="2876" xr:uid="{00000000-0005-0000-0000-0000AB510000}"/>
    <cellStyle name="Heading 3 10" xfId="2877" xr:uid="{00000000-0005-0000-0000-0000AC510000}"/>
    <cellStyle name="Heading 3 11" xfId="2878" xr:uid="{00000000-0005-0000-0000-0000AD510000}"/>
    <cellStyle name="Heading 3 12" xfId="2879" xr:uid="{00000000-0005-0000-0000-0000AE510000}"/>
    <cellStyle name="Heading 3 13" xfId="2880" xr:uid="{00000000-0005-0000-0000-0000AF510000}"/>
    <cellStyle name="Heading 3 14" xfId="2881" xr:uid="{00000000-0005-0000-0000-0000B0510000}"/>
    <cellStyle name="Heading 3 15" xfId="2882" xr:uid="{00000000-0005-0000-0000-0000B1510000}"/>
    <cellStyle name="Heading 3 16" xfId="2883" xr:uid="{00000000-0005-0000-0000-0000B2510000}"/>
    <cellStyle name="Heading 3 17" xfId="2884" xr:uid="{00000000-0005-0000-0000-0000B3510000}"/>
    <cellStyle name="Heading 3 18" xfId="2885" xr:uid="{00000000-0005-0000-0000-0000B4510000}"/>
    <cellStyle name="Heading 3 19" xfId="2886" xr:uid="{00000000-0005-0000-0000-0000B5510000}"/>
    <cellStyle name="Heading 3 2" xfId="2887" xr:uid="{00000000-0005-0000-0000-0000B6510000}"/>
    <cellStyle name="Heading 3 2 2" xfId="24112" xr:uid="{00000000-0005-0000-0000-0000B7510000}"/>
    <cellStyle name="Heading 3 2 3" xfId="24111" xr:uid="{00000000-0005-0000-0000-0000B8510000}"/>
    <cellStyle name="Heading 3 20" xfId="2888" xr:uid="{00000000-0005-0000-0000-0000B9510000}"/>
    <cellStyle name="Heading 3 21" xfId="2889" xr:uid="{00000000-0005-0000-0000-0000BA510000}"/>
    <cellStyle name="Heading 3 22" xfId="2890" xr:uid="{00000000-0005-0000-0000-0000BB510000}"/>
    <cellStyle name="Heading 3 23" xfId="2891" xr:uid="{00000000-0005-0000-0000-0000BC510000}"/>
    <cellStyle name="Heading 3 24" xfId="2892" xr:uid="{00000000-0005-0000-0000-0000BD510000}"/>
    <cellStyle name="Heading 3 25" xfId="2893" xr:uid="{00000000-0005-0000-0000-0000BE510000}"/>
    <cellStyle name="Heading 3 26" xfId="2894" xr:uid="{00000000-0005-0000-0000-0000BF510000}"/>
    <cellStyle name="Heading 3 27" xfId="2895" xr:uid="{00000000-0005-0000-0000-0000C0510000}"/>
    <cellStyle name="Heading 3 28" xfId="2896" xr:uid="{00000000-0005-0000-0000-0000C1510000}"/>
    <cellStyle name="Heading 3 29" xfId="2897" xr:uid="{00000000-0005-0000-0000-0000C2510000}"/>
    <cellStyle name="Heading 3 3" xfId="2898" xr:uid="{00000000-0005-0000-0000-0000C3510000}"/>
    <cellStyle name="Heading 3 3 2" xfId="24113" xr:uid="{00000000-0005-0000-0000-0000C4510000}"/>
    <cellStyle name="Heading 3 30" xfId="2899" xr:uid="{00000000-0005-0000-0000-0000C5510000}"/>
    <cellStyle name="Heading 3 31" xfId="2900" xr:uid="{00000000-0005-0000-0000-0000C6510000}"/>
    <cellStyle name="Heading 3 32" xfId="2901" xr:uid="{00000000-0005-0000-0000-0000C7510000}"/>
    <cellStyle name="Heading 3 33" xfId="2902" xr:uid="{00000000-0005-0000-0000-0000C8510000}"/>
    <cellStyle name="Heading 3 34" xfId="2903" xr:uid="{00000000-0005-0000-0000-0000C9510000}"/>
    <cellStyle name="Heading 3 35" xfId="2904" xr:uid="{00000000-0005-0000-0000-0000CA510000}"/>
    <cellStyle name="Heading 3 36" xfId="2905" xr:uid="{00000000-0005-0000-0000-0000CB510000}"/>
    <cellStyle name="Heading 3 37" xfId="2906" xr:uid="{00000000-0005-0000-0000-0000CC510000}"/>
    <cellStyle name="Heading 3 38" xfId="2907" xr:uid="{00000000-0005-0000-0000-0000CD510000}"/>
    <cellStyle name="Heading 3 39" xfId="2908" xr:uid="{00000000-0005-0000-0000-0000CE510000}"/>
    <cellStyle name="Heading 3 4" xfId="2909" xr:uid="{00000000-0005-0000-0000-0000CF510000}"/>
    <cellStyle name="Heading 3 4 2" xfId="24114" xr:uid="{00000000-0005-0000-0000-0000D0510000}"/>
    <cellStyle name="Heading 3 40" xfId="2910" xr:uid="{00000000-0005-0000-0000-0000D1510000}"/>
    <cellStyle name="Heading 3 41" xfId="2911" xr:uid="{00000000-0005-0000-0000-0000D2510000}"/>
    <cellStyle name="Heading 3 42" xfId="2912" xr:uid="{00000000-0005-0000-0000-0000D3510000}"/>
    <cellStyle name="Heading 3 43" xfId="2913" xr:uid="{00000000-0005-0000-0000-0000D4510000}"/>
    <cellStyle name="Heading 3 44" xfId="2914" xr:uid="{00000000-0005-0000-0000-0000D5510000}"/>
    <cellStyle name="Heading 3 45" xfId="2915" xr:uid="{00000000-0005-0000-0000-0000D6510000}"/>
    <cellStyle name="Heading 3 46" xfId="2916" xr:uid="{00000000-0005-0000-0000-0000D7510000}"/>
    <cellStyle name="Heading 3 47" xfId="2917" xr:uid="{00000000-0005-0000-0000-0000D8510000}"/>
    <cellStyle name="Heading 3 48" xfId="2918" xr:uid="{00000000-0005-0000-0000-0000D9510000}"/>
    <cellStyle name="Heading 3 49" xfId="2919" xr:uid="{00000000-0005-0000-0000-0000DA510000}"/>
    <cellStyle name="Heading 3 5" xfId="2920" xr:uid="{00000000-0005-0000-0000-0000DB510000}"/>
    <cellStyle name="Heading 3 50" xfId="2921" xr:uid="{00000000-0005-0000-0000-0000DC510000}"/>
    <cellStyle name="Heading 3 51" xfId="2922" xr:uid="{00000000-0005-0000-0000-0000DD510000}"/>
    <cellStyle name="Heading 3 52" xfId="2923" xr:uid="{00000000-0005-0000-0000-0000DE510000}"/>
    <cellStyle name="Heading 3 53" xfId="2924" xr:uid="{00000000-0005-0000-0000-0000DF510000}"/>
    <cellStyle name="Heading 3 54" xfId="2925" xr:uid="{00000000-0005-0000-0000-0000E0510000}"/>
    <cellStyle name="Heading 3 55" xfId="2926" xr:uid="{00000000-0005-0000-0000-0000E1510000}"/>
    <cellStyle name="Heading 3 56" xfId="2927" xr:uid="{00000000-0005-0000-0000-0000E2510000}"/>
    <cellStyle name="Heading 3 57" xfId="2928" xr:uid="{00000000-0005-0000-0000-0000E3510000}"/>
    <cellStyle name="Heading 3 58" xfId="2929" xr:uid="{00000000-0005-0000-0000-0000E4510000}"/>
    <cellStyle name="Heading 3 59" xfId="2930" xr:uid="{00000000-0005-0000-0000-0000E5510000}"/>
    <cellStyle name="Heading 3 6" xfId="2931" xr:uid="{00000000-0005-0000-0000-0000E6510000}"/>
    <cellStyle name="Heading 3 60" xfId="2932" xr:uid="{00000000-0005-0000-0000-0000E7510000}"/>
    <cellStyle name="Heading 3 61" xfId="2933" xr:uid="{00000000-0005-0000-0000-0000E8510000}"/>
    <cellStyle name="Heading 3 62" xfId="2934" xr:uid="{00000000-0005-0000-0000-0000E9510000}"/>
    <cellStyle name="Heading 3 63" xfId="2935" xr:uid="{00000000-0005-0000-0000-0000EA510000}"/>
    <cellStyle name="Heading 3 64" xfId="2936" xr:uid="{00000000-0005-0000-0000-0000EB510000}"/>
    <cellStyle name="Heading 3 65" xfId="2937" xr:uid="{00000000-0005-0000-0000-0000EC510000}"/>
    <cellStyle name="Heading 3 66" xfId="2938" xr:uid="{00000000-0005-0000-0000-0000ED510000}"/>
    <cellStyle name="Heading 3 67" xfId="2939" xr:uid="{00000000-0005-0000-0000-0000EE510000}"/>
    <cellStyle name="Heading 3 68" xfId="2940" xr:uid="{00000000-0005-0000-0000-0000EF510000}"/>
    <cellStyle name="Heading 3 69" xfId="2941" xr:uid="{00000000-0005-0000-0000-0000F0510000}"/>
    <cellStyle name="Heading 3 7" xfId="2942" xr:uid="{00000000-0005-0000-0000-0000F1510000}"/>
    <cellStyle name="Heading 3 70" xfId="2943" xr:uid="{00000000-0005-0000-0000-0000F2510000}"/>
    <cellStyle name="Heading 3 71" xfId="2944" xr:uid="{00000000-0005-0000-0000-0000F3510000}"/>
    <cellStyle name="Heading 3 72" xfId="2945" xr:uid="{00000000-0005-0000-0000-0000F4510000}"/>
    <cellStyle name="Heading 3 8" xfId="2946" xr:uid="{00000000-0005-0000-0000-0000F5510000}"/>
    <cellStyle name="Heading 3 9" xfId="2947" xr:uid="{00000000-0005-0000-0000-0000F6510000}"/>
    <cellStyle name="Heading 4 10" xfId="2948" xr:uid="{00000000-0005-0000-0000-0000F7510000}"/>
    <cellStyle name="Heading 4 11" xfId="2949" xr:uid="{00000000-0005-0000-0000-0000F8510000}"/>
    <cellStyle name="Heading 4 12" xfId="2950" xr:uid="{00000000-0005-0000-0000-0000F9510000}"/>
    <cellStyle name="Heading 4 13" xfId="2951" xr:uid="{00000000-0005-0000-0000-0000FA510000}"/>
    <cellStyle name="Heading 4 14" xfId="2952" xr:uid="{00000000-0005-0000-0000-0000FB510000}"/>
    <cellStyle name="Heading 4 15" xfId="2953" xr:uid="{00000000-0005-0000-0000-0000FC510000}"/>
    <cellStyle name="Heading 4 16" xfId="2954" xr:uid="{00000000-0005-0000-0000-0000FD510000}"/>
    <cellStyle name="Heading 4 17" xfId="2955" xr:uid="{00000000-0005-0000-0000-0000FE510000}"/>
    <cellStyle name="Heading 4 18" xfId="2956" xr:uid="{00000000-0005-0000-0000-0000FF510000}"/>
    <cellStyle name="Heading 4 19" xfId="2957" xr:uid="{00000000-0005-0000-0000-000000520000}"/>
    <cellStyle name="Heading 4 2" xfId="2958" xr:uid="{00000000-0005-0000-0000-000001520000}"/>
    <cellStyle name="Heading 4 2 2" xfId="24116" xr:uid="{00000000-0005-0000-0000-000002520000}"/>
    <cellStyle name="Heading 4 2 3" xfId="24115" xr:uid="{00000000-0005-0000-0000-000003520000}"/>
    <cellStyle name="Heading 4 20" xfId="2959" xr:uid="{00000000-0005-0000-0000-000004520000}"/>
    <cellStyle name="Heading 4 21" xfId="2960" xr:uid="{00000000-0005-0000-0000-000005520000}"/>
    <cellStyle name="Heading 4 22" xfId="2961" xr:uid="{00000000-0005-0000-0000-000006520000}"/>
    <cellStyle name="Heading 4 23" xfId="2962" xr:uid="{00000000-0005-0000-0000-000007520000}"/>
    <cellStyle name="Heading 4 24" xfId="2963" xr:uid="{00000000-0005-0000-0000-000008520000}"/>
    <cellStyle name="Heading 4 25" xfId="2964" xr:uid="{00000000-0005-0000-0000-000009520000}"/>
    <cellStyle name="Heading 4 26" xfId="2965" xr:uid="{00000000-0005-0000-0000-00000A520000}"/>
    <cellStyle name="Heading 4 27" xfId="2966" xr:uid="{00000000-0005-0000-0000-00000B520000}"/>
    <cellStyle name="Heading 4 28" xfId="2967" xr:uid="{00000000-0005-0000-0000-00000C520000}"/>
    <cellStyle name="Heading 4 29" xfId="2968" xr:uid="{00000000-0005-0000-0000-00000D520000}"/>
    <cellStyle name="Heading 4 3" xfId="2969" xr:uid="{00000000-0005-0000-0000-00000E520000}"/>
    <cellStyle name="Heading 4 3 2" xfId="24117" xr:uid="{00000000-0005-0000-0000-00000F520000}"/>
    <cellStyle name="Heading 4 30" xfId="2970" xr:uid="{00000000-0005-0000-0000-000010520000}"/>
    <cellStyle name="Heading 4 31" xfId="2971" xr:uid="{00000000-0005-0000-0000-000011520000}"/>
    <cellStyle name="Heading 4 32" xfId="2972" xr:uid="{00000000-0005-0000-0000-000012520000}"/>
    <cellStyle name="Heading 4 33" xfId="2973" xr:uid="{00000000-0005-0000-0000-000013520000}"/>
    <cellStyle name="Heading 4 34" xfId="2974" xr:uid="{00000000-0005-0000-0000-000014520000}"/>
    <cellStyle name="Heading 4 35" xfId="2975" xr:uid="{00000000-0005-0000-0000-000015520000}"/>
    <cellStyle name="Heading 4 36" xfId="2976" xr:uid="{00000000-0005-0000-0000-000016520000}"/>
    <cellStyle name="Heading 4 37" xfId="2977" xr:uid="{00000000-0005-0000-0000-000017520000}"/>
    <cellStyle name="Heading 4 38" xfId="2978" xr:uid="{00000000-0005-0000-0000-000018520000}"/>
    <cellStyle name="Heading 4 39" xfId="2979" xr:uid="{00000000-0005-0000-0000-000019520000}"/>
    <cellStyle name="Heading 4 4" xfId="2980" xr:uid="{00000000-0005-0000-0000-00001A520000}"/>
    <cellStyle name="Heading 4 4 2" xfId="24118" xr:uid="{00000000-0005-0000-0000-00001B520000}"/>
    <cellStyle name="Heading 4 40" xfId="2981" xr:uid="{00000000-0005-0000-0000-00001C520000}"/>
    <cellStyle name="Heading 4 41" xfId="2982" xr:uid="{00000000-0005-0000-0000-00001D520000}"/>
    <cellStyle name="Heading 4 42" xfId="2983" xr:uid="{00000000-0005-0000-0000-00001E520000}"/>
    <cellStyle name="Heading 4 43" xfId="2984" xr:uid="{00000000-0005-0000-0000-00001F520000}"/>
    <cellStyle name="Heading 4 44" xfId="2985" xr:uid="{00000000-0005-0000-0000-000020520000}"/>
    <cellStyle name="Heading 4 45" xfId="2986" xr:uid="{00000000-0005-0000-0000-000021520000}"/>
    <cellStyle name="Heading 4 46" xfId="2987" xr:uid="{00000000-0005-0000-0000-000022520000}"/>
    <cellStyle name="Heading 4 47" xfId="2988" xr:uid="{00000000-0005-0000-0000-000023520000}"/>
    <cellStyle name="Heading 4 48" xfId="2989" xr:uid="{00000000-0005-0000-0000-000024520000}"/>
    <cellStyle name="Heading 4 49" xfId="2990" xr:uid="{00000000-0005-0000-0000-000025520000}"/>
    <cellStyle name="Heading 4 5" xfId="2991" xr:uid="{00000000-0005-0000-0000-000026520000}"/>
    <cellStyle name="Heading 4 50" xfId="2992" xr:uid="{00000000-0005-0000-0000-000027520000}"/>
    <cellStyle name="Heading 4 51" xfId="2993" xr:uid="{00000000-0005-0000-0000-000028520000}"/>
    <cellStyle name="Heading 4 52" xfId="2994" xr:uid="{00000000-0005-0000-0000-000029520000}"/>
    <cellStyle name="Heading 4 53" xfId="2995" xr:uid="{00000000-0005-0000-0000-00002A520000}"/>
    <cellStyle name="Heading 4 54" xfId="2996" xr:uid="{00000000-0005-0000-0000-00002B520000}"/>
    <cellStyle name="Heading 4 55" xfId="2997" xr:uid="{00000000-0005-0000-0000-00002C520000}"/>
    <cellStyle name="Heading 4 56" xfId="2998" xr:uid="{00000000-0005-0000-0000-00002D520000}"/>
    <cellStyle name="Heading 4 57" xfId="2999" xr:uid="{00000000-0005-0000-0000-00002E520000}"/>
    <cellStyle name="Heading 4 58" xfId="3000" xr:uid="{00000000-0005-0000-0000-00002F520000}"/>
    <cellStyle name="Heading 4 59" xfId="3001" xr:uid="{00000000-0005-0000-0000-000030520000}"/>
    <cellStyle name="Heading 4 6" xfId="3002" xr:uid="{00000000-0005-0000-0000-000031520000}"/>
    <cellStyle name="Heading 4 60" xfId="3003" xr:uid="{00000000-0005-0000-0000-000032520000}"/>
    <cellStyle name="Heading 4 61" xfId="3004" xr:uid="{00000000-0005-0000-0000-000033520000}"/>
    <cellStyle name="Heading 4 62" xfId="3005" xr:uid="{00000000-0005-0000-0000-000034520000}"/>
    <cellStyle name="Heading 4 63" xfId="3006" xr:uid="{00000000-0005-0000-0000-000035520000}"/>
    <cellStyle name="Heading 4 64" xfId="3007" xr:uid="{00000000-0005-0000-0000-000036520000}"/>
    <cellStyle name="Heading 4 65" xfId="3008" xr:uid="{00000000-0005-0000-0000-000037520000}"/>
    <cellStyle name="Heading 4 66" xfId="3009" xr:uid="{00000000-0005-0000-0000-000038520000}"/>
    <cellStyle name="Heading 4 67" xfId="3010" xr:uid="{00000000-0005-0000-0000-000039520000}"/>
    <cellStyle name="Heading 4 68" xfId="3011" xr:uid="{00000000-0005-0000-0000-00003A520000}"/>
    <cellStyle name="Heading 4 69" xfId="3012" xr:uid="{00000000-0005-0000-0000-00003B520000}"/>
    <cellStyle name="Heading 4 7" xfId="3013" xr:uid="{00000000-0005-0000-0000-00003C520000}"/>
    <cellStyle name="Heading 4 70" xfId="3014" xr:uid="{00000000-0005-0000-0000-00003D520000}"/>
    <cellStyle name="Heading 4 71" xfId="3015" xr:uid="{00000000-0005-0000-0000-00003E520000}"/>
    <cellStyle name="Heading 4 72" xfId="3016" xr:uid="{00000000-0005-0000-0000-00003F520000}"/>
    <cellStyle name="Heading 4 8" xfId="3017" xr:uid="{00000000-0005-0000-0000-000040520000}"/>
    <cellStyle name="Heading 4 9" xfId="3018" xr:uid="{00000000-0005-0000-0000-000041520000}"/>
    <cellStyle name="HEADING1" xfId="570" xr:uid="{00000000-0005-0000-0000-000042520000}"/>
    <cellStyle name="HEADING2" xfId="571" xr:uid="{00000000-0005-0000-0000-000043520000}"/>
    <cellStyle name="HEADING2 2" xfId="24119" xr:uid="{00000000-0005-0000-0000-000044520000}"/>
    <cellStyle name="Hyperlink" xfId="4620" builtinId="8" customBuiltin="1"/>
    <cellStyle name="Hyperlink 2" xfId="645" xr:uid="{00000000-0005-0000-0000-000046520000}"/>
    <cellStyle name="Hyperlink 2 2" xfId="3019" xr:uid="{00000000-0005-0000-0000-000047520000}"/>
    <cellStyle name="Hyperlink 3" xfId="3020" xr:uid="{00000000-0005-0000-0000-000048520000}"/>
    <cellStyle name="Hyperlink 4" xfId="23892" xr:uid="{00000000-0005-0000-0000-000049520000}"/>
    <cellStyle name="Input [yellow]" xfId="44" xr:uid="{00000000-0005-0000-0000-00004A520000}"/>
    <cellStyle name="Input [yellow] 2" xfId="24553" xr:uid="{00000000-0005-0000-0000-00004B520000}"/>
    <cellStyle name="Input 10" xfId="189" xr:uid="{00000000-0005-0000-0000-00004C520000}"/>
    <cellStyle name="Input 10 2" xfId="3021" xr:uid="{00000000-0005-0000-0000-00004D520000}"/>
    <cellStyle name="Input 10 3" xfId="13690" xr:uid="{00000000-0005-0000-0000-00004E520000}"/>
    <cellStyle name="Input 11" xfId="190" xr:uid="{00000000-0005-0000-0000-00004F520000}"/>
    <cellStyle name="Input 11 2" xfId="3022" xr:uid="{00000000-0005-0000-0000-000050520000}"/>
    <cellStyle name="Input 11 3" xfId="13691" xr:uid="{00000000-0005-0000-0000-000051520000}"/>
    <cellStyle name="Input 12" xfId="191" xr:uid="{00000000-0005-0000-0000-000052520000}"/>
    <cellStyle name="Input 12 2" xfId="3023" xr:uid="{00000000-0005-0000-0000-000053520000}"/>
    <cellStyle name="Input 12 3" xfId="13692" xr:uid="{00000000-0005-0000-0000-000054520000}"/>
    <cellStyle name="Input 13" xfId="192" xr:uid="{00000000-0005-0000-0000-000055520000}"/>
    <cellStyle name="Input 13 2" xfId="3024" xr:uid="{00000000-0005-0000-0000-000056520000}"/>
    <cellStyle name="Input 13 3" xfId="13693" xr:uid="{00000000-0005-0000-0000-000057520000}"/>
    <cellStyle name="Input 14" xfId="193" xr:uid="{00000000-0005-0000-0000-000058520000}"/>
    <cellStyle name="Input 14 2" xfId="3025" xr:uid="{00000000-0005-0000-0000-000059520000}"/>
    <cellStyle name="Input 14 3" xfId="13694" xr:uid="{00000000-0005-0000-0000-00005A520000}"/>
    <cellStyle name="Input 15" xfId="284" xr:uid="{00000000-0005-0000-0000-00005B520000}"/>
    <cellStyle name="Input 15 2" xfId="3026" xr:uid="{00000000-0005-0000-0000-00005C520000}"/>
    <cellStyle name="Input 15 3" xfId="13737" xr:uid="{00000000-0005-0000-0000-00005D520000}"/>
    <cellStyle name="Input 16" xfId="285" xr:uid="{00000000-0005-0000-0000-00005E520000}"/>
    <cellStyle name="Input 16 2" xfId="3027" xr:uid="{00000000-0005-0000-0000-00005F520000}"/>
    <cellStyle name="Input 16 3" xfId="13738" xr:uid="{00000000-0005-0000-0000-000060520000}"/>
    <cellStyle name="Input 17" xfId="292" xr:uid="{00000000-0005-0000-0000-000061520000}"/>
    <cellStyle name="Input 17 2" xfId="3028" xr:uid="{00000000-0005-0000-0000-000062520000}"/>
    <cellStyle name="Input 17 3" xfId="13739" xr:uid="{00000000-0005-0000-0000-000063520000}"/>
    <cellStyle name="Input 18" xfId="293" xr:uid="{00000000-0005-0000-0000-000064520000}"/>
    <cellStyle name="Input 18 2" xfId="3029" xr:uid="{00000000-0005-0000-0000-000065520000}"/>
    <cellStyle name="Input 18 3" xfId="13740" xr:uid="{00000000-0005-0000-0000-000066520000}"/>
    <cellStyle name="Input 19" xfId="294" xr:uid="{00000000-0005-0000-0000-000067520000}"/>
    <cellStyle name="Input 19 2" xfId="3030" xr:uid="{00000000-0005-0000-0000-000068520000}"/>
    <cellStyle name="Input 19 3" xfId="13741" xr:uid="{00000000-0005-0000-0000-000069520000}"/>
    <cellStyle name="Input 2" xfId="45" xr:uid="{00000000-0005-0000-0000-00006A520000}"/>
    <cellStyle name="Input 2 2" xfId="3031" xr:uid="{00000000-0005-0000-0000-00006B520000}"/>
    <cellStyle name="Input 2 2 2" xfId="24121" xr:uid="{00000000-0005-0000-0000-00006C520000}"/>
    <cellStyle name="Input 2 2 2 2" xfId="25560" xr:uid="{00000000-0005-0000-0000-00006D520000}"/>
    <cellStyle name="Input 2 2 2 2 2" xfId="27713" xr:uid="{00000000-0005-0000-0000-00006E520000}"/>
    <cellStyle name="Input 2 2 2 2 2 2" xfId="32300" xr:uid="{DEA2D1D5-199E-48CA-A0DB-B513A9775CCE}"/>
    <cellStyle name="Input 2 2 2 2 3" xfId="29228" xr:uid="{00000000-0005-0000-0000-00006F520000}"/>
    <cellStyle name="Input 2 2 2 2 3 2" xfId="33211" xr:uid="{B04B477A-67A8-4A5B-BAF9-D885E02499ED}"/>
    <cellStyle name="Input 2 2 2 2 4" xfId="26097" xr:uid="{00000000-0005-0000-0000-000070520000}"/>
    <cellStyle name="Input 2 2 2 2 4 2" xfId="30887" xr:uid="{B109BE65-4712-4529-B976-DB09ED88CF8A}"/>
    <cellStyle name="Input 2 2 2 2 5" xfId="29355" xr:uid="{00000000-0005-0000-0000-000071520000}"/>
    <cellStyle name="Input 2 2 2 2 5 2" xfId="33311" xr:uid="{9C3CF01C-5325-4230-946D-CFEC6DF56141}"/>
    <cellStyle name="Input 2 2 2 2 6" xfId="30617" xr:uid="{BFBE8EEA-6541-44C2-B770-1BDE6C949BEE}"/>
    <cellStyle name="Input 2 2 2 3" xfId="27068" xr:uid="{00000000-0005-0000-0000-000072520000}"/>
    <cellStyle name="Input 2 2 2 3 2" xfId="31801" xr:uid="{7E461B77-A311-4934-9C3C-43910E96F261}"/>
    <cellStyle name="Input 2 2 2 4" xfId="26796" xr:uid="{00000000-0005-0000-0000-000073520000}"/>
    <cellStyle name="Input 2 2 2 4 2" xfId="31557" xr:uid="{95C4C1D9-07F4-4568-BB07-EFB490918427}"/>
    <cellStyle name="Input 2 2 2 5" xfId="27324" xr:uid="{00000000-0005-0000-0000-000074520000}"/>
    <cellStyle name="Input 2 2 2 5 2" xfId="31943" xr:uid="{4DFCC6AC-5BCB-4622-9B2C-D5AEEACC4971}"/>
    <cellStyle name="Input 2 2 2 6" xfId="29356" xr:uid="{00000000-0005-0000-0000-000075520000}"/>
    <cellStyle name="Input 2 2 2 6 2" xfId="33312" xr:uid="{133058CB-2289-4180-83BF-A6B001240682}"/>
    <cellStyle name="Input 2 2 2 7" xfId="30262" xr:uid="{0BCB8DDA-0ACA-41C2-8742-BA203BBE6B36}"/>
    <cellStyle name="Input 2 2 3" xfId="24710" xr:uid="{00000000-0005-0000-0000-000076520000}"/>
    <cellStyle name="Input 2 2 3 2" xfId="25356" xr:uid="{00000000-0005-0000-0000-000077520000}"/>
    <cellStyle name="Input 2 2 3 2 2" xfId="27510" xr:uid="{00000000-0005-0000-0000-000078520000}"/>
    <cellStyle name="Input 2 2 3 2 2 2" xfId="32101" xr:uid="{A0313D1B-7297-4813-8187-DF3881D2DA4A}"/>
    <cellStyle name="Input 2 2 3 2 3" xfId="29199" xr:uid="{00000000-0005-0000-0000-000079520000}"/>
    <cellStyle name="Input 2 2 3 2 3 2" xfId="33182" xr:uid="{3A1E0125-B66D-4725-AFE8-A4156A219724}"/>
    <cellStyle name="Input 2 2 3 2 4" xfId="26713" xr:uid="{00000000-0005-0000-0000-00007A520000}"/>
    <cellStyle name="Input 2 2 3 2 4 2" xfId="31475" xr:uid="{7CD6E85F-40CE-49CD-AFFF-E70E73E10EAD}"/>
    <cellStyle name="Input 2 2 3 2 5" xfId="29353" xr:uid="{00000000-0005-0000-0000-00007B520000}"/>
    <cellStyle name="Input 2 2 3 2 5 2" xfId="33309" xr:uid="{C7320FA5-4AEF-47C5-8CE4-E926F3C9CE12}"/>
    <cellStyle name="Input 2 2 3 2 6" xfId="30514" xr:uid="{DCE24F50-9276-46EC-B930-E24A00BF8D1C}"/>
    <cellStyle name="Input 2 2 3 3" xfId="25662" xr:uid="{00000000-0005-0000-0000-00007C520000}"/>
    <cellStyle name="Input 2 2 3 3 2" xfId="27815" xr:uid="{00000000-0005-0000-0000-00007D520000}"/>
    <cellStyle name="Input 2 2 3 3 2 2" xfId="32402" xr:uid="{0CA1B413-17A3-460B-8285-9157B99C7B63}"/>
    <cellStyle name="Input 2 2 3 3 3" xfId="29242" xr:uid="{00000000-0005-0000-0000-00007E520000}"/>
    <cellStyle name="Input 2 2 3 3 3 2" xfId="33224" xr:uid="{A0B0A56B-4143-4E83-822D-A4A74806F409}"/>
    <cellStyle name="Input 2 2 3 3 4" xfId="26954" xr:uid="{00000000-0005-0000-0000-00007F520000}"/>
    <cellStyle name="Input 2 2 3 3 4 2" xfId="31715" xr:uid="{99E4D923-DEF0-439B-89CE-4EDB2821EEA8}"/>
    <cellStyle name="Input 2 2 3 3 5" xfId="29352" xr:uid="{00000000-0005-0000-0000-000080520000}"/>
    <cellStyle name="Input 2 2 3 3 5 2" xfId="33308" xr:uid="{81ABE99A-C2F5-41E7-B400-A098F44E4612}"/>
    <cellStyle name="Input 2 2 3 3 6" xfId="30656" xr:uid="{16896517-7BA3-4675-9EA6-06F1AC3E99C8}"/>
    <cellStyle name="Input 2 2 3 4" xfId="27295" xr:uid="{00000000-0005-0000-0000-000081520000}"/>
    <cellStyle name="Input 2 2 3 4 2" xfId="31924" xr:uid="{5F25D721-1B10-4712-B609-3982A858B093}"/>
    <cellStyle name="Input 2 2 3 5" xfId="26038" xr:uid="{00000000-0005-0000-0000-000082520000}"/>
    <cellStyle name="Input 2 2 3 5 2" xfId="30839" xr:uid="{A9960FBB-36FD-4E20-9596-57038B673E55}"/>
    <cellStyle name="Input 2 2 3 6" xfId="26143" xr:uid="{00000000-0005-0000-0000-000083520000}"/>
    <cellStyle name="Input 2 2 3 6 2" xfId="30933" xr:uid="{C4F499B5-2B02-4389-91F5-30A5688CCF6D}"/>
    <cellStyle name="Input 2 2 3 7" xfId="29354" xr:uid="{00000000-0005-0000-0000-000084520000}"/>
    <cellStyle name="Input 2 2 3 7 2" xfId="33310" xr:uid="{FA0C7424-CDDD-4A07-B67B-5F3FCC98AB21}"/>
    <cellStyle name="Input 2 2 3 8" xfId="30364" xr:uid="{1D83FA6D-C027-4B1E-811A-477D6A3E2A72}"/>
    <cellStyle name="Input 2 2 4" xfId="25028" xr:uid="{00000000-0005-0000-0000-000085520000}"/>
    <cellStyle name="Input 2 2 4 2" xfId="25368" xr:uid="{00000000-0005-0000-0000-000086520000}"/>
    <cellStyle name="Input 2 2 4 2 2" xfId="27522" xr:uid="{00000000-0005-0000-0000-000087520000}"/>
    <cellStyle name="Input 2 2 4 2 2 2" xfId="32113" xr:uid="{C91D4BD8-606A-43A7-99DB-0604BBA0D8C6}"/>
    <cellStyle name="Input 2 2 4 2 3" xfId="29201" xr:uid="{00000000-0005-0000-0000-000088520000}"/>
    <cellStyle name="Input 2 2 4 2 3 2" xfId="33184" xr:uid="{5F13D847-9897-4A22-B67E-7637E22EAD3B}"/>
    <cellStyle name="Input 2 2 4 2 4" xfId="26536" xr:uid="{00000000-0005-0000-0000-000089520000}"/>
    <cellStyle name="Input 2 2 4 2 4 2" xfId="31323" xr:uid="{3293237A-DA33-4389-A332-4C597C3E8402}"/>
    <cellStyle name="Input 2 2 4 2 5" xfId="29350" xr:uid="{00000000-0005-0000-0000-00008A520000}"/>
    <cellStyle name="Input 2 2 4 2 5 2" xfId="33306" xr:uid="{735608FB-094D-424C-94BD-D78B25ED86E7}"/>
    <cellStyle name="Input 2 2 4 2 6" xfId="30526" xr:uid="{36522225-C871-47DD-B0E5-9346439AB56D}"/>
    <cellStyle name="Input 2 2 4 3" xfId="25673" xr:uid="{00000000-0005-0000-0000-00008B520000}"/>
    <cellStyle name="Input 2 2 4 3 2" xfId="27826" xr:uid="{00000000-0005-0000-0000-00008C520000}"/>
    <cellStyle name="Input 2 2 4 3 2 2" xfId="32413" xr:uid="{6487B191-648A-47EF-8A70-E6E63FFD29E0}"/>
    <cellStyle name="Input 2 2 4 3 3" xfId="29253" xr:uid="{00000000-0005-0000-0000-00008D520000}"/>
    <cellStyle name="Input 2 2 4 3 3 2" xfId="33235" xr:uid="{C7FC3181-CE11-4178-BB07-9601F16DA8EF}"/>
    <cellStyle name="Input 2 2 4 3 4" xfId="27428" xr:uid="{00000000-0005-0000-0000-00008E520000}"/>
    <cellStyle name="Input 2 2 4 3 4 2" xfId="32026" xr:uid="{3A00AA27-F5D1-4583-A4F0-13D8997BF157}"/>
    <cellStyle name="Input 2 2 4 3 5" xfId="29349" xr:uid="{00000000-0005-0000-0000-00008F520000}"/>
    <cellStyle name="Input 2 2 4 3 5 2" xfId="33305" xr:uid="{1EFBD8C1-9036-4EF5-8065-FCE76B4834B3}"/>
    <cellStyle name="Input 2 2 4 3 6" xfId="30667" xr:uid="{1915A571-A1C9-4B81-BFD3-B7CD704BFCB9}"/>
    <cellStyle name="Input 2 2 4 4" xfId="27356" xr:uid="{00000000-0005-0000-0000-000090520000}"/>
    <cellStyle name="Input 2 2 4 4 2" xfId="31954" xr:uid="{C5CFA7BA-698D-4B9E-B679-00C73229E2CB}"/>
    <cellStyle name="Input 2 2 4 5" xfId="26193" xr:uid="{00000000-0005-0000-0000-000091520000}"/>
    <cellStyle name="Input 2 2 4 5 2" xfId="30981" xr:uid="{E9A45585-B266-430D-8BC3-0AED55736E98}"/>
    <cellStyle name="Input 2 2 4 6" xfId="26544" xr:uid="{00000000-0005-0000-0000-000092520000}"/>
    <cellStyle name="Input 2 2 4 6 2" xfId="31331" xr:uid="{55855F09-CB8F-4BFF-A4ED-B7CA22461897}"/>
    <cellStyle name="Input 2 2 4 7" xfId="29351" xr:uid="{00000000-0005-0000-0000-000093520000}"/>
    <cellStyle name="Input 2 2 4 7 2" xfId="33307" xr:uid="{433B46DA-A25E-462F-9AE9-B9810E9014E7}"/>
    <cellStyle name="Input 2 2 4 8" xfId="30375" xr:uid="{5418D3A4-7580-47B9-A3FF-AD83428849E6}"/>
    <cellStyle name="Input 2 3" xfId="13610" xr:uid="{00000000-0005-0000-0000-000094520000}"/>
    <cellStyle name="Input 2 4" xfId="24120" xr:uid="{00000000-0005-0000-0000-000095520000}"/>
    <cellStyle name="Input 2 4 2" xfId="25559" xr:uid="{00000000-0005-0000-0000-000096520000}"/>
    <cellStyle name="Input 2 4 2 2" xfId="27712" xr:uid="{00000000-0005-0000-0000-000097520000}"/>
    <cellStyle name="Input 2 4 2 2 2" xfId="32299" xr:uid="{D1A9F778-B7C5-4FB9-8087-66C34CC4364E}"/>
    <cellStyle name="Input 2 4 2 3" xfId="29227" xr:uid="{00000000-0005-0000-0000-000098520000}"/>
    <cellStyle name="Input 2 4 2 3 2" xfId="33210" xr:uid="{6E0D8B2D-7C7F-41B2-9ADD-896FCBFEB2D9}"/>
    <cellStyle name="Input 2 4 2 4" xfId="27004" xr:uid="{00000000-0005-0000-0000-000099520000}"/>
    <cellStyle name="Input 2 4 2 4 2" xfId="31764" xr:uid="{EF3A1B28-0DB0-4B92-91B5-330902F02C45}"/>
    <cellStyle name="Input 2 4 2 5" xfId="29347" xr:uid="{00000000-0005-0000-0000-00009A520000}"/>
    <cellStyle name="Input 2 4 2 5 2" xfId="33303" xr:uid="{FB1B48CC-AF9B-4F2D-AB96-3F8957756894}"/>
    <cellStyle name="Input 2 4 2 6" xfId="30616" xr:uid="{B40FDEA0-8303-4956-8460-55DE1807072C}"/>
    <cellStyle name="Input 2 4 3" xfId="27067" xr:uid="{00000000-0005-0000-0000-00009B520000}"/>
    <cellStyle name="Input 2 4 3 2" xfId="31800" xr:uid="{7721FA45-A001-4BE5-8DE9-1FC1997F6AB6}"/>
    <cellStyle name="Input 2 4 4" xfId="26272" xr:uid="{00000000-0005-0000-0000-00009C520000}"/>
    <cellStyle name="Input 2 4 4 2" xfId="31060" xr:uid="{AA08323D-F021-483B-B751-D6A3F30394CC}"/>
    <cellStyle name="Input 2 4 5" xfId="26322" xr:uid="{00000000-0005-0000-0000-00009D520000}"/>
    <cellStyle name="Input 2 4 5 2" xfId="31110" xr:uid="{923598D2-5E15-45B9-A526-8ED30F8D768D}"/>
    <cellStyle name="Input 2 4 6" xfId="29348" xr:uid="{00000000-0005-0000-0000-00009E520000}"/>
    <cellStyle name="Input 2 4 6 2" xfId="33304" xr:uid="{8A0B3D24-CCC7-4D53-95DE-E91C392A7B8E}"/>
    <cellStyle name="Input 2 4 7" xfId="30261" xr:uid="{E707517C-CE5B-4D1D-B03F-52A2F441A067}"/>
    <cellStyle name="Input 2 5" xfId="24709" xr:uid="{00000000-0005-0000-0000-00009F520000}"/>
    <cellStyle name="Input 2 5 2" xfId="25439" xr:uid="{00000000-0005-0000-0000-0000A0520000}"/>
    <cellStyle name="Input 2 5 2 2" xfId="27593" xr:uid="{00000000-0005-0000-0000-0000A1520000}"/>
    <cellStyle name="Input 2 5 2 2 2" xfId="32184" xr:uid="{5BB2B5BD-4AB4-4E69-990C-6AA34077698F}"/>
    <cellStyle name="Input 2 5 2 3" xfId="29212" xr:uid="{00000000-0005-0000-0000-0000A2520000}"/>
    <cellStyle name="Input 2 5 2 3 2" xfId="33195" xr:uid="{87EDA0D4-C745-470F-BE1D-131F33AB05C7}"/>
    <cellStyle name="Input 2 5 2 4" xfId="26974" xr:uid="{00000000-0005-0000-0000-0000A3520000}"/>
    <cellStyle name="Input 2 5 2 4 2" xfId="31735" xr:uid="{31B1362A-E0BA-4C83-B6B4-D182AAEF943D}"/>
    <cellStyle name="Input 2 5 2 5" xfId="29345" xr:uid="{00000000-0005-0000-0000-0000A4520000}"/>
    <cellStyle name="Input 2 5 2 5 2" xfId="33301" xr:uid="{7A76B636-B932-4298-9645-47BE108FEEE1}"/>
    <cellStyle name="Input 2 5 2 6" xfId="30597" xr:uid="{7415661F-9239-4950-B80E-18709865A38F}"/>
    <cellStyle name="Input 2 5 3" xfId="25661" xr:uid="{00000000-0005-0000-0000-0000A5520000}"/>
    <cellStyle name="Input 2 5 3 2" xfId="27814" xr:uid="{00000000-0005-0000-0000-0000A6520000}"/>
    <cellStyle name="Input 2 5 3 2 2" xfId="32401" xr:uid="{9E5F11BB-B96A-495B-8795-A31B46D47E3D}"/>
    <cellStyle name="Input 2 5 3 3" xfId="29241" xr:uid="{00000000-0005-0000-0000-0000A7520000}"/>
    <cellStyle name="Input 2 5 3 3 2" xfId="33223" xr:uid="{6CC98C51-27A5-4523-B992-85AC5E60F363}"/>
    <cellStyle name="Input 2 5 3 4" xfId="26916" xr:uid="{00000000-0005-0000-0000-0000A8520000}"/>
    <cellStyle name="Input 2 5 3 4 2" xfId="31677" xr:uid="{AD2A09C2-67EC-4DA9-A562-03F38577B11B}"/>
    <cellStyle name="Input 2 5 3 5" xfId="29344" xr:uid="{00000000-0005-0000-0000-0000A9520000}"/>
    <cellStyle name="Input 2 5 3 5 2" xfId="33300" xr:uid="{346696C3-9588-48C1-9314-68E023406BFF}"/>
    <cellStyle name="Input 2 5 3 6" xfId="30655" xr:uid="{552BAE60-52DF-4955-B9D3-968B258058BA}"/>
    <cellStyle name="Input 2 5 4" xfId="27294" xr:uid="{00000000-0005-0000-0000-0000AA520000}"/>
    <cellStyle name="Input 2 5 4 2" xfId="31923" xr:uid="{70824F6A-F7DF-4A02-9F58-31FE177D5B7F}"/>
    <cellStyle name="Input 2 5 5" xfId="26673" xr:uid="{00000000-0005-0000-0000-0000AB520000}"/>
    <cellStyle name="Input 2 5 5 2" xfId="31441" xr:uid="{45C1AD18-1CDF-4EA3-BFC2-0E1D29D9632C}"/>
    <cellStyle name="Input 2 5 6" xfId="26283" xr:uid="{00000000-0005-0000-0000-0000AC520000}"/>
    <cellStyle name="Input 2 5 6 2" xfId="31071" xr:uid="{E6414BC8-4C8A-4E6F-9B26-2B3E9A047C70}"/>
    <cellStyle name="Input 2 5 7" xfId="29346" xr:uid="{00000000-0005-0000-0000-0000AD520000}"/>
    <cellStyle name="Input 2 5 7 2" xfId="33302" xr:uid="{9E1139AD-BA38-4916-96C9-F3F10826B6D7}"/>
    <cellStyle name="Input 2 5 8" xfId="30363" xr:uid="{17833192-E91B-480A-9D4F-40999972B5BE}"/>
    <cellStyle name="Input 2 6" xfId="25027" xr:uid="{00000000-0005-0000-0000-0000AE520000}"/>
    <cellStyle name="Input 2 6 2" xfId="25285" xr:uid="{00000000-0005-0000-0000-0000AF520000}"/>
    <cellStyle name="Input 2 6 2 2" xfId="27440" xr:uid="{00000000-0005-0000-0000-0000B0520000}"/>
    <cellStyle name="Input 2 6 2 2 2" xfId="32035" xr:uid="{E700BDEB-E790-4B05-AC58-9B909AA1C6F2}"/>
    <cellStyle name="Input 2 6 2 3" xfId="29187" xr:uid="{00000000-0005-0000-0000-0000B1520000}"/>
    <cellStyle name="Input 2 6 2 3 2" xfId="33170" xr:uid="{8FFAA850-CD61-404E-87C2-EDECB3AA2F11}"/>
    <cellStyle name="Input 2 6 2 4" xfId="26415" xr:uid="{00000000-0005-0000-0000-0000B2520000}"/>
    <cellStyle name="Input 2 6 2 4 2" xfId="31203" xr:uid="{0EEB58C7-8BAB-4243-BB7E-7E5178F0132A}"/>
    <cellStyle name="Input 2 6 2 5" xfId="29342" xr:uid="{00000000-0005-0000-0000-0000B3520000}"/>
    <cellStyle name="Input 2 6 2 5 2" xfId="33298" xr:uid="{422A13E5-D6E0-4ADD-8BBF-2AE7BE0DC22F}"/>
    <cellStyle name="Input 2 6 2 6" xfId="30448" xr:uid="{2648E5B0-1BAA-4CD5-B023-FB3AB3587A72}"/>
    <cellStyle name="Input 2 6 3" xfId="25672" xr:uid="{00000000-0005-0000-0000-0000B4520000}"/>
    <cellStyle name="Input 2 6 3 2" xfId="27825" xr:uid="{00000000-0005-0000-0000-0000B5520000}"/>
    <cellStyle name="Input 2 6 3 2 2" xfId="32412" xr:uid="{B94292EC-7BC6-4335-AECF-39C181E07332}"/>
    <cellStyle name="Input 2 6 3 3" xfId="29252" xr:uid="{00000000-0005-0000-0000-0000B6520000}"/>
    <cellStyle name="Input 2 6 3 3 2" xfId="33234" xr:uid="{F4A78A2E-278D-4C0A-9D21-4581E3E03710}"/>
    <cellStyle name="Input 2 6 3 4" xfId="26307" xr:uid="{00000000-0005-0000-0000-0000B7520000}"/>
    <cellStyle name="Input 2 6 3 4 2" xfId="31095" xr:uid="{1A950E0D-EA5E-4763-BE00-9D102F03609D}"/>
    <cellStyle name="Input 2 6 3 5" xfId="29341" xr:uid="{00000000-0005-0000-0000-0000B8520000}"/>
    <cellStyle name="Input 2 6 3 5 2" xfId="33297" xr:uid="{F92B8533-F057-47D1-BB76-3105334961E7}"/>
    <cellStyle name="Input 2 6 3 6" xfId="30666" xr:uid="{5B83E03A-D9AD-411D-9E45-F25C21B3D7FB}"/>
    <cellStyle name="Input 2 6 4" xfId="27355" xr:uid="{00000000-0005-0000-0000-0000B9520000}"/>
    <cellStyle name="Input 2 6 4 2" xfId="31953" xr:uid="{4AE862CF-1F5A-4D02-B1A7-4F1281C95743}"/>
    <cellStyle name="Input 2 6 5" xfId="27134" xr:uid="{00000000-0005-0000-0000-0000BA520000}"/>
    <cellStyle name="Input 2 6 5 2" xfId="31848" xr:uid="{12AB2457-5B4B-4CED-91E7-95DB6340BCCF}"/>
    <cellStyle name="Input 2 6 6" xfId="26082" xr:uid="{00000000-0005-0000-0000-0000BB520000}"/>
    <cellStyle name="Input 2 6 6 2" xfId="30872" xr:uid="{05C02FF8-C50A-4BBC-BD83-8657B76320D6}"/>
    <cellStyle name="Input 2 6 7" xfId="29343" xr:uid="{00000000-0005-0000-0000-0000BC520000}"/>
    <cellStyle name="Input 2 6 7 2" xfId="33299" xr:uid="{100FC168-FF29-4586-B1EC-4DFC0E1C4A5A}"/>
    <cellStyle name="Input 2 6 8" xfId="30374" xr:uid="{AFBB2A88-41FA-4F53-A856-199FD478F98B}"/>
    <cellStyle name="Input 20" xfId="295" xr:uid="{00000000-0005-0000-0000-0000BD520000}"/>
    <cellStyle name="Input 20 2" xfId="3032" xr:uid="{00000000-0005-0000-0000-0000BE520000}"/>
    <cellStyle name="Input 20 3" xfId="13742" xr:uid="{00000000-0005-0000-0000-0000BF520000}"/>
    <cellStyle name="Input 21" xfId="302" xr:uid="{00000000-0005-0000-0000-0000C0520000}"/>
    <cellStyle name="Input 21 2" xfId="3033" xr:uid="{00000000-0005-0000-0000-0000C1520000}"/>
    <cellStyle name="Input 21 3" xfId="13743" xr:uid="{00000000-0005-0000-0000-0000C2520000}"/>
    <cellStyle name="Input 22" xfId="303" xr:uid="{00000000-0005-0000-0000-0000C3520000}"/>
    <cellStyle name="Input 22 2" xfId="3034" xr:uid="{00000000-0005-0000-0000-0000C4520000}"/>
    <cellStyle name="Input 22 3" xfId="13744" xr:uid="{00000000-0005-0000-0000-0000C5520000}"/>
    <cellStyle name="Input 23" xfId="316" xr:uid="{00000000-0005-0000-0000-0000C6520000}"/>
    <cellStyle name="Input 23 2" xfId="3035" xr:uid="{00000000-0005-0000-0000-0000C7520000}"/>
    <cellStyle name="Input 23 3" xfId="13747" xr:uid="{00000000-0005-0000-0000-0000C8520000}"/>
    <cellStyle name="Input 24" xfId="317" xr:uid="{00000000-0005-0000-0000-0000C9520000}"/>
    <cellStyle name="Input 24 2" xfId="3036" xr:uid="{00000000-0005-0000-0000-0000CA520000}"/>
    <cellStyle name="Input 24 3" xfId="13748" xr:uid="{00000000-0005-0000-0000-0000CB520000}"/>
    <cellStyle name="Input 25" xfId="318" xr:uid="{00000000-0005-0000-0000-0000CC520000}"/>
    <cellStyle name="Input 25 2" xfId="3037" xr:uid="{00000000-0005-0000-0000-0000CD520000}"/>
    <cellStyle name="Input 25 3" xfId="13749" xr:uid="{00000000-0005-0000-0000-0000CE520000}"/>
    <cellStyle name="Input 26" xfId="319" xr:uid="{00000000-0005-0000-0000-0000CF520000}"/>
    <cellStyle name="Input 26 2" xfId="3038" xr:uid="{00000000-0005-0000-0000-0000D0520000}"/>
    <cellStyle name="Input 26 3" xfId="13750" xr:uid="{00000000-0005-0000-0000-0000D1520000}"/>
    <cellStyle name="Input 27" xfId="320" xr:uid="{00000000-0005-0000-0000-0000D2520000}"/>
    <cellStyle name="Input 27 2" xfId="3039" xr:uid="{00000000-0005-0000-0000-0000D3520000}"/>
    <cellStyle name="Input 27 3" xfId="13751" xr:uid="{00000000-0005-0000-0000-0000D4520000}"/>
    <cellStyle name="Input 28" xfId="321" xr:uid="{00000000-0005-0000-0000-0000D5520000}"/>
    <cellStyle name="Input 28 2" xfId="3040" xr:uid="{00000000-0005-0000-0000-0000D6520000}"/>
    <cellStyle name="Input 28 3" xfId="13752" xr:uid="{00000000-0005-0000-0000-0000D7520000}"/>
    <cellStyle name="Input 29" xfId="322" xr:uid="{00000000-0005-0000-0000-0000D8520000}"/>
    <cellStyle name="Input 29 2" xfId="3041" xr:uid="{00000000-0005-0000-0000-0000D9520000}"/>
    <cellStyle name="Input 29 3" xfId="13753" xr:uid="{00000000-0005-0000-0000-0000DA520000}"/>
    <cellStyle name="Input 3" xfId="194" xr:uid="{00000000-0005-0000-0000-0000DB520000}"/>
    <cellStyle name="Input 3 2" xfId="3042" xr:uid="{00000000-0005-0000-0000-0000DC520000}"/>
    <cellStyle name="Input 3 3" xfId="13695" xr:uid="{00000000-0005-0000-0000-0000DD520000}"/>
    <cellStyle name="Input 3 4" xfId="24122" xr:uid="{00000000-0005-0000-0000-0000DE520000}"/>
    <cellStyle name="Input 3 4 2" xfId="25561" xr:uid="{00000000-0005-0000-0000-0000DF520000}"/>
    <cellStyle name="Input 3 4 2 2" xfId="27714" xr:uid="{00000000-0005-0000-0000-0000E0520000}"/>
    <cellStyle name="Input 3 4 2 2 2" xfId="32301" xr:uid="{6E23F5EC-513C-4D59-AD8D-D3B93B4AFD5C}"/>
    <cellStyle name="Input 3 4 2 3" xfId="29229" xr:uid="{00000000-0005-0000-0000-0000E1520000}"/>
    <cellStyle name="Input 3 4 2 3 2" xfId="33212" xr:uid="{E162EF87-FEEE-4A48-A2F4-BA005722565C}"/>
    <cellStyle name="Input 3 4 2 4" xfId="26770" xr:uid="{00000000-0005-0000-0000-0000E2520000}"/>
    <cellStyle name="Input 3 4 2 4 2" xfId="31531" xr:uid="{4D94989F-EC26-4ABA-A5D3-8CEA6B0D9456}"/>
    <cellStyle name="Input 3 4 2 5" xfId="29339" xr:uid="{00000000-0005-0000-0000-0000E3520000}"/>
    <cellStyle name="Input 3 4 2 5 2" xfId="33295" xr:uid="{866F3327-B456-4E21-A19D-AEF6CA60ABE3}"/>
    <cellStyle name="Input 3 4 2 6" xfId="30618" xr:uid="{A8FCCB5A-1F61-4E31-A8D2-95200B37010B}"/>
    <cellStyle name="Input 3 4 3" xfId="27069" xr:uid="{00000000-0005-0000-0000-0000E4520000}"/>
    <cellStyle name="Input 3 4 3 2" xfId="31802" xr:uid="{A125AC63-A9EE-41DE-9BD1-46BF316AD0A5}"/>
    <cellStyle name="Input 3 4 4" xfId="26717" xr:uid="{00000000-0005-0000-0000-0000E5520000}"/>
    <cellStyle name="Input 3 4 4 2" xfId="31479" xr:uid="{37D5CB7B-EE79-4F2A-B1D2-3F299DBCEBED}"/>
    <cellStyle name="Input 3 4 5" xfId="26292" xr:uid="{00000000-0005-0000-0000-0000E6520000}"/>
    <cellStyle name="Input 3 4 5 2" xfId="31080" xr:uid="{CB946FDF-8694-4FE7-9FF7-2089DECD88C6}"/>
    <cellStyle name="Input 3 4 6" xfId="29340" xr:uid="{00000000-0005-0000-0000-0000E7520000}"/>
    <cellStyle name="Input 3 4 6 2" xfId="33296" xr:uid="{3577AE6F-ED7B-47A3-8625-3583A588D619}"/>
    <cellStyle name="Input 3 4 7" xfId="30263" xr:uid="{9739CE83-9659-4DD5-A29C-02A263AC56B4}"/>
    <cellStyle name="Input 3 5" xfId="24711" xr:uid="{00000000-0005-0000-0000-0000E8520000}"/>
    <cellStyle name="Input 3 5 2" xfId="25390" xr:uid="{00000000-0005-0000-0000-0000E9520000}"/>
    <cellStyle name="Input 3 5 2 2" xfId="27544" xr:uid="{00000000-0005-0000-0000-0000EA520000}"/>
    <cellStyle name="Input 3 5 2 2 2" xfId="32135" xr:uid="{EA1E8058-75A5-4582-893B-D3203D51F000}"/>
    <cellStyle name="Input 3 5 2 3" xfId="29207" xr:uid="{00000000-0005-0000-0000-0000EB520000}"/>
    <cellStyle name="Input 3 5 2 3 2" xfId="33190" xr:uid="{A69C41E3-D08A-427A-97C4-9C54BF273EDF}"/>
    <cellStyle name="Input 3 5 2 4" xfId="27162" xr:uid="{00000000-0005-0000-0000-0000EC520000}"/>
    <cellStyle name="Input 3 5 2 4 2" xfId="31853" xr:uid="{67843EBB-98DB-4552-9D34-A127669A1A25}"/>
    <cellStyle name="Input 3 5 2 5" xfId="29337" xr:uid="{00000000-0005-0000-0000-0000ED520000}"/>
    <cellStyle name="Input 3 5 2 5 2" xfId="33293" xr:uid="{1103E0F6-184A-48DA-A05F-89EF07426AFA}"/>
    <cellStyle name="Input 3 5 2 6" xfId="30548" xr:uid="{2A090ED8-8131-44B8-A289-F9F419761521}"/>
    <cellStyle name="Input 3 5 3" xfId="25663" xr:uid="{00000000-0005-0000-0000-0000EE520000}"/>
    <cellStyle name="Input 3 5 3 2" xfId="27816" xr:uid="{00000000-0005-0000-0000-0000EF520000}"/>
    <cellStyle name="Input 3 5 3 2 2" xfId="32403" xr:uid="{1B1E0633-749B-4DFA-8F34-F63FAF7AEA30}"/>
    <cellStyle name="Input 3 5 3 3" xfId="29243" xr:uid="{00000000-0005-0000-0000-0000F0520000}"/>
    <cellStyle name="Input 3 5 3 3 2" xfId="33225" xr:uid="{AAD34447-89FB-48E9-A74D-CFD33B3189DF}"/>
    <cellStyle name="Input 3 5 3 4" xfId="26710" xr:uid="{00000000-0005-0000-0000-0000F1520000}"/>
    <cellStyle name="Input 3 5 3 4 2" xfId="31472" xr:uid="{93143187-349A-4759-BC4F-53B76002E818}"/>
    <cellStyle name="Input 3 5 3 5" xfId="29336" xr:uid="{00000000-0005-0000-0000-0000F2520000}"/>
    <cellStyle name="Input 3 5 3 5 2" xfId="33292" xr:uid="{7ED6891E-6AB3-4E0D-A22D-27156C617EE9}"/>
    <cellStyle name="Input 3 5 3 6" xfId="30657" xr:uid="{88375DD6-53E9-4A55-BCCF-344EB6F243E1}"/>
    <cellStyle name="Input 3 5 4" xfId="27296" xr:uid="{00000000-0005-0000-0000-0000F3520000}"/>
    <cellStyle name="Input 3 5 4 2" xfId="31925" xr:uid="{AAF78B55-887E-4732-858F-11C071F04D12}"/>
    <cellStyle name="Input 3 5 5" xfId="26683" xr:uid="{00000000-0005-0000-0000-0000F4520000}"/>
    <cellStyle name="Input 3 5 5 2" xfId="31446" xr:uid="{3DD51965-0292-40FB-934D-83EBA31EEE98}"/>
    <cellStyle name="Input 3 5 6" xfId="26215" xr:uid="{00000000-0005-0000-0000-0000F5520000}"/>
    <cellStyle name="Input 3 5 6 2" xfId="31003" xr:uid="{09C222D4-131E-4ACA-9BD8-CA09E82DAC07}"/>
    <cellStyle name="Input 3 5 7" xfId="29338" xr:uid="{00000000-0005-0000-0000-0000F6520000}"/>
    <cellStyle name="Input 3 5 7 2" xfId="33294" xr:uid="{85F5CD05-09AD-4A71-845D-E427633ACDA9}"/>
    <cellStyle name="Input 3 5 8" xfId="30365" xr:uid="{3CD0362C-D6C9-4A0B-8EA2-C44952FDEABF}"/>
    <cellStyle name="Input 3 6" xfId="25029" xr:uid="{00000000-0005-0000-0000-0000F7520000}"/>
    <cellStyle name="Input 3 6 2" xfId="25382" xr:uid="{00000000-0005-0000-0000-0000F8520000}"/>
    <cellStyle name="Input 3 6 2 2" xfId="27536" xr:uid="{00000000-0005-0000-0000-0000F9520000}"/>
    <cellStyle name="Input 3 6 2 2 2" xfId="32127" xr:uid="{E31BC8A2-08AB-45D3-8161-E024CAA8EC71}"/>
    <cellStyle name="Input 3 6 2 3" xfId="29205" xr:uid="{00000000-0005-0000-0000-0000FA520000}"/>
    <cellStyle name="Input 3 6 2 3 2" xfId="33188" xr:uid="{634AB881-CA41-4006-BCC9-7AC3E16E935D}"/>
    <cellStyle name="Input 3 6 2 4" xfId="26949" xr:uid="{00000000-0005-0000-0000-0000FB520000}"/>
    <cellStyle name="Input 3 6 2 4 2" xfId="31710" xr:uid="{8BE9D352-97BA-4813-AD2F-C50A93132CFC}"/>
    <cellStyle name="Input 3 6 2 5" xfId="29334" xr:uid="{00000000-0005-0000-0000-0000FC520000}"/>
    <cellStyle name="Input 3 6 2 5 2" xfId="33290" xr:uid="{AC09C109-1572-43ED-B9C2-B55893BF3DCD}"/>
    <cellStyle name="Input 3 6 2 6" xfId="30540" xr:uid="{975DEB3E-45C7-4AB9-88D8-81FD138CFCC4}"/>
    <cellStyle name="Input 3 6 3" xfId="25674" xr:uid="{00000000-0005-0000-0000-0000FD520000}"/>
    <cellStyle name="Input 3 6 3 2" xfId="27827" xr:uid="{00000000-0005-0000-0000-0000FE520000}"/>
    <cellStyle name="Input 3 6 3 2 2" xfId="32414" xr:uid="{269B84FB-3DB4-48B2-99C6-479E85C9FF7F}"/>
    <cellStyle name="Input 3 6 3 3" xfId="29254" xr:uid="{00000000-0005-0000-0000-0000FF520000}"/>
    <cellStyle name="Input 3 6 3 3 2" xfId="33236" xr:uid="{03CB5E48-2A58-488C-AFFD-640C6E6C1EC5}"/>
    <cellStyle name="Input 3 6 3 4" xfId="26984" xr:uid="{00000000-0005-0000-0000-000000530000}"/>
    <cellStyle name="Input 3 6 3 4 2" xfId="31745" xr:uid="{CE23C582-41A1-4D17-88BE-2A97E2EA2C7E}"/>
    <cellStyle name="Input 3 6 3 5" xfId="29333" xr:uid="{00000000-0005-0000-0000-000001530000}"/>
    <cellStyle name="Input 3 6 3 5 2" xfId="33289" xr:uid="{62300809-9220-47B5-9704-5C3E5082ED5A}"/>
    <cellStyle name="Input 3 6 3 6" xfId="30668" xr:uid="{DEA6DB75-E682-4802-9058-BD6207F2F736}"/>
    <cellStyle name="Input 3 6 4" xfId="27357" xr:uid="{00000000-0005-0000-0000-000002530000}"/>
    <cellStyle name="Input 3 6 4 2" xfId="31955" xr:uid="{01546079-5209-40CE-B341-16DD8A79E68D}"/>
    <cellStyle name="Input 3 6 5" xfId="26194" xr:uid="{00000000-0005-0000-0000-000003530000}"/>
    <cellStyle name="Input 3 6 5 2" xfId="30982" xr:uid="{6080B1F0-6E6B-4E6E-9356-CEAF10DBCC46}"/>
    <cellStyle name="Input 3 6 6" xfId="26729" xr:uid="{00000000-0005-0000-0000-000004530000}"/>
    <cellStyle name="Input 3 6 6 2" xfId="31490" xr:uid="{49D03351-7551-4FFE-8735-4E8D0BC6E4A2}"/>
    <cellStyle name="Input 3 6 7" xfId="29335" xr:uid="{00000000-0005-0000-0000-000005530000}"/>
    <cellStyle name="Input 3 6 7 2" xfId="33291" xr:uid="{C4853979-678D-4761-8389-532AA084EDBC}"/>
    <cellStyle name="Input 3 6 8" xfId="30376" xr:uid="{0D6E5B60-A9B6-4528-B859-2219A1D7B027}"/>
    <cellStyle name="Input 30" xfId="323" xr:uid="{00000000-0005-0000-0000-000006530000}"/>
    <cellStyle name="Input 30 2" xfId="3043" xr:uid="{00000000-0005-0000-0000-000007530000}"/>
    <cellStyle name="Input 30 3" xfId="13754" xr:uid="{00000000-0005-0000-0000-000008530000}"/>
    <cellStyle name="Input 31" xfId="339" xr:uid="{00000000-0005-0000-0000-000009530000}"/>
    <cellStyle name="Input 31 2" xfId="3044" xr:uid="{00000000-0005-0000-0000-00000A530000}"/>
    <cellStyle name="Input 31 3" xfId="13758" xr:uid="{00000000-0005-0000-0000-00000B530000}"/>
    <cellStyle name="Input 32" xfId="340" xr:uid="{00000000-0005-0000-0000-00000C530000}"/>
    <cellStyle name="Input 32 2" xfId="3045" xr:uid="{00000000-0005-0000-0000-00000D530000}"/>
    <cellStyle name="Input 32 3" xfId="13759" xr:uid="{00000000-0005-0000-0000-00000E530000}"/>
    <cellStyle name="Input 33" xfId="341" xr:uid="{00000000-0005-0000-0000-00000F530000}"/>
    <cellStyle name="Input 33 2" xfId="3046" xr:uid="{00000000-0005-0000-0000-000010530000}"/>
    <cellStyle name="Input 33 3" xfId="13760" xr:uid="{00000000-0005-0000-0000-000011530000}"/>
    <cellStyle name="Input 34" xfId="342" xr:uid="{00000000-0005-0000-0000-000012530000}"/>
    <cellStyle name="Input 34 2" xfId="3047" xr:uid="{00000000-0005-0000-0000-000013530000}"/>
    <cellStyle name="Input 34 3" xfId="13761" xr:uid="{00000000-0005-0000-0000-000014530000}"/>
    <cellStyle name="Input 35" xfId="3048" xr:uid="{00000000-0005-0000-0000-000015530000}"/>
    <cellStyle name="Input 36" xfId="3049" xr:uid="{00000000-0005-0000-0000-000016530000}"/>
    <cellStyle name="Input 37" xfId="3050" xr:uid="{00000000-0005-0000-0000-000017530000}"/>
    <cellStyle name="Input 38" xfId="3051" xr:uid="{00000000-0005-0000-0000-000018530000}"/>
    <cellStyle name="Input 39" xfId="3052" xr:uid="{00000000-0005-0000-0000-000019530000}"/>
    <cellStyle name="Input 4" xfId="195" xr:uid="{00000000-0005-0000-0000-00001A530000}"/>
    <cellStyle name="Input 4 2" xfId="3053" xr:uid="{00000000-0005-0000-0000-00001B530000}"/>
    <cellStyle name="Input 4 3" xfId="13696" xr:uid="{00000000-0005-0000-0000-00001C530000}"/>
    <cellStyle name="Input 4 4" xfId="24123" xr:uid="{00000000-0005-0000-0000-00001D530000}"/>
    <cellStyle name="Input 4 4 2" xfId="25562" xr:uid="{00000000-0005-0000-0000-00001E530000}"/>
    <cellStyle name="Input 4 4 2 2" xfId="27715" xr:uid="{00000000-0005-0000-0000-00001F530000}"/>
    <cellStyle name="Input 4 4 2 2 2" xfId="32302" xr:uid="{AD9383F4-0CAD-4EF2-965A-78BF30AB7329}"/>
    <cellStyle name="Input 4 4 2 3" xfId="29230" xr:uid="{00000000-0005-0000-0000-000020530000}"/>
    <cellStyle name="Input 4 4 2 3 2" xfId="33213" xr:uid="{AC0A2D11-F218-442C-B9D8-FF5F675A1F42}"/>
    <cellStyle name="Input 4 4 2 4" xfId="26159" xr:uid="{00000000-0005-0000-0000-000021530000}"/>
    <cellStyle name="Input 4 4 2 4 2" xfId="30948" xr:uid="{02D13495-9FA8-413C-BF5A-BE9D5EE011B5}"/>
    <cellStyle name="Input 4 4 2 5" xfId="29331" xr:uid="{00000000-0005-0000-0000-000022530000}"/>
    <cellStyle name="Input 4 4 2 5 2" xfId="33287" xr:uid="{29989921-EBA1-440B-8024-F26209036A54}"/>
    <cellStyle name="Input 4 4 2 6" xfId="30619" xr:uid="{292B09CF-C0B4-42A9-8820-EB8ABD5FF17D}"/>
    <cellStyle name="Input 4 4 3" xfId="27070" xr:uid="{00000000-0005-0000-0000-000023530000}"/>
    <cellStyle name="Input 4 4 3 2" xfId="31803" xr:uid="{234973DF-C1C3-4BF6-9691-486D15CD9DAE}"/>
    <cellStyle name="Input 4 4 4" xfId="26551" xr:uid="{00000000-0005-0000-0000-000024530000}"/>
    <cellStyle name="Input 4 4 4 2" xfId="31338" xr:uid="{1FD9942E-4190-4844-82F2-B959B75B6822}"/>
    <cellStyle name="Input 4 4 5" xfId="26842" xr:uid="{00000000-0005-0000-0000-000025530000}"/>
    <cellStyle name="Input 4 4 5 2" xfId="31603" xr:uid="{A220F3F2-21DA-46BE-B70D-51D351352EEF}"/>
    <cellStyle name="Input 4 4 6" xfId="29332" xr:uid="{00000000-0005-0000-0000-000026530000}"/>
    <cellStyle name="Input 4 4 6 2" xfId="33288" xr:uid="{74CA933B-CC88-4E70-B4BD-04F353F88B64}"/>
    <cellStyle name="Input 4 4 7" xfId="30264" xr:uid="{E521E43A-B0BB-4F35-B3CC-6E2FC8CA4FBC}"/>
    <cellStyle name="Input 4 5" xfId="24712" xr:uid="{00000000-0005-0000-0000-000027530000}"/>
    <cellStyle name="Input 4 5 2" xfId="25404" xr:uid="{00000000-0005-0000-0000-000028530000}"/>
    <cellStyle name="Input 4 5 2 2" xfId="27558" xr:uid="{00000000-0005-0000-0000-000029530000}"/>
    <cellStyle name="Input 4 5 2 2 2" xfId="32149" xr:uid="{361E3422-0ED0-49A3-B155-C64B3C6A945F}"/>
    <cellStyle name="Input 4 5 2 3" xfId="29210" xr:uid="{00000000-0005-0000-0000-00002A530000}"/>
    <cellStyle name="Input 4 5 2 3 2" xfId="33193" xr:uid="{F52C6C50-09E6-481E-B030-B701B758964E}"/>
    <cellStyle name="Input 4 5 2 4" xfId="26258" xr:uid="{00000000-0005-0000-0000-00002B530000}"/>
    <cellStyle name="Input 4 5 2 4 2" xfId="31046" xr:uid="{58C69855-BE3D-4551-B524-8F3A1AACDAFE}"/>
    <cellStyle name="Input 4 5 2 5" xfId="29329" xr:uid="{00000000-0005-0000-0000-00002C530000}"/>
    <cellStyle name="Input 4 5 2 5 2" xfId="33285" xr:uid="{E50134C1-5398-4EEF-92DF-8536AB476855}"/>
    <cellStyle name="Input 4 5 2 6" xfId="30562" xr:uid="{9DB2E606-64BC-441D-959B-0C351AD4E5E5}"/>
    <cellStyle name="Input 4 5 3" xfId="25664" xr:uid="{00000000-0005-0000-0000-00002D530000}"/>
    <cellStyle name="Input 4 5 3 2" xfId="27817" xr:uid="{00000000-0005-0000-0000-00002E530000}"/>
    <cellStyle name="Input 4 5 3 2 2" xfId="32404" xr:uid="{97A9A552-3755-4EDD-AC42-E4B0037F2B74}"/>
    <cellStyle name="Input 4 5 3 3" xfId="29244" xr:uid="{00000000-0005-0000-0000-00002F530000}"/>
    <cellStyle name="Input 4 5 3 3 2" xfId="33226" xr:uid="{721CD8CB-90E4-4745-AF32-38BC72D4072D}"/>
    <cellStyle name="Input 4 5 3 4" xfId="26694" xr:uid="{00000000-0005-0000-0000-000030530000}"/>
    <cellStyle name="Input 4 5 3 4 2" xfId="31456" xr:uid="{651D5E28-C38C-45D4-8546-81AF4F93749D}"/>
    <cellStyle name="Input 4 5 3 5" xfId="29328" xr:uid="{00000000-0005-0000-0000-000031530000}"/>
    <cellStyle name="Input 4 5 3 5 2" xfId="33284" xr:uid="{F0F2360A-24D1-40A6-AF56-8A6D185B347E}"/>
    <cellStyle name="Input 4 5 3 6" xfId="30658" xr:uid="{147F26AE-F437-4E92-B9C7-EDB9331E6ACD}"/>
    <cellStyle name="Input 4 5 4" xfId="27297" xr:uid="{00000000-0005-0000-0000-000032530000}"/>
    <cellStyle name="Input 4 5 4 2" xfId="31926" xr:uid="{9F660A37-99AF-48B3-BE06-EA1B8383F4B2}"/>
    <cellStyle name="Input 4 5 5" xfId="26665" xr:uid="{00000000-0005-0000-0000-000033530000}"/>
    <cellStyle name="Input 4 5 5 2" xfId="31434" xr:uid="{0F35B2AF-FF29-4ECE-9F1A-A05EF78A2067}"/>
    <cellStyle name="Input 4 5 6" xfId="27027" xr:uid="{00000000-0005-0000-0000-000034530000}"/>
    <cellStyle name="Input 4 5 6 2" xfId="31787" xr:uid="{E8A15901-586B-434D-AE3A-92DCC4D424A0}"/>
    <cellStyle name="Input 4 5 7" xfId="29330" xr:uid="{00000000-0005-0000-0000-000035530000}"/>
    <cellStyle name="Input 4 5 7 2" xfId="33286" xr:uid="{A8A71B7B-6B5E-4DA1-841E-DEC26C100AD4}"/>
    <cellStyle name="Input 4 5 8" xfId="30366" xr:uid="{0AF9FB74-C4A5-48E0-882E-11F864C356CC}"/>
    <cellStyle name="Input 4 6" xfId="25030" xr:uid="{00000000-0005-0000-0000-000036530000}"/>
    <cellStyle name="Input 4 6 2" xfId="25397" xr:uid="{00000000-0005-0000-0000-000037530000}"/>
    <cellStyle name="Input 4 6 2 2" xfId="27551" xr:uid="{00000000-0005-0000-0000-000038530000}"/>
    <cellStyle name="Input 4 6 2 2 2" xfId="32142" xr:uid="{5F05A1A7-BAD8-46D6-8CDA-532098FE6BB8}"/>
    <cellStyle name="Input 4 6 2 3" xfId="29208" xr:uid="{00000000-0005-0000-0000-000039530000}"/>
    <cellStyle name="Input 4 6 2 3 2" xfId="33191" xr:uid="{7D168F9B-BC40-4929-A88D-ECD7C661A83D}"/>
    <cellStyle name="Input 4 6 2 4" xfId="26908" xr:uid="{00000000-0005-0000-0000-00003A530000}"/>
    <cellStyle name="Input 4 6 2 4 2" xfId="31669" xr:uid="{DD163B9F-3B4F-47BF-97C5-ED049997C0B7}"/>
    <cellStyle name="Input 4 6 2 5" xfId="29326" xr:uid="{00000000-0005-0000-0000-00003B530000}"/>
    <cellStyle name="Input 4 6 2 5 2" xfId="33282" xr:uid="{D005D653-090D-4BC8-8553-80FF809D8BFA}"/>
    <cellStyle name="Input 4 6 2 6" xfId="30555" xr:uid="{30622848-1D74-45B2-92D5-946668B8ABB3}"/>
    <cellStyle name="Input 4 6 3" xfId="25675" xr:uid="{00000000-0005-0000-0000-00003C530000}"/>
    <cellStyle name="Input 4 6 3 2" xfId="27828" xr:uid="{00000000-0005-0000-0000-00003D530000}"/>
    <cellStyle name="Input 4 6 3 2 2" xfId="32415" xr:uid="{574839EA-679B-410F-BBF5-07730250D67D}"/>
    <cellStyle name="Input 4 6 3 3" xfId="29255" xr:uid="{00000000-0005-0000-0000-00003E530000}"/>
    <cellStyle name="Input 4 6 3 3 2" xfId="33237" xr:uid="{DB2302E6-2AFA-4172-9BBF-91EAE97E26B6}"/>
    <cellStyle name="Input 4 6 3 4" xfId="26476" xr:uid="{00000000-0005-0000-0000-00003F530000}"/>
    <cellStyle name="Input 4 6 3 4 2" xfId="31264" xr:uid="{8125D50F-5F7E-4913-9C38-24AB884B266A}"/>
    <cellStyle name="Input 4 6 3 5" xfId="29325" xr:uid="{00000000-0005-0000-0000-000040530000}"/>
    <cellStyle name="Input 4 6 3 5 2" xfId="33281" xr:uid="{35A8E568-B7D6-4CAA-9B2E-B8ACD90A6AE0}"/>
    <cellStyle name="Input 4 6 3 6" xfId="30669" xr:uid="{EA477A84-0135-4A97-8B3A-2F9091AA4262}"/>
    <cellStyle name="Input 4 6 4" xfId="27358" xr:uid="{00000000-0005-0000-0000-000041530000}"/>
    <cellStyle name="Input 4 6 4 2" xfId="31956" xr:uid="{6623F5E4-BE65-4BCF-8F94-9A9E74E5A8C7}"/>
    <cellStyle name="Input 4 6 5" xfId="26195" xr:uid="{00000000-0005-0000-0000-000042530000}"/>
    <cellStyle name="Input 4 6 5 2" xfId="30983" xr:uid="{EC771229-312B-4A63-BF99-FE4607370926}"/>
    <cellStyle name="Input 4 6 6" xfId="26405" xr:uid="{00000000-0005-0000-0000-000043530000}"/>
    <cellStyle name="Input 4 6 6 2" xfId="31193" xr:uid="{43202ED2-88D1-4D0D-9257-72E11B82E1B8}"/>
    <cellStyle name="Input 4 6 7" xfId="29327" xr:uid="{00000000-0005-0000-0000-000044530000}"/>
    <cellStyle name="Input 4 6 7 2" xfId="33283" xr:uid="{9B34BF07-3611-4266-8485-01AF8E98ED06}"/>
    <cellStyle name="Input 4 6 8" xfId="30377" xr:uid="{4AEC6F09-3A57-49F7-A9E0-86F7A56D1D70}"/>
    <cellStyle name="Input 40" xfId="3054" xr:uid="{00000000-0005-0000-0000-000045530000}"/>
    <cellStyle name="Input 41" xfId="3055" xr:uid="{00000000-0005-0000-0000-000046530000}"/>
    <cellStyle name="Input 42" xfId="3056" xr:uid="{00000000-0005-0000-0000-000047530000}"/>
    <cellStyle name="Input 43" xfId="3057" xr:uid="{00000000-0005-0000-0000-000048530000}"/>
    <cellStyle name="Input 44" xfId="3058" xr:uid="{00000000-0005-0000-0000-000049530000}"/>
    <cellStyle name="Input 45" xfId="3059" xr:uid="{00000000-0005-0000-0000-00004A530000}"/>
    <cellStyle name="Input 46" xfId="3060" xr:uid="{00000000-0005-0000-0000-00004B530000}"/>
    <cellStyle name="Input 47" xfId="3061" xr:uid="{00000000-0005-0000-0000-00004C530000}"/>
    <cellStyle name="Input 48" xfId="3062" xr:uid="{00000000-0005-0000-0000-00004D530000}"/>
    <cellStyle name="Input 49" xfId="3063" xr:uid="{00000000-0005-0000-0000-00004E530000}"/>
    <cellStyle name="Input 5" xfId="196" xr:uid="{00000000-0005-0000-0000-00004F530000}"/>
    <cellStyle name="Input 5 2" xfId="3064" xr:uid="{00000000-0005-0000-0000-000050530000}"/>
    <cellStyle name="Input 5 3" xfId="13697" xr:uid="{00000000-0005-0000-0000-000051530000}"/>
    <cellStyle name="Input 50" xfId="3065" xr:uid="{00000000-0005-0000-0000-000052530000}"/>
    <cellStyle name="Input 51" xfId="3066" xr:uid="{00000000-0005-0000-0000-000053530000}"/>
    <cellStyle name="Input 52" xfId="3067" xr:uid="{00000000-0005-0000-0000-000054530000}"/>
    <cellStyle name="Input 53" xfId="3068" xr:uid="{00000000-0005-0000-0000-000055530000}"/>
    <cellStyle name="Input 54" xfId="3069" xr:uid="{00000000-0005-0000-0000-000056530000}"/>
    <cellStyle name="Input 55" xfId="3070" xr:uid="{00000000-0005-0000-0000-000057530000}"/>
    <cellStyle name="Input 56" xfId="3071" xr:uid="{00000000-0005-0000-0000-000058530000}"/>
    <cellStyle name="Input 57" xfId="3072" xr:uid="{00000000-0005-0000-0000-000059530000}"/>
    <cellStyle name="Input 58" xfId="3073" xr:uid="{00000000-0005-0000-0000-00005A530000}"/>
    <cellStyle name="Input 59" xfId="3074" xr:uid="{00000000-0005-0000-0000-00005B530000}"/>
    <cellStyle name="Input 6" xfId="197" xr:uid="{00000000-0005-0000-0000-00005C530000}"/>
    <cellStyle name="Input 6 2" xfId="3075" xr:uid="{00000000-0005-0000-0000-00005D530000}"/>
    <cellStyle name="Input 6 3" xfId="13698" xr:uid="{00000000-0005-0000-0000-00005E530000}"/>
    <cellStyle name="Input 60" xfId="3076" xr:uid="{00000000-0005-0000-0000-00005F530000}"/>
    <cellStyle name="Input 61" xfId="3077" xr:uid="{00000000-0005-0000-0000-000060530000}"/>
    <cellStyle name="Input 62" xfId="3078" xr:uid="{00000000-0005-0000-0000-000061530000}"/>
    <cellStyle name="Input 63" xfId="3079" xr:uid="{00000000-0005-0000-0000-000062530000}"/>
    <cellStyle name="Input 64" xfId="3080" xr:uid="{00000000-0005-0000-0000-000063530000}"/>
    <cellStyle name="Input 65" xfId="3081" xr:uid="{00000000-0005-0000-0000-000064530000}"/>
    <cellStyle name="Input 66" xfId="3082" xr:uid="{00000000-0005-0000-0000-000065530000}"/>
    <cellStyle name="Input 67" xfId="3083" xr:uid="{00000000-0005-0000-0000-000066530000}"/>
    <cellStyle name="Input 68" xfId="3084" xr:uid="{00000000-0005-0000-0000-000067530000}"/>
    <cellStyle name="Input 69" xfId="3085" xr:uid="{00000000-0005-0000-0000-000068530000}"/>
    <cellStyle name="Input 7" xfId="198" xr:uid="{00000000-0005-0000-0000-000069530000}"/>
    <cellStyle name="Input 7 2" xfId="3086" xr:uid="{00000000-0005-0000-0000-00006A530000}"/>
    <cellStyle name="Input 7 3" xfId="13699" xr:uid="{00000000-0005-0000-0000-00006B530000}"/>
    <cellStyle name="Input 70" xfId="3087" xr:uid="{00000000-0005-0000-0000-00006C530000}"/>
    <cellStyle name="Input 71" xfId="3088" xr:uid="{00000000-0005-0000-0000-00006D530000}"/>
    <cellStyle name="Input 72" xfId="3089" xr:uid="{00000000-0005-0000-0000-00006E530000}"/>
    <cellStyle name="Input 73" xfId="23922" xr:uid="{00000000-0005-0000-0000-00006F530000}"/>
    <cellStyle name="Input 74" xfId="24261" xr:uid="{00000000-0005-0000-0000-000070530000}"/>
    <cellStyle name="Input 75" xfId="23924" xr:uid="{00000000-0005-0000-0000-000071530000}"/>
    <cellStyle name="Input 76" xfId="24209" xr:uid="{00000000-0005-0000-0000-000072530000}"/>
    <cellStyle name="Input 77" xfId="24519" xr:uid="{00000000-0005-0000-0000-000073530000}"/>
    <cellStyle name="Input 78" xfId="24020" xr:uid="{00000000-0005-0000-0000-000074530000}"/>
    <cellStyle name="Input 79" xfId="24536" xr:uid="{00000000-0005-0000-0000-000075530000}"/>
    <cellStyle name="Input 8" xfId="199" xr:uid="{00000000-0005-0000-0000-000076530000}"/>
    <cellStyle name="Input 8 2" xfId="3090" xr:uid="{00000000-0005-0000-0000-000077530000}"/>
    <cellStyle name="Input 8 3" xfId="13700" xr:uid="{00000000-0005-0000-0000-000078530000}"/>
    <cellStyle name="Input 80" xfId="24541" xr:uid="{00000000-0005-0000-0000-000079530000}"/>
    <cellStyle name="Input 81" xfId="24245" xr:uid="{00000000-0005-0000-0000-00007A530000}"/>
    <cellStyle name="Input 82" xfId="24537" xr:uid="{00000000-0005-0000-0000-00007B530000}"/>
    <cellStyle name="Input 83" xfId="24031" xr:uid="{00000000-0005-0000-0000-00007C530000}"/>
    <cellStyle name="Input 84" xfId="24550" xr:uid="{00000000-0005-0000-0000-00007D530000}"/>
    <cellStyle name="Input 85" xfId="24552" xr:uid="{00000000-0005-0000-0000-00007E530000}"/>
    <cellStyle name="Input 86" xfId="24636" xr:uid="{00000000-0005-0000-0000-00007F530000}"/>
    <cellStyle name="Input 87" xfId="24715" xr:uid="{00000000-0005-0000-0000-000080530000}"/>
    <cellStyle name="Input 88" xfId="24708" xr:uid="{00000000-0005-0000-0000-000081530000}"/>
    <cellStyle name="Input 89" xfId="24918" xr:uid="{00000000-0005-0000-0000-000082530000}"/>
    <cellStyle name="Input 9" xfId="200" xr:uid="{00000000-0005-0000-0000-000083530000}"/>
    <cellStyle name="Input 9 2" xfId="3091" xr:uid="{00000000-0005-0000-0000-000084530000}"/>
    <cellStyle name="Input 9 3" xfId="13701" xr:uid="{00000000-0005-0000-0000-000085530000}"/>
    <cellStyle name="Input 90" xfId="24937" xr:uid="{00000000-0005-0000-0000-000086530000}"/>
    <cellStyle name="Input 91" xfId="24911" xr:uid="{00000000-0005-0000-0000-000087530000}"/>
    <cellStyle name="Input 92" xfId="24672" xr:uid="{00000000-0005-0000-0000-000088530000}"/>
    <cellStyle name="Input 93" xfId="24713" xr:uid="{00000000-0005-0000-0000-000089530000}"/>
    <cellStyle name="Input 94" xfId="24544" xr:uid="{00000000-0005-0000-0000-00008A530000}"/>
    <cellStyle name="Input 95" xfId="24691" xr:uid="{00000000-0005-0000-0000-00008B530000}"/>
    <cellStyle name="Input 96" xfId="24549" xr:uid="{00000000-0005-0000-0000-00008C530000}"/>
    <cellStyle name="Input 97" xfId="24944" xr:uid="{00000000-0005-0000-0000-00008D530000}"/>
    <cellStyle name="Input1" xfId="572" xr:uid="{00000000-0005-0000-0000-00008E530000}"/>
    <cellStyle name="Input1 2" xfId="24124" xr:uid="{00000000-0005-0000-0000-00008F530000}"/>
    <cellStyle name="Input2" xfId="573" xr:uid="{00000000-0005-0000-0000-000090530000}"/>
    <cellStyle name="Input2 2" xfId="24125" xr:uid="{00000000-0005-0000-0000-000091530000}"/>
    <cellStyle name="Input2 2 2" xfId="25312" xr:uid="{00000000-0005-0000-0000-000092530000}"/>
    <cellStyle name="Input2 2 2 2" xfId="27466" xr:uid="{00000000-0005-0000-0000-000093530000}"/>
    <cellStyle name="Input2 2 2 3" xfId="26207" xr:uid="{00000000-0005-0000-0000-000094530000}"/>
    <cellStyle name="Input2 2 2 3 2" xfId="30995" xr:uid="{166DCC96-61D8-4742-9727-5F5EBFB90CB4}"/>
    <cellStyle name="Input2 2 2 4" xfId="29408" xr:uid="{00000000-0005-0000-0000-000095530000}"/>
    <cellStyle name="Input2 2 2 4 2" xfId="33350" xr:uid="{FE33547C-70F4-45BA-9B9E-C2E4570DBBDB}"/>
    <cellStyle name="Input2 2 3" xfId="27071" xr:uid="{00000000-0005-0000-0000-000096530000}"/>
    <cellStyle name="Input2 2 4" xfId="29407" xr:uid="{00000000-0005-0000-0000-000097530000}"/>
    <cellStyle name="Input2 2 4 2" xfId="33349" xr:uid="{6CBECA70-7D2E-4B0A-A5EC-39419953C586}"/>
    <cellStyle name="Input2 3" xfId="25454" xr:uid="{00000000-0005-0000-0000-000098530000}"/>
    <cellStyle name="Input2 3 2" xfId="27608" xr:uid="{00000000-0005-0000-0000-000099530000}"/>
    <cellStyle name="Input2 3 3" xfId="26064" xr:uid="{00000000-0005-0000-0000-00009A530000}"/>
    <cellStyle name="Input2 3 3 2" xfId="30854" xr:uid="{25FD0D2A-680D-4B66-9424-28FEC4ECEC85}"/>
    <cellStyle name="Input2 3 4" xfId="29409" xr:uid="{00000000-0005-0000-0000-00009B530000}"/>
    <cellStyle name="Input2 3 4 2" xfId="33351" xr:uid="{D4CAD5DB-4BD6-4239-968D-EB7CB4708AF4}"/>
    <cellStyle name="Input2 4" xfId="26045" xr:uid="{00000000-0005-0000-0000-00009C530000}"/>
    <cellStyle name="Input2 5" xfId="29406" xr:uid="{00000000-0005-0000-0000-00009D530000}"/>
    <cellStyle name="Input2 5 2" xfId="33348" xr:uid="{656B9B71-B906-4AC2-8C1E-C9F5E39BDC29}"/>
    <cellStyle name="LineItemPrompt" xfId="3092" xr:uid="{00000000-0005-0000-0000-00009E530000}"/>
    <cellStyle name="LineItemValue" xfId="3093" xr:uid="{00000000-0005-0000-0000-00009F530000}"/>
    <cellStyle name="Linked Cell 10" xfId="3094" xr:uid="{00000000-0005-0000-0000-0000A0530000}"/>
    <cellStyle name="Linked Cell 11" xfId="3095" xr:uid="{00000000-0005-0000-0000-0000A1530000}"/>
    <cellStyle name="Linked Cell 12" xfId="3096" xr:uid="{00000000-0005-0000-0000-0000A2530000}"/>
    <cellStyle name="Linked Cell 13" xfId="3097" xr:uid="{00000000-0005-0000-0000-0000A3530000}"/>
    <cellStyle name="Linked Cell 14" xfId="3098" xr:uid="{00000000-0005-0000-0000-0000A4530000}"/>
    <cellStyle name="Linked Cell 15" xfId="3099" xr:uid="{00000000-0005-0000-0000-0000A5530000}"/>
    <cellStyle name="Linked Cell 16" xfId="3100" xr:uid="{00000000-0005-0000-0000-0000A6530000}"/>
    <cellStyle name="Linked Cell 17" xfId="3101" xr:uid="{00000000-0005-0000-0000-0000A7530000}"/>
    <cellStyle name="Linked Cell 18" xfId="3102" xr:uid="{00000000-0005-0000-0000-0000A8530000}"/>
    <cellStyle name="Linked Cell 19" xfId="3103" xr:uid="{00000000-0005-0000-0000-0000A9530000}"/>
    <cellStyle name="Linked Cell 2" xfId="3104" xr:uid="{00000000-0005-0000-0000-0000AA530000}"/>
    <cellStyle name="Linked Cell 2 2" xfId="24127" xr:uid="{00000000-0005-0000-0000-0000AB530000}"/>
    <cellStyle name="Linked Cell 2 3" xfId="24126" xr:uid="{00000000-0005-0000-0000-0000AC530000}"/>
    <cellStyle name="Linked Cell 20" xfId="3105" xr:uid="{00000000-0005-0000-0000-0000AD530000}"/>
    <cellStyle name="Linked Cell 21" xfId="3106" xr:uid="{00000000-0005-0000-0000-0000AE530000}"/>
    <cellStyle name="Linked Cell 22" xfId="3107" xr:uid="{00000000-0005-0000-0000-0000AF530000}"/>
    <cellStyle name="Linked Cell 23" xfId="3108" xr:uid="{00000000-0005-0000-0000-0000B0530000}"/>
    <cellStyle name="Linked Cell 24" xfId="3109" xr:uid="{00000000-0005-0000-0000-0000B1530000}"/>
    <cellStyle name="Linked Cell 25" xfId="3110" xr:uid="{00000000-0005-0000-0000-0000B2530000}"/>
    <cellStyle name="Linked Cell 26" xfId="3111" xr:uid="{00000000-0005-0000-0000-0000B3530000}"/>
    <cellStyle name="Linked Cell 27" xfId="3112" xr:uid="{00000000-0005-0000-0000-0000B4530000}"/>
    <cellStyle name="Linked Cell 28" xfId="3113" xr:uid="{00000000-0005-0000-0000-0000B5530000}"/>
    <cellStyle name="Linked Cell 29" xfId="3114" xr:uid="{00000000-0005-0000-0000-0000B6530000}"/>
    <cellStyle name="Linked Cell 3" xfId="3115" xr:uid="{00000000-0005-0000-0000-0000B7530000}"/>
    <cellStyle name="Linked Cell 3 2" xfId="24128" xr:uid="{00000000-0005-0000-0000-0000B8530000}"/>
    <cellStyle name="Linked Cell 30" xfId="3116" xr:uid="{00000000-0005-0000-0000-0000B9530000}"/>
    <cellStyle name="Linked Cell 31" xfId="3117" xr:uid="{00000000-0005-0000-0000-0000BA530000}"/>
    <cellStyle name="Linked Cell 32" xfId="3118" xr:uid="{00000000-0005-0000-0000-0000BB530000}"/>
    <cellStyle name="Linked Cell 33" xfId="3119" xr:uid="{00000000-0005-0000-0000-0000BC530000}"/>
    <cellStyle name="Linked Cell 34" xfId="3120" xr:uid="{00000000-0005-0000-0000-0000BD530000}"/>
    <cellStyle name="Linked Cell 35" xfId="3121" xr:uid="{00000000-0005-0000-0000-0000BE530000}"/>
    <cellStyle name="Linked Cell 36" xfId="3122" xr:uid="{00000000-0005-0000-0000-0000BF530000}"/>
    <cellStyle name="Linked Cell 37" xfId="3123" xr:uid="{00000000-0005-0000-0000-0000C0530000}"/>
    <cellStyle name="Linked Cell 38" xfId="3124" xr:uid="{00000000-0005-0000-0000-0000C1530000}"/>
    <cellStyle name="Linked Cell 39" xfId="3125" xr:uid="{00000000-0005-0000-0000-0000C2530000}"/>
    <cellStyle name="Linked Cell 4" xfId="3126" xr:uid="{00000000-0005-0000-0000-0000C3530000}"/>
    <cellStyle name="Linked Cell 4 2" xfId="24129" xr:uid="{00000000-0005-0000-0000-0000C4530000}"/>
    <cellStyle name="Linked Cell 40" xfId="3127" xr:uid="{00000000-0005-0000-0000-0000C5530000}"/>
    <cellStyle name="Linked Cell 41" xfId="3128" xr:uid="{00000000-0005-0000-0000-0000C6530000}"/>
    <cellStyle name="Linked Cell 42" xfId="3129" xr:uid="{00000000-0005-0000-0000-0000C7530000}"/>
    <cellStyle name="Linked Cell 43" xfId="3130" xr:uid="{00000000-0005-0000-0000-0000C8530000}"/>
    <cellStyle name="Linked Cell 44" xfId="3131" xr:uid="{00000000-0005-0000-0000-0000C9530000}"/>
    <cellStyle name="Linked Cell 45" xfId="3132" xr:uid="{00000000-0005-0000-0000-0000CA530000}"/>
    <cellStyle name="Linked Cell 46" xfId="3133" xr:uid="{00000000-0005-0000-0000-0000CB530000}"/>
    <cellStyle name="Linked Cell 47" xfId="3134" xr:uid="{00000000-0005-0000-0000-0000CC530000}"/>
    <cellStyle name="Linked Cell 48" xfId="3135" xr:uid="{00000000-0005-0000-0000-0000CD530000}"/>
    <cellStyle name="Linked Cell 49" xfId="3136" xr:uid="{00000000-0005-0000-0000-0000CE530000}"/>
    <cellStyle name="Linked Cell 5" xfId="3137" xr:uid="{00000000-0005-0000-0000-0000CF530000}"/>
    <cellStyle name="Linked Cell 50" xfId="3138" xr:uid="{00000000-0005-0000-0000-0000D0530000}"/>
    <cellStyle name="Linked Cell 51" xfId="3139" xr:uid="{00000000-0005-0000-0000-0000D1530000}"/>
    <cellStyle name="Linked Cell 52" xfId="3140" xr:uid="{00000000-0005-0000-0000-0000D2530000}"/>
    <cellStyle name="Linked Cell 53" xfId="3141" xr:uid="{00000000-0005-0000-0000-0000D3530000}"/>
    <cellStyle name="Linked Cell 54" xfId="3142" xr:uid="{00000000-0005-0000-0000-0000D4530000}"/>
    <cellStyle name="Linked Cell 55" xfId="3143" xr:uid="{00000000-0005-0000-0000-0000D5530000}"/>
    <cellStyle name="Linked Cell 56" xfId="3144" xr:uid="{00000000-0005-0000-0000-0000D6530000}"/>
    <cellStyle name="Linked Cell 57" xfId="3145" xr:uid="{00000000-0005-0000-0000-0000D7530000}"/>
    <cellStyle name="Linked Cell 58" xfId="3146" xr:uid="{00000000-0005-0000-0000-0000D8530000}"/>
    <cellStyle name="Linked Cell 59" xfId="3147" xr:uid="{00000000-0005-0000-0000-0000D9530000}"/>
    <cellStyle name="Linked Cell 6" xfId="3148" xr:uid="{00000000-0005-0000-0000-0000DA530000}"/>
    <cellStyle name="Linked Cell 60" xfId="3149" xr:uid="{00000000-0005-0000-0000-0000DB530000}"/>
    <cellStyle name="Linked Cell 61" xfId="3150" xr:uid="{00000000-0005-0000-0000-0000DC530000}"/>
    <cellStyle name="Linked Cell 62" xfId="3151" xr:uid="{00000000-0005-0000-0000-0000DD530000}"/>
    <cellStyle name="Linked Cell 63" xfId="3152" xr:uid="{00000000-0005-0000-0000-0000DE530000}"/>
    <cellStyle name="Linked Cell 64" xfId="3153" xr:uid="{00000000-0005-0000-0000-0000DF530000}"/>
    <cellStyle name="Linked Cell 65" xfId="3154" xr:uid="{00000000-0005-0000-0000-0000E0530000}"/>
    <cellStyle name="Linked Cell 66" xfId="3155" xr:uid="{00000000-0005-0000-0000-0000E1530000}"/>
    <cellStyle name="Linked Cell 67" xfId="3156" xr:uid="{00000000-0005-0000-0000-0000E2530000}"/>
    <cellStyle name="Linked Cell 68" xfId="3157" xr:uid="{00000000-0005-0000-0000-0000E3530000}"/>
    <cellStyle name="Linked Cell 69" xfId="3158" xr:uid="{00000000-0005-0000-0000-0000E4530000}"/>
    <cellStyle name="Linked Cell 7" xfId="3159" xr:uid="{00000000-0005-0000-0000-0000E5530000}"/>
    <cellStyle name="Linked Cell 70" xfId="3160" xr:uid="{00000000-0005-0000-0000-0000E6530000}"/>
    <cellStyle name="Linked Cell 71" xfId="3161" xr:uid="{00000000-0005-0000-0000-0000E7530000}"/>
    <cellStyle name="Linked Cell 72" xfId="3162" xr:uid="{00000000-0005-0000-0000-0000E8530000}"/>
    <cellStyle name="Linked Cell 8" xfId="3163" xr:uid="{00000000-0005-0000-0000-0000E9530000}"/>
    <cellStyle name="Linked Cell 9" xfId="3164" xr:uid="{00000000-0005-0000-0000-0000EA530000}"/>
    <cellStyle name="Manual-Input" xfId="3165" xr:uid="{00000000-0005-0000-0000-0000EB530000}"/>
    <cellStyle name="Marathon" xfId="46" xr:uid="{00000000-0005-0000-0000-0000EC530000}"/>
    <cellStyle name="Marathon 2" xfId="25810" xr:uid="{00000000-0005-0000-0000-0000ED530000}"/>
    <cellStyle name="MCP" xfId="47" xr:uid="{00000000-0005-0000-0000-0000EE530000}"/>
    <cellStyle name="Multiple" xfId="574" xr:uid="{00000000-0005-0000-0000-0000EF530000}"/>
    <cellStyle name="Multiple [1]" xfId="575" xr:uid="{00000000-0005-0000-0000-0000F0530000}"/>
    <cellStyle name="Multiple [1] 2" xfId="26047" xr:uid="{00000000-0005-0000-0000-0000F1530000}"/>
    <cellStyle name="Multiple 10" xfId="30152" xr:uid="{00000000-0005-0000-0000-0000F2530000}"/>
    <cellStyle name="Multiple 11" xfId="29366" xr:uid="{00000000-0005-0000-0000-0000F3530000}"/>
    <cellStyle name="Multiple 12" xfId="29402" xr:uid="{00000000-0005-0000-0000-0000F4530000}"/>
    <cellStyle name="Multiple 13" xfId="30154" xr:uid="{00000000-0005-0000-0000-0000F5530000}"/>
    <cellStyle name="Multiple 14" xfId="29399" xr:uid="{00000000-0005-0000-0000-0000F6530000}"/>
    <cellStyle name="Multiple 15" xfId="29273" xr:uid="{00000000-0005-0000-0000-0000F7530000}"/>
    <cellStyle name="Multiple 16" xfId="29421" xr:uid="{00000000-0005-0000-0000-0000F8530000}"/>
    <cellStyle name="Multiple 17" xfId="29275" xr:uid="{00000000-0005-0000-0000-0000F9530000}"/>
    <cellStyle name="Multiple 18" xfId="29419" xr:uid="{00000000-0005-0000-0000-0000FA530000}"/>
    <cellStyle name="Multiple 19" xfId="29277" xr:uid="{00000000-0005-0000-0000-0000FB530000}"/>
    <cellStyle name="Multiple 2" xfId="26046" xr:uid="{00000000-0005-0000-0000-0000FC530000}"/>
    <cellStyle name="Multiple 20" xfId="29417" xr:uid="{00000000-0005-0000-0000-0000FD530000}"/>
    <cellStyle name="Multiple 21" xfId="29303" xr:uid="{00000000-0005-0000-0000-0000FE530000}"/>
    <cellStyle name="Multiple 22" xfId="29415" xr:uid="{00000000-0005-0000-0000-0000FF530000}"/>
    <cellStyle name="Multiple 23" xfId="29317" xr:uid="{00000000-0005-0000-0000-000000540000}"/>
    <cellStyle name="Multiple 24" xfId="30156" xr:uid="{00000000-0005-0000-0000-000001540000}"/>
    <cellStyle name="Multiple 25" xfId="29319" xr:uid="{00000000-0005-0000-0000-000002540000}"/>
    <cellStyle name="Multiple 26" xfId="29413" xr:uid="{00000000-0005-0000-0000-000003540000}"/>
    <cellStyle name="Multiple 27" xfId="29321" xr:uid="{00000000-0005-0000-0000-000004540000}"/>
    <cellStyle name="Multiple 28" xfId="30155" xr:uid="{00000000-0005-0000-0000-000005540000}"/>
    <cellStyle name="Multiple 29" xfId="29323" xr:uid="{00000000-0005-0000-0000-000006540000}"/>
    <cellStyle name="Multiple 3" xfId="27000" xr:uid="{00000000-0005-0000-0000-000007540000}"/>
    <cellStyle name="Multiple 30" xfId="29405" xr:uid="{00000000-0005-0000-0000-000008540000}"/>
    <cellStyle name="Multiple 31" xfId="29265" xr:uid="{00000000-0005-0000-0000-000009540000}"/>
    <cellStyle name="Multiple 32" xfId="29428" xr:uid="{00000000-0005-0000-0000-00000A540000}"/>
    <cellStyle name="Multiple 33" xfId="29274" xr:uid="{00000000-0005-0000-0000-00000B540000}"/>
    <cellStyle name="Multiple 34" xfId="29420" xr:uid="{00000000-0005-0000-0000-00000C540000}"/>
    <cellStyle name="Multiple 35" xfId="29276" xr:uid="{00000000-0005-0000-0000-00000D540000}"/>
    <cellStyle name="Multiple 36" xfId="29418" xr:uid="{00000000-0005-0000-0000-00000E540000}"/>
    <cellStyle name="Multiple 37" xfId="29284" xr:uid="{00000000-0005-0000-0000-00000F540000}"/>
    <cellStyle name="Multiple 38" xfId="29416" xr:uid="{00000000-0005-0000-0000-000010540000}"/>
    <cellStyle name="Multiple 39" xfId="29316" xr:uid="{00000000-0005-0000-0000-000011540000}"/>
    <cellStyle name="Multiple 4" xfId="26719" xr:uid="{00000000-0005-0000-0000-000012540000}"/>
    <cellStyle name="Multiple 40" xfId="29414" xr:uid="{00000000-0005-0000-0000-000013540000}"/>
    <cellStyle name="Multiple 41" xfId="29318" xr:uid="{00000000-0005-0000-0000-000014540000}"/>
    <cellStyle name="Multiple 42" xfId="30153" xr:uid="{00000000-0005-0000-0000-000015540000}"/>
    <cellStyle name="Multiple 43" xfId="29320" xr:uid="{00000000-0005-0000-0000-000016540000}"/>
    <cellStyle name="Multiple 44" xfId="29412" xr:uid="{00000000-0005-0000-0000-000017540000}"/>
    <cellStyle name="Multiple 45" xfId="29322" xr:uid="{00000000-0005-0000-0000-000018540000}"/>
    <cellStyle name="Multiple 46" xfId="30160" xr:uid="{DD151B50-0191-4EF8-A8B6-3F913C95CD9E}"/>
    <cellStyle name="Multiple 5" xfId="29235" xr:uid="{00000000-0005-0000-0000-000019540000}"/>
    <cellStyle name="Multiple 6" xfId="29410" xr:uid="{00000000-0005-0000-0000-00001A540000}"/>
    <cellStyle name="Multiple 7" xfId="29324" xr:uid="{00000000-0005-0000-0000-00001B540000}"/>
    <cellStyle name="Multiple 8" xfId="29403" xr:uid="{00000000-0005-0000-0000-00001C540000}"/>
    <cellStyle name="Multiple 9" xfId="29357" xr:uid="{00000000-0005-0000-0000-00001D540000}"/>
    <cellStyle name="Multiple_10_21 A&amp;G Review" xfId="576" xr:uid="{00000000-0005-0000-0000-00001E540000}"/>
    <cellStyle name="Neutral 10" xfId="3166" xr:uid="{00000000-0005-0000-0000-00001F540000}"/>
    <cellStyle name="Neutral 11" xfId="3167" xr:uid="{00000000-0005-0000-0000-000020540000}"/>
    <cellStyle name="Neutral 12" xfId="3168" xr:uid="{00000000-0005-0000-0000-000021540000}"/>
    <cellStyle name="Neutral 13" xfId="3169" xr:uid="{00000000-0005-0000-0000-000022540000}"/>
    <cellStyle name="Neutral 14" xfId="3170" xr:uid="{00000000-0005-0000-0000-000023540000}"/>
    <cellStyle name="Neutral 15" xfId="3171" xr:uid="{00000000-0005-0000-0000-000024540000}"/>
    <cellStyle name="Neutral 16" xfId="3172" xr:uid="{00000000-0005-0000-0000-000025540000}"/>
    <cellStyle name="Neutral 17" xfId="3173" xr:uid="{00000000-0005-0000-0000-000026540000}"/>
    <cellStyle name="Neutral 18" xfId="3174" xr:uid="{00000000-0005-0000-0000-000027540000}"/>
    <cellStyle name="Neutral 19" xfId="3175" xr:uid="{00000000-0005-0000-0000-000028540000}"/>
    <cellStyle name="Neutral 2" xfId="3176" xr:uid="{00000000-0005-0000-0000-000029540000}"/>
    <cellStyle name="Neutral 2 2" xfId="24132" xr:uid="{00000000-0005-0000-0000-00002A540000}"/>
    <cellStyle name="Neutral 2 3" xfId="24131" xr:uid="{00000000-0005-0000-0000-00002B540000}"/>
    <cellStyle name="Neutral 20" xfId="3177" xr:uid="{00000000-0005-0000-0000-00002C540000}"/>
    <cellStyle name="Neutral 21" xfId="3178" xr:uid="{00000000-0005-0000-0000-00002D540000}"/>
    <cellStyle name="Neutral 22" xfId="3179" xr:uid="{00000000-0005-0000-0000-00002E540000}"/>
    <cellStyle name="Neutral 23" xfId="3180" xr:uid="{00000000-0005-0000-0000-00002F540000}"/>
    <cellStyle name="Neutral 24" xfId="3181" xr:uid="{00000000-0005-0000-0000-000030540000}"/>
    <cellStyle name="Neutral 25" xfId="3182" xr:uid="{00000000-0005-0000-0000-000031540000}"/>
    <cellStyle name="Neutral 26" xfId="3183" xr:uid="{00000000-0005-0000-0000-000032540000}"/>
    <cellStyle name="Neutral 27" xfId="3184" xr:uid="{00000000-0005-0000-0000-000033540000}"/>
    <cellStyle name="Neutral 28" xfId="3185" xr:uid="{00000000-0005-0000-0000-000034540000}"/>
    <cellStyle name="Neutral 29" xfId="3186" xr:uid="{00000000-0005-0000-0000-000035540000}"/>
    <cellStyle name="Neutral 3" xfId="3187" xr:uid="{00000000-0005-0000-0000-000036540000}"/>
    <cellStyle name="Neutral 3 2" xfId="24133" xr:uid="{00000000-0005-0000-0000-000037540000}"/>
    <cellStyle name="Neutral 30" xfId="3188" xr:uid="{00000000-0005-0000-0000-000038540000}"/>
    <cellStyle name="Neutral 31" xfId="3189" xr:uid="{00000000-0005-0000-0000-000039540000}"/>
    <cellStyle name="Neutral 32" xfId="3190" xr:uid="{00000000-0005-0000-0000-00003A540000}"/>
    <cellStyle name="Neutral 33" xfId="3191" xr:uid="{00000000-0005-0000-0000-00003B540000}"/>
    <cellStyle name="Neutral 34" xfId="3192" xr:uid="{00000000-0005-0000-0000-00003C540000}"/>
    <cellStyle name="Neutral 35" xfId="3193" xr:uid="{00000000-0005-0000-0000-00003D540000}"/>
    <cellStyle name="Neutral 36" xfId="3194" xr:uid="{00000000-0005-0000-0000-00003E540000}"/>
    <cellStyle name="Neutral 37" xfId="3195" xr:uid="{00000000-0005-0000-0000-00003F540000}"/>
    <cellStyle name="Neutral 38" xfId="3196" xr:uid="{00000000-0005-0000-0000-000040540000}"/>
    <cellStyle name="Neutral 39" xfId="3197" xr:uid="{00000000-0005-0000-0000-000041540000}"/>
    <cellStyle name="Neutral 4" xfId="3198" xr:uid="{00000000-0005-0000-0000-000042540000}"/>
    <cellStyle name="Neutral 4 2" xfId="24134" xr:uid="{00000000-0005-0000-0000-000043540000}"/>
    <cellStyle name="Neutral 40" xfId="3199" xr:uid="{00000000-0005-0000-0000-000044540000}"/>
    <cellStyle name="Neutral 41" xfId="3200" xr:uid="{00000000-0005-0000-0000-000045540000}"/>
    <cellStyle name="Neutral 42" xfId="3201" xr:uid="{00000000-0005-0000-0000-000046540000}"/>
    <cellStyle name="Neutral 43" xfId="3202" xr:uid="{00000000-0005-0000-0000-000047540000}"/>
    <cellStyle name="Neutral 44" xfId="3203" xr:uid="{00000000-0005-0000-0000-000048540000}"/>
    <cellStyle name="Neutral 45" xfId="3204" xr:uid="{00000000-0005-0000-0000-000049540000}"/>
    <cellStyle name="Neutral 46" xfId="3205" xr:uid="{00000000-0005-0000-0000-00004A540000}"/>
    <cellStyle name="Neutral 47" xfId="3206" xr:uid="{00000000-0005-0000-0000-00004B540000}"/>
    <cellStyle name="Neutral 48" xfId="3207" xr:uid="{00000000-0005-0000-0000-00004C540000}"/>
    <cellStyle name="Neutral 49" xfId="3208" xr:uid="{00000000-0005-0000-0000-00004D540000}"/>
    <cellStyle name="Neutral 5" xfId="3209" xr:uid="{00000000-0005-0000-0000-00004E540000}"/>
    <cellStyle name="Neutral 50" xfId="3210" xr:uid="{00000000-0005-0000-0000-00004F540000}"/>
    <cellStyle name="Neutral 51" xfId="3211" xr:uid="{00000000-0005-0000-0000-000050540000}"/>
    <cellStyle name="Neutral 52" xfId="3212" xr:uid="{00000000-0005-0000-0000-000051540000}"/>
    <cellStyle name="Neutral 53" xfId="3213" xr:uid="{00000000-0005-0000-0000-000052540000}"/>
    <cellStyle name="Neutral 54" xfId="3214" xr:uid="{00000000-0005-0000-0000-000053540000}"/>
    <cellStyle name="Neutral 55" xfId="3215" xr:uid="{00000000-0005-0000-0000-000054540000}"/>
    <cellStyle name="Neutral 56" xfId="3216" xr:uid="{00000000-0005-0000-0000-000055540000}"/>
    <cellStyle name="Neutral 57" xfId="3217" xr:uid="{00000000-0005-0000-0000-000056540000}"/>
    <cellStyle name="Neutral 58" xfId="3218" xr:uid="{00000000-0005-0000-0000-000057540000}"/>
    <cellStyle name="Neutral 59" xfId="3219" xr:uid="{00000000-0005-0000-0000-000058540000}"/>
    <cellStyle name="Neutral 6" xfId="3220" xr:uid="{00000000-0005-0000-0000-000059540000}"/>
    <cellStyle name="Neutral 60" xfId="3221" xr:uid="{00000000-0005-0000-0000-00005A540000}"/>
    <cellStyle name="Neutral 61" xfId="3222" xr:uid="{00000000-0005-0000-0000-00005B540000}"/>
    <cellStyle name="Neutral 62" xfId="3223" xr:uid="{00000000-0005-0000-0000-00005C540000}"/>
    <cellStyle name="Neutral 63" xfId="3224" xr:uid="{00000000-0005-0000-0000-00005D540000}"/>
    <cellStyle name="Neutral 64" xfId="3225" xr:uid="{00000000-0005-0000-0000-00005E540000}"/>
    <cellStyle name="Neutral 65" xfId="3226" xr:uid="{00000000-0005-0000-0000-00005F540000}"/>
    <cellStyle name="Neutral 66" xfId="3227" xr:uid="{00000000-0005-0000-0000-000060540000}"/>
    <cellStyle name="Neutral 67" xfId="3228" xr:uid="{00000000-0005-0000-0000-000061540000}"/>
    <cellStyle name="Neutral 68" xfId="3229" xr:uid="{00000000-0005-0000-0000-000062540000}"/>
    <cellStyle name="Neutral 69" xfId="3230" xr:uid="{00000000-0005-0000-0000-000063540000}"/>
    <cellStyle name="Neutral 7" xfId="3231" xr:uid="{00000000-0005-0000-0000-000064540000}"/>
    <cellStyle name="Neutral 70" xfId="3232" xr:uid="{00000000-0005-0000-0000-000065540000}"/>
    <cellStyle name="Neutral 71" xfId="3233" xr:uid="{00000000-0005-0000-0000-000066540000}"/>
    <cellStyle name="Neutral 72" xfId="3234" xr:uid="{00000000-0005-0000-0000-000067540000}"/>
    <cellStyle name="Neutral 8" xfId="3235" xr:uid="{00000000-0005-0000-0000-000068540000}"/>
    <cellStyle name="Neutral 9" xfId="3236" xr:uid="{00000000-0005-0000-0000-000069540000}"/>
    <cellStyle name="nONE" xfId="48" xr:uid="{00000000-0005-0000-0000-00006A540000}"/>
    <cellStyle name="nONE 2" xfId="201" xr:uid="{00000000-0005-0000-0000-00006B540000}"/>
    <cellStyle name="noninput" xfId="49" xr:uid="{00000000-0005-0000-0000-00006C540000}"/>
    <cellStyle name="Normal" xfId="0" builtinId="0"/>
    <cellStyle name="Normal - Style1" xfId="50" xr:uid="{00000000-0005-0000-0000-00006E540000}"/>
    <cellStyle name="Normal - Style1 2" xfId="25811" xr:uid="{00000000-0005-0000-0000-00006F540000}"/>
    <cellStyle name="Normal 10" xfId="309" xr:uid="{00000000-0005-0000-0000-000070540000}"/>
    <cellStyle name="Normal 10 10" xfId="25764" xr:uid="{00000000-0005-0000-0000-000071540000}"/>
    <cellStyle name="Normal 10 10 2" xfId="29000" xr:uid="{00000000-0005-0000-0000-000072540000}"/>
    <cellStyle name="Normal 10 11" xfId="25789" xr:uid="{00000000-0005-0000-0000-000073540000}"/>
    <cellStyle name="Normal 10 11 2" xfId="29001" xr:uid="{00000000-0005-0000-0000-000074540000}"/>
    <cellStyle name="Normal 10 11 3" xfId="28742" xr:uid="{00000000-0005-0000-0000-000075540000}"/>
    <cellStyle name="Normal 10 12" xfId="28743" xr:uid="{00000000-0005-0000-0000-000076540000}"/>
    <cellStyle name="Normal 10 12 2" xfId="29002" xr:uid="{00000000-0005-0000-0000-000077540000}"/>
    <cellStyle name="Normal 10 13" xfId="28744" xr:uid="{00000000-0005-0000-0000-000078540000}"/>
    <cellStyle name="Normal 10 13 2" xfId="29003" xr:uid="{00000000-0005-0000-0000-000079540000}"/>
    <cellStyle name="Normal 10 2" xfId="646" xr:uid="{00000000-0005-0000-0000-00007A540000}"/>
    <cellStyle name="Normal 10 2 2" xfId="12453" xr:uid="{00000000-0005-0000-0000-00007B540000}"/>
    <cellStyle name="Normal 10 2 2 2" xfId="23741" xr:uid="{00000000-0005-0000-0000-00007C540000}"/>
    <cellStyle name="Normal 10 2 2 3" xfId="29004" xr:uid="{00000000-0005-0000-0000-00007D540000}"/>
    <cellStyle name="Normal 10 2 3" xfId="10459" xr:uid="{00000000-0005-0000-0000-00007E540000}"/>
    <cellStyle name="Normal 10 2 3 2" xfId="21747" xr:uid="{00000000-0005-0000-0000-00007F540000}"/>
    <cellStyle name="Normal 10 2 4" xfId="8465" xr:uid="{00000000-0005-0000-0000-000080540000}"/>
    <cellStyle name="Normal 10 2 4 2" xfId="19753" xr:uid="{00000000-0005-0000-0000-000081540000}"/>
    <cellStyle name="Normal 10 2 5" xfId="6471" xr:uid="{00000000-0005-0000-0000-000082540000}"/>
    <cellStyle name="Normal 10 2 5 2" xfId="17759" xr:uid="{00000000-0005-0000-0000-000083540000}"/>
    <cellStyle name="Normal 10 2 6" xfId="4474" xr:uid="{00000000-0005-0000-0000-000084540000}"/>
    <cellStyle name="Normal 10 2 6 2" xfId="15765" xr:uid="{00000000-0005-0000-0000-000085540000}"/>
    <cellStyle name="Normal 10 2 7" xfId="24135" xr:uid="{00000000-0005-0000-0000-000086540000}"/>
    <cellStyle name="Normal 10 2 7 2" xfId="27075" xr:uid="{00000000-0005-0000-0000-000087540000}"/>
    <cellStyle name="Normal 10 3" xfId="11456" xr:uid="{00000000-0005-0000-0000-000088540000}"/>
    <cellStyle name="Normal 10 3 2" xfId="22744" xr:uid="{00000000-0005-0000-0000-000089540000}"/>
    <cellStyle name="Normal 10 3 2 2" xfId="29005" xr:uid="{00000000-0005-0000-0000-00008A540000}"/>
    <cellStyle name="Normal 10 3 3" xfId="28745" xr:uid="{00000000-0005-0000-0000-00008B540000}"/>
    <cellStyle name="Normal 10 4" xfId="9462" xr:uid="{00000000-0005-0000-0000-00008C540000}"/>
    <cellStyle name="Normal 10 4 2" xfId="20750" xr:uid="{00000000-0005-0000-0000-00008D540000}"/>
    <cellStyle name="Normal 10 4 2 2" xfId="29006" xr:uid="{00000000-0005-0000-0000-00008E540000}"/>
    <cellStyle name="Normal 10 4 3" xfId="28746" xr:uid="{00000000-0005-0000-0000-00008F540000}"/>
    <cellStyle name="Normal 10 5" xfId="7468" xr:uid="{00000000-0005-0000-0000-000090540000}"/>
    <cellStyle name="Normal 10 5 2" xfId="18756" xr:uid="{00000000-0005-0000-0000-000091540000}"/>
    <cellStyle name="Normal 10 5 2 2" xfId="29007" xr:uid="{00000000-0005-0000-0000-000092540000}"/>
    <cellStyle name="Normal 10 5 3" xfId="28747" xr:uid="{00000000-0005-0000-0000-000093540000}"/>
    <cellStyle name="Normal 10 6" xfId="5474" xr:uid="{00000000-0005-0000-0000-000094540000}"/>
    <cellStyle name="Normal 10 6 2" xfId="16762" xr:uid="{00000000-0005-0000-0000-000095540000}"/>
    <cellStyle name="Normal 10 6 2 2" xfId="29008" xr:uid="{00000000-0005-0000-0000-000096540000}"/>
    <cellStyle name="Normal 10 6 3" xfId="28748" xr:uid="{00000000-0005-0000-0000-000097540000}"/>
    <cellStyle name="Normal 10 7" xfId="3237" xr:uid="{00000000-0005-0000-0000-000098540000}"/>
    <cellStyle name="Normal 10 7 2" xfId="14768" xr:uid="{00000000-0005-0000-0000-000099540000}"/>
    <cellStyle name="Normal 10 7 2 2" xfId="29009" xr:uid="{00000000-0005-0000-0000-00009A540000}"/>
    <cellStyle name="Normal 10 7 3" xfId="28749" xr:uid="{00000000-0005-0000-0000-00009B540000}"/>
    <cellStyle name="Normal 10 8" xfId="13746" xr:uid="{00000000-0005-0000-0000-00009C540000}"/>
    <cellStyle name="Normal 10 8 2" xfId="26658" xr:uid="{00000000-0005-0000-0000-00009D540000}"/>
    <cellStyle name="Normal 10 8 2 2" xfId="29010" xr:uid="{00000000-0005-0000-0000-00009E540000}"/>
    <cellStyle name="Normal 10 9" xfId="13454" xr:uid="{00000000-0005-0000-0000-00009F540000}"/>
    <cellStyle name="Normal 10 9 2" xfId="29011" xr:uid="{00000000-0005-0000-0000-0000A0540000}"/>
    <cellStyle name="Normal 10 9 3" xfId="28750" xr:uid="{00000000-0005-0000-0000-0000A1540000}"/>
    <cellStyle name="Normal 100" xfId="25761" xr:uid="{00000000-0005-0000-0000-0000A2540000}"/>
    <cellStyle name="Normal 100 2" xfId="27899" xr:uid="{00000000-0005-0000-0000-0000A3540000}"/>
    <cellStyle name="Normal 101" xfId="25795" xr:uid="{00000000-0005-0000-0000-0000A4540000}"/>
    <cellStyle name="Normal 101 2" xfId="29411" xr:uid="{00000000-0005-0000-0000-0000A5540000}"/>
    <cellStyle name="Normal 102" xfId="28612" xr:uid="{00000000-0005-0000-0000-0000A6540000}"/>
    <cellStyle name="Normal 103" xfId="27901" xr:uid="{00000000-0005-0000-0000-0000A7540000}"/>
    <cellStyle name="Normal 104" xfId="29170" xr:uid="{00000000-0005-0000-0000-0000A8540000}"/>
    <cellStyle name="Normal 105" xfId="29173" xr:uid="{00000000-0005-0000-0000-0000A9540000}"/>
    <cellStyle name="Normal 106" xfId="29174" xr:uid="{00000000-0005-0000-0000-0000AA540000}"/>
    <cellStyle name="Normal 107" xfId="29175" xr:uid="{00000000-0005-0000-0000-0000AB540000}"/>
    <cellStyle name="Normal 108" xfId="29180" xr:uid="{00000000-0005-0000-0000-0000AC540000}"/>
    <cellStyle name="Normal 109" xfId="27920" xr:uid="{00000000-0005-0000-0000-0000AD540000}"/>
    <cellStyle name="Normal 11" xfId="167" xr:uid="{00000000-0005-0000-0000-0000AE540000}"/>
    <cellStyle name="Normal 11 10" xfId="25881" xr:uid="{00000000-0005-0000-0000-0000AF540000}"/>
    <cellStyle name="Normal 11 10 2" xfId="29012" xr:uid="{00000000-0005-0000-0000-0000B0540000}"/>
    <cellStyle name="Normal 11 11" xfId="28751" xr:uid="{00000000-0005-0000-0000-0000B1540000}"/>
    <cellStyle name="Normal 11 11 2" xfId="29013" xr:uid="{00000000-0005-0000-0000-0000B2540000}"/>
    <cellStyle name="Normal 11 12" xfId="28752" xr:uid="{00000000-0005-0000-0000-0000B3540000}"/>
    <cellStyle name="Normal 11 12 2" xfId="29014" xr:uid="{00000000-0005-0000-0000-0000B4540000}"/>
    <cellStyle name="Normal 11 13" xfId="28753" xr:uid="{00000000-0005-0000-0000-0000B5540000}"/>
    <cellStyle name="Normal 11 13 2" xfId="29015" xr:uid="{00000000-0005-0000-0000-0000B6540000}"/>
    <cellStyle name="Normal 11 2" xfId="647" xr:uid="{00000000-0005-0000-0000-0000B7540000}"/>
    <cellStyle name="Normal 11 2 2" xfId="12454" xr:uid="{00000000-0005-0000-0000-0000B8540000}"/>
    <cellStyle name="Normal 11 2 2 2" xfId="23742" xr:uid="{00000000-0005-0000-0000-0000B9540000}"/>
    <cellStyle name="Normal 11 2 2 3" xfId="29016" xr:uid="{00000000-0005-0000-0000-0000BA540000}"/>
    <cellStyle name="Normal 11 2 3" xfId="10460" xr:uid="{00000000-0005-0000-0000-0000BB540000}"/>
    <cellStyle name="Normal 11 2 3 2" xfId="21748" xr:uid="{00000000-0005-0000-0000-0000BC540000}"/>
    <cellStyle name="Normal 11 2 4" xfId="8466" xr:uid="{00000000-0005-0000-0000-0000BD540000}"/>
    <cellStyle name="Normal 11 2 4 2" xfId="19754" xr:uid="{00000000-0005-0000-0000-0000BE540000}"/>
    <cellStyle name="Normal 11 2 5" xfId="6472" xr:uid="{00000000-0005-0000-0000-0000BF540000}"/>
    <cellStyle name="Normal 11 2 5 2" xfId="17760" xr:uid="{00000000-0005-0000-0000-0000C0540000}"/>
    <cellStyle name="Normal 11 2 6" xfId="4475" xr:uid="{00000000-0005-0000-0000-0000C1540000}"/>
    <cellStyle name="Normal 11 2 6 2" xfId="15766" xr:uid="{00000000-0005-0000-0000-0000C2540000}"/>
    <cellStyle name="Normal 11 2 7" xfId="28754" xr:uid="{00000000-0005-0000-0000-0000C3540000}"/>
    <cellStyle name="Normal 11 3" xfId="11457" xr:uid="{00000000-0005-0000-0000-0000C4540000}"/>
    <cellStyle name="Normal 11 3 2" xfId="22745" xr:uid="{00000000-0005-0000-0000-0000C5540000}"/>
    <cellStyle name="Normal 11 3 2 2" xfId="29017" xr:uid="{00000000-0005-0000-0000-0000C6540000}"/>
    <cellStyle name="Normal 11 3 3" xfId="28755" xr:uid="{00000000-0005-0000-0000-0000C7540000}"/>
    <cellStyle name="Normal 11 4" xfId="9463" xr:uid="{00000000-0005-0000-0000-0000C8540000}"/>
    <cellStyle name="Normal 11 4 2" xfId="20751" xr:uid="{00000000-0005-0000-0000-0000C9540000}"/>
    <cellStyle name="Normal 11 4 2 2" xfId="29018" xr:uid="{00000000-0005-0000-0000-0000CA540000}"/>
    <cellStyle name="Normal 11 4 3" xfId="28756" xr:uid="{00000000-0005-0000-0000-0000CB540000}"/>
    <cellStyle name="Normal 11 5" xfId="7469" xr:uid="{00000000-0005-0000-0000-0000CC540000}"/>
    <cellStyle name="Normal 11 5 2" xfId="18757" xr:uid="{00000000-0005-0000-0000-0000CD540000}"/>
    <cellStyle name="Normal 11 5 2 2" xfId="29019" xr:uid="{00000000-0005-0000-0000-0000CE540000}"/>
    <cellStyle name="Normal 11 5 3" xfId="28757" xr:uid="{00000000-0005-0000-0000-0000CF540000}"/>
    <cellStyle name="Normal 11 6" xfId="5475" xr:uid="{00000000-0005-0000-0000-0000D0540000}"/>
    <cellStyle name="Normal 11 6 2" xfId="16763" xr:uid="{00000000-0005-0000-0000-0000D1540000}"/>
    <cellStyle name="Normal 11 6 2 2" xfId="29020" xr:uid="{00000000-0005-0000-0000-0000D2540000}"/>
    <cellStyle name="Normal 11 6 3" xfId="28758" xr:uid="{00000000-0005-0000-0000-0000D3540000}"/>
    <cellStyle name="Normal 11 7" xfId="3238" xr:uid="{00000000-0005-0000-0000-0000D4540000}"/>
    <cellStyle name="Normal 11 7 2" xfId="14769" xr:uid="{00000000-0005-0000-0000-0000D5540000}"/>
    <cellStyle name="Normal 11 7 2 2" xfId="29021" xr:uid="{00000000-0005-0000-0000-0000D6540000}"/>
    <cellStyle name="Normal 11 7 3" xfId="28759" xr:uid="{00000000-0005-0000-0000-0000D7540000}"/>
    <cellStyle name="Normal 11 8" xfId="13683" xr:uid="{00000000-0005-0000-0000-0000D8540000}"/>
    <cellStyle name="Normal 11 8 2" xfId="26623" xr:uid="{00000000-0005-0000-0000-0000D9540000}"/>
    <cellStyle name="Normal 11 8 2 2" xfId="29022" xr:uid="{00000000-0005-0000-0000-0000DA540000}"/>
    <cellStyle name="Normal 11 9" xfId="13455" xr:uid="{00000000-0005-0000-0000-0000DB540000}"/>
    <cellStyle name="Normal 11 9 2" xfId="29023" xr:uid="{00000000-0005-0000-0000-0000DC540000}"/>
    <cellStyle name="Normal 11 9 3" xfId="28760" xr:uid="{00000000-0005-0000-0000-0000DD540000}"/>
    <cellStyle name="Normal 110" xfId="27921" xr:uid="{00000000-0005-0000-0000-0000DE540000}"/>
    <cellStyle name="Normal 12" xfId="307" xr:uid="{00000000-0005-0000-0000-0000DF540000}"/>
    <cellStyle name="Normal 12 10" xfId="24136" xr:uid="{00000000-0005-0000-0000-0000E0540000}"/>
    <cellStyle name="Normal 12 10 2" xfId="29024" xr:uid="{00000000-0005-0000-0000-0000E1540000}"/>
    <cellStyle name="Normal 12 10 3" xfId="28761" xr:uid="{00000000-0005-0000-0000-0000E2540000}"/>
    <cellStyle name="Normal 12 11" xfId="25958" xr:uid="{00000000-0005-0000-0000-0000E3540000}"/>
    <cellStyle name="Normal 12 11 2" xfId="29025" xr:uid="{00000000-0005-0000-0000-0000E4540000}"/>
    <cellStyle name="Normal 12 12" xfId="28762" xr:uid="{00000000-0005-0000-0000-0000E5540000}"/>
    <cellStyle name="Normal 12 12 2" xfId="29026" xr:uid="{00000000-0005-0000-0000-0000E6540000}"/>
    <cellStyle name="Normal 12 13" xfId="28763" xr:uid="{00000000-0005-0000-0000-0000E7540000}"/>
    <cellStyle name="Normal 12 13 2" xfId="29027" xr:uid="{00000000-0005-0000-0000-0000E8540000}"/>
    <cellStyle name="Normal 12 2" xfId="648" xr:uid="{00000000-0005-0000-0000-0000E9540000}"/>
    <cellStyle name="Normal 12 2 2" xfId="12455" xr:uid="{00000000-0005-0000-0000-0000EA540000}"/>
    <cellStyle name="Normal 12 2 2 2" xfId="23743" xr:uid="{00000000-0005-0000-0000-0000EB540000}"/>
    <cellStyle name="Normal 12 2 2 3" xfId="29028" xr:uid="{00000000-0005-0000-0000-0000EC540000}"/>
    <cellStyle name="Normal 12 2 3" xfId="10461" xr:uid="{00000000-0005-0000-0000-0000ED540000}"/>
    <cellStyle name="Normal 12 2 3 2" xfId="21749" xr:uid="{00000000-0005-0000-0000-0000EE540000}"/>
    <cellStyle name="Normal 12 2 4" xfId="8467" xr:uid="{00000000-0005-0000-0000-0000EF540000}"/>
    <cellStyle name="Normal 12 2 4 2" xfId="19755" xr:uid="{00000000-0005-0000-0000-0000F0540000}"/>
    <cellStyle name="Normal 12 2 5" xfId="6473" xr:uid="{00000000-0005-0000-0000-0000F1540000}"/>
    <cellStyle name="Normal 12 2 5 2" xfId="17761" xr:uid="{00000000-0005-0000-0000-0000F2540000}"/>
    <cellStyle name="Normal 12 2 6" xfId="4476" xr:uid="{00000000-0005-0000-0000-0000F3540000}"/>
    <cellStyle name="Normal 12 2 6 2" xfId="15767" xr:uid="{00000000-0005-0000-0000-0000F4540000}"/>
    <cellStyle name="Normal 12 2 7" xfId="24137" xr:uid="{00000000-0005-0000-0000-0000F5540000}"/>
    <cellStyle name="Normal 12 2 8" xfId="28764" xr:uid="{00000000-0005-0000-0000-0000F6540000}"/>
    <cellStyle name="Normal 12 3" xfId="11458" xr:uid="{00000000-0005-0000-0000-0000F7540000}"/>
    <cellStyle name="Normal 12 3 2" xfId="22746" xr:uid="{00000000-0005-0000-0000-0000F8540000}"/>
    <cellStyle name="Normal 12 3 2 2" xfId="29029" xr:uid="{00000000-0005-0000-0000-0000F9540000}"/>
    <cellStyle name="Normal 12 3 3" xfId="24301" xr:uid="{00000000-0005-0000-0000-0000FA540000}"/>
    <cellStyle name="Normal 12 3 3 2" xfId="27137" xr:uid="{00000000-0005-0000-0000-0000FB540000}"/>
    <cellStyle name="Normal 12 4" xfId="9464" xr:uid="{00000000-0005-0000-0000-0000FC540000}"/>
    <cellStyle name="Normal 12 4 2" xfId="20752" xr:uid="{00000000-0005-0000-0000-0000FD540000}"/>
    <cellStyle name="Normal 12 4 2 2" xfId="29030" xr:uid="{00000000-0005-0000-0000-0000FE540000}"/>
    <cellStyle name="Normal 12 4 3" xfId="28765" xr:uid="{00000000-0005-0000-0000-0000FF540000}"/>
    <cellStyle name="Normal 12 5" xfId="7470" xr:uid="{00000000-0005-0000-0000-000000550000}"/>
    <cellStyle name="Normal 12 5 2" xfId="18758" xr:uid="{00000000-0005-0000-0000-000001550000}"/>
    <cellStyle name="Normal 12 5 2 2" xfId="29031" xr:uid="{00000000-0005-0000-0000-000002550000}"/>
    <cellStyle name="Normal 12 5 3" xfId="28766" xr:uid="{00000000-0005-0000-0000-000003550000}"/>
    <cellStyle name="Normal 12 6" xfId="5476" xr:uid="{00000000-0005-0000-0000-000004550000}"/>
    <cellStyle name="Normal 12 6 2" xfId="16764" xr:uid="{00000000-0005-0000-0000-000005550000}"/>
    <cellStyle name="Normal 12 6 2 2" xfId="29032" xr:uid="{00000000-0005-0000-0000-000006550000}"/>
    <cellStyle name="Normal 12 6 3" xfId="28767" xr:uid="{00000000-0005-0000-0000-000007550000}"/>
    <cellStyle name="Normal 12 7" xfId="3239" xr:uid="{00000000-0005-0000-0000-000008550000}"/>
    <cellStyle name="Normal 12 7 2" xfId="14770" xr:uid="{00000000-0005-0000-0000-000009550000}"/>
    <cellStyle name="Normal 12 7 2 2" xfId="29033" xr:uid="{00000000-0005-0000-0000-00000A550000}"/>
    <cellStyle name="Normal 12 7 3" xfId="28768" xr:uid="{00000000-0005-0000-0000-00000B550000}"/>
    <cellStyle name="Normal 12 8" xfId="13745" xr:uid="{00000000-0005-0000-0000-00000C550000}"/>
    <cellStyle name="Normal 12 8 2" xfId="26657" xr:uid="{00000000-0005-0000-0000-00000D550000}"/>
    <cellStyle name="Normal 12 8 2 2" xfId="29034" xr:uid="{00000000-0005-0000-0000-00000E550000}"/>
    <cellStyle name="Normal 12 9" xfId="13456" xr:uid="{00000000-0005-0000-0000-00000F550000}"/>
    <cellStyle name="Normal 12 9 2" xfId="29035" xr:uid="{00000000-0005-0000-0000-000010550000}"/>
    <cellStyle name="Normal 12 9 3" xfId="28769" xr:uid="{00000000-0005-0000-0000-000011550000}"/>
    <cellStyle name="Normal 13" xfId="324" xr:uid="{00000000-0005-0000-0000-000012550000}"/>
    <cellStyle name="Normal 13 10" xfId="23930" xr:uid="{00000000-0005-0000-0000-000013550000}"/>
    <cellStyle name="Normal 13 10 2" xfId="29036" xr:uid="{00000000-0005-0000-0000-000014550000}"/>
    <cellStyle name="Normal 13 10 3" xfId="28770" xr:uid="{00000000-0005-0000-0000-000015550000}"/>
    <cellStyle name="Normal 13 11" xfId="24557" xr:uid="{00000000-0005-0000-0000-000016550000}"/>
    <cellStyle name="Normal 13 11 2" xfId="29037" xr:uid="{00000000-0005-0000-0000-000017550000}"/>
    <cellStyle name="Normal 13 11 3" xfId="28771" xr:uid="{00000000-0005-0000-0000-000018550000}"/>
    <cellStyle name="Normal 13 12" xfId="24947" xr:uid="{00000000-0005-0000-0000-000019550000}"/>
    <cellStyle name="Normal 13 12 2" xfId="29038" xr:uid="{00000000-0005-0000-0000-00001A550000}"/>
    <cellStyle name="Normal 13 12 3" xfId="28772" xr:uid="{00000000-0005-0000-0000-00001B550000}"/>
    <cellStyle name="Normal 13 13" xfId="25966" xr:uid="{00000000-0005-0000-0000-00001C550000}"/>
    <cellStyle name="Normal 13 13 2" xfId="29039" xr:uid="{00000000-0005-0000-0000-00001D550000}"/>
    <cellStyle name="Normal 13 2" xfId="649" xr:uid="{00000000-0005-0000-0000-00001E550000}"/>
    <cellStyle name="Normal 13 2 10" xfId="28773" xr:uid="{00000000-0005-0000-0000-00001F550000}"/>
    <cellStyle name="Normal 13 2 2" xfId="12456" xr:uid="{00000000-0005-0000-0000-000020550000}"/>
    <cellStyle name="Normal 13 2 2 2" xfId="23744" xr:uid="{00000000-0005-0000-0000-000021550000}"/>
    <cellStyle name="Normal 13 2 2 3" xfId="29040" xr:uid="{00000000-0005-0000-0000-000022550000}"/>
    <cellStyle name="Normal 13 2 3" xfId="10462" xr:uid="{00000000-0005-0000-0000-000023550000}"/>
    <cellStyle name="Normal 13 2 3 2" xfId="21750" xr:uid="{00000000-0005-0000-0000-000024550000}"/>
    <cellStyle name="Normal 13 2 4" xfId="8468" xr:uid="{00000000-0005-0000-0000-000025550000}"/>
    <cellStyle name="Normal 13 2 4 2" xfId="19756" xr:uid="{00000000-0005-0000-0000-000026550000}"/>
    <cellStyle name="Normal 13 2 5" xfId="6474" xr:uid="{00000000-0005-0000-0000-000027550000}"/>
    <cellStyle name="Normal 13 2 5 2" xfId="17762" xr:uid="{00000000-0005-0000-0000-000028550000}"/>
    <cellStyle name="Normal 13 2 6" xfId="4477" xr:uid="{00000000-0005-0000-0000-000029550000}"/>
    <cellStyle name="Normal 13 2 6 2" xfId="15768" xr:uid="{00000000-0005-0000-0000-00002A550000}"/>
    <cellStyle name="Normal 13 2 7" xfId="24318" xr:uid="{00000000-0005-0000-0000-00002B550000}"/>
    <cellStyle name="Normal 13 2 8" xfId="24782" xr:uid="{00000000-0005-0000-0000-00002C550000}"/>
    <cellStyle name="Normal 13 2 9" xfId="25149" xr:uid="{00000000-0005-0000-0000-00002D550000}"/>
    <cellStyle name="Normal 13 3" xfId="11459" xr:uid="{00000000-0005-0000-0000-00002E550000}"/>
    <cellStyle name="Normal 13 3 2" xfId="22747" xr:uid="{00000000-0005-0000-0000-00002F550000}"/>
    <cellStyle name="Normal 13 3 2 2" xfId="29041" xr:uid="{00000000-0005-0000-0000-000030550000}"/>
    <cellStyle name="Normal 13 3 3" xfId="28774" xr:uid="{00000000-0005-0000-0000-000031550000}"/>
    <cellStyle name="Normal 13 4" xfId="9465" xr:uid="{00000000-0005-0000-0000-000032550000}"/>
    <cellStyle name="Normal 13 4 2" xfId="20753" xr:uid="{00000000-0005-0000-0000-000033550000}"/>
    <cellStyle name="Normal 13 4 2 2" xfId="29042" xr:uid="{00000000-0005-0000-0000-000034550000}"/>
    <cellStyle name="Normal 13 4 3" xfId="28775" xr:uid="{00000000-0005-0000-0000-000035550000}"/>
    <cellStyle name="Normal 13 5" xfId="7471" xr:uid="{00000000-0005-0000-0000-000036550000}"/>
    <cellStyle name="Normal 13 5 2" xfId="18759" xr:uid="{00000000-0005-0000-0000-000037550000}"/>
    <cellStyle name="Normal 13 5 2 2" xfId="29043" xr:uid="{00000000-0005-0000-0000-000038550000}"/>
    <cellStyle name="Normal 13 5 3" xfId="28776" xr:uid="{00000000-0005-0000-0000-000039550000}"/>
    <cellStyle name="Normal 13 6" xfId="5477" xr:uid="{00000000-0005-0000-0000-00003A550000}"/>
    <cellStyle name="Normal 13 6 2" xfId="16765" xr:uid="{00000000-0005-0000-0000-00003B550000}"/>
    <cellStyle name="Normal 13 6 2 2" xfId="29044" xr:uid="{00000000-0005-0000-0000-00003C550000}"/>
    <cellStyle name="Normal 13 6 3" xfId="28777" xr:uid="{00000000-0005-0000-0000-00003D550000}"/>
    <cellStyle name="Normal 13 7" xfId="3240" xr:uid="{00000000-0005-0000-0000-00003E550000}"/>
    <cellStyle name="Normal 13 7 2" xfId="14771" xr:uid="{00000000-0005-0000-0000-00003F550000}"/>
    <cellStyle name="Normal 13 7 2 2" xfId="29045" xr:uid="{00000000-0005-0000-0000-000040550000}"/>
    <cellStyle name="Normal 13 7 3" xfId="28778" xr:uid="{00000000-0005-0000-0000-000041550000}"/>
    <cellStyle name="Normal 13 8" xfId="13755" xr:uid="{00000000-0005-0000-0000-000042550000}"/>
    <cellStyle name="Normal 13 8 2" xfId="26659" xr:uid="{00000000-0005-0000-0000-000043550000}"/>
    <cellStyle name="Normal 13 8 2 2" xfId="29046" xr:uid="{00000000-0005-0000-0000-000044550000}"/>
    <cellStyle name="Normal 13 9" xfId="13457" xr:uid="{00000000-0005-0000-0000-000045550000}"/>
    <cellStyle name="Normal 13 9 2" xfId="29047" xr:uid="{00000000-0005-0000-0000-000046550000}"/>
    <cellStyle name="Normal 13 9 3" xfId="28779" xr:uid="{00000000-0005-0000-0000-000047550000}"/>
    <cellStyle name="Normal 14" xfId="333" xr:uid="{00000000-0005-0000-0000-000048550000}"/>
    <cellStyle name="Normal 14 10" xfId="24138" xr:uid="{00000000-0005-0000-0000-000049550000}"/>
    <cellStyle name="Normal 14 11" xfId="24714" xr:uid="{00000000-0005-0000-0000-00004A550000}"/>
    <cellStyle name="Normal 14 12" xfId="25031" xr:uid="{00000000-0005-0000-0000-00004B550000}"/>
    <cellStyle name="Normal 14 13" xfId="27919" xr:uid="{00000000-0005-0000-0000-00004C550000}"/>
    <cellStyle name="Normal 14 14" xfId="25975" xr:uid="{00000000-0005-0000-0000-00004D550000}"/>
    <cellStyle name="Normal 14 2" xfId="650" xr:uid="{00000000-0005-0000-0000-00004E550000}"/>
    <cellStyle name="Normal 14 2 10" xfId="29048" xr:uid="{00000000-0005-0000-0000-00004F550000}"/>
    <cellStyle name="Normal 14 2 2" xfId="12457" xr:uid="{00000000-0005-0000-0000-000050550000}"/>
    <cellStyle name="Normal 14 2 2 2" xfId="23745" xr:uid="{00000000-0005-0000-0000-000051550000}"/>
    <cellStyle name="Normal 14 2 3" xfId="10463" xr:uid="{00000000-0005-0000-0000-000052550000}"/>
    <cellStyle name="Normal 14 2 3 2" xfId="21751" xr:uid="{00000000-0005-0000-0000-000053550000}"/>
    <cellStyle name="Normal 14 2 4" xfId="8469" xr:uid="{00000000-0005-0000-0000-000054550000}"/>
    <cellStyle name="Normal 14 2 4 2" xfId="19757" xr:uid="{00000000-0005-0000-0000-000055550000}"/>
    <cellStyle name="Normal 14 2 5" xfId="6475" xr:uid="{00000000-0005-0000-0000-000056550000}"/>
    <cellStyle name="Normal 14 2 5 2" xfId="17763" xr:uid="{00000000-0005-0000-0000-000057550000}"/>
    <cellStyle name="Normal 14 2 6" xfId="4478" xr:uid="{00000000-0005-0000-0000-000058550000}"/>
    <cellStyle name="Normal 14 2 6 2" xfId="15769" xr:uid="{00000000-0005-0000-0000-000059550000}"/>
    <cellStyle name="Normal 14 2 7" xfId="24417" xr:uid="{00000000-0005-0000-0000-00005A550000}"/>
    <cellStyle name="Normal 14 2 8" xfId="24862" xr:uid="{00000000-0005-0000-0000-00005B550000}"/>
    <cellStyle name="Normal 14 2 9" xfId="25225" xr:uid="{00000000-0005-0000-0000-00005C550000}"/>
    <cellStyle name="Normal 14 3" xfId="11460" xr:uid="{00000000-0005-0000-0000-00005D550000}"/>
    <cellStyle name="Normal 14 3 2" xfId="22748" xr:uid="{00000000-0005-0000-0000-00005E550000}"/>
    <cellStyle name="Normal 14 4" xfId="9466" xr:uid="{00000000-0005-0000-0000-00005F550000}"/>
    <cellStyle name="Normal 14 4 2" xfId="20754" xr:uid="{00000000-0005-0000-0000-000060550000}"/>
    <cellStyle name="Normal 14 5" xfId="7472" xr:uid="{00000000-0005-0000-0000-000061550000}"/>
    <cellStyle name="Normal 14 5 2" xfId="18760" xr:uid="{00000000-0005-0000-0000-000062550000}"/>
    <cellStyle name="Normal 14 6" xfId="5478" xr:uid="{00000000-0005-0000-0000-000063550000}"/>
    <cellStyle name="Normal 14 6 2" xfId="16766" xr:uid="{00000000-0005-0000-0000-000064550000}"/>
    <cellStyle name="Normal 14 7" xfId="3241" xr:uid="{00000000-0005-0000-0000-000065550000}"/>
    <cellStyle name="Normal 14 7 2" xfId="14772" xr:uid="{00000000-0005-0000-0000-000066550000}"/>
    <cellStyle name="Normal 14 8" xfId="13756" xr:uid="{00000000-0005-0000-0000-000067550000}"/>
    <cellStyle name="Normal 14 8 2" xfId="26660" xr:uid="{00000000-0005-0000-0000-000068550000}"/>
    <cellStyle name="Normal 14 9" xfId="13458" xr:uid="{00000000-0005-0000-0000-000069550000}"/>
    <cellStyle name="Normal 15" xfId="166" xr:uid="{00000000-0005-0000-0000-00006A550000}"/>
    <cellStyle name="Normal 15 10" xfId="28780" xr:uid="{00000000-0005-0000-0000-00006B550000}"/>
    <cellStyle name="Normal 15 2" xfId="651" xr:uid="{00000000-0005-0000-0000-00006C550000}"/>
    <cellStyle name="Normal 15 2 2" xfId="12458" xr:uid="{00000000-0005-0000-0000-00006D550000}"/>
    <cellStyle name="Normal 15 2 2 2" xfId="23746" xr:uid="{00000000-0005-0000-0000-00006E550000}"/>
    <cellStyle name="Normal 15 2 3" xfId="10464" xr:uid="{00000000-0005-0000-0000-00006F550000}"/>
    <cellStyle name="Normal 15 2 3 2" xfId="21752" xr:uid="{00000000-0005-0000-0000-000070550000}"/>
    <cellStyle name="Normal 15 2 4" xfId="8470" xr:uid="{00000000-0005-0000-0000-000071550000}"/>
    <cellStyle name="Normal 15 2 4 2" xfId="19758" xr:uid="{00000000-0005-0000-0000-000072550000}"/>
    <cellStyle name="Normal 15 2 5" xfId="6476" xr:uid="{00000000-0005-0000-0000-000073550000}"/>
    <cellStyle name="Normal 15 2 5 2" xfId="17764" xr:uid="{00000000-0005-0000-0000-000074550000}"/>
    <cellStyle name="Normal 15 2 6" xfId="4479" xr:uid="{00000000-0005-0000-0000-000075550000}"/>
    <cellStyle name="Normal 15 2 6 2" xfId="15770" xr:uid="{00000000-0005-0000-0000-000076550000}"/>
    <cellStyle name="Normal 15 2 7" xfId="29049" xr:uid="{00000000-0005-0000-0000-000077550000}"/>
    <cellStyle name="Normal 15 3" xfId="11461" xr:uid="{00000000-0005-0000-0000-000078550000}"/>
    <cellStyle name="Normal 15 3 2" xfId="22749" xr:uid="{00000000-0005-0000-0000-000079550000}"/>
    <cellStyle name="Normal 15 4" xfId="9467" xr:uid="{00000000-0005-0000-0000-00007A550000}"/>
    <cellStyle name="Normal 15 4 2" xfId="20755" xr:uid="{00000000-0005-0000-0000-00007B550000}"/>
    <cellStyle name="Normal 15 5" xfId="7473" xr:uid="{00000000-0005-0000-0000-00007C550000}"/>
    <cellStyle name="Normal 15 5 2" xfId="18761" xr:uid="{00000000-0005-0000-0000-00007D550000}"/>
    <cellStyle name="Normal 15 6" xfId="5479" xr:uid="{00000000-0005-0000-0000-00007E550000}"/>
    <cellStyle name="Normal 15 6 2" xfId="16767" xr:uid="{00000000-0005-0000-0000-00007F550000}"/>
    <cellStyle name="Normal 15 7" xfId="3242" xr:uid="{00000000-0005-0000-0000-000080550000}"/>
    <cellStyle name="Normal 15 7 2" xfId="14773" xr:uid="{00000000-0005-0000-0000-000081550000}"/>
    <cellStyle name="Normal 15 8" xfId="13682" xr:uid="{00000000-0005-0000-0000-000082550000}"/>
    <cellStyle name="Normal 15 9" xfId="13459" xr:uid="{00000000-0005-0000-0000-000083550000}"/>
    <cellStyle name="Normal 16" xfId="335" xr:uid="{00000000-0005-0000-0000-000084550000}"/>
    <cellStyle name="Normal 16 10" xfId="24298" xr:uid="{00000000-0005-0000-0000-000085550000}"/>
    <cellStyle name="Normal 16 11" xfId="25977" xr:uid="{00000000-0005-0000-0000-000086550000}"/>
    <cellStyle name="Normal 16 2" xfId="4480" xr:uid="{00000000-0005-0000-0000-000087550000}"/>
    <cellStyle name="Normal 16 2 2" xfId="12459" xr:uid="{00000000-0005-0000-0000-000088550000}"/>
    <cellStyle name="Normal 16 2 2 2" xfId="23747" xr:uid="{00000000-0005-0000-0000-000089550000}"/>
    <cellStyle name="Normal 16 2 3" xfId="10465" xr:uid="{00000000-0005-0000-0000-00008A550000}"/>
    <cellStyle name="Normal 16 2 3 2" xfId="21753" xr:uid="{00000000-0005-0000-0000-00008B550000}"/>
    <cellStyle name="Normal 16 2 4" xfId="8471" xr:uid="{00000000-0005-0000-0000-00008C550000}"/>
    <cellStyle name="Normal 16 2 4 2" xfId="19759" xr:uid="{00000000-0005-0000-0000-00008D550000}"/>
    <cellStyle name="Normal 16 2 5" xfId="6477" xr:uid="{00000000-0005-0000-0000-00008E550000}"/>
    <cellStyle name="Normal 16 2 5 2" xfId="17765" xr:uid="{00000000-0005-0000-0000-00008F550000}"/>
    <cellStyle name="Normal 16 2 6" xfId="15771" xr:uid="{00000000-0005-0000-0000-000090550000}"/>
    <cellStyle name="Normal 16 2 7" xfId="29050" xr:uid="{00000000-0005-0000-0000-000091550000}"/>
    <cellStyle name="Normal 16 3" xfId="11462" xr:uid="{00000000-0005-0000-0000-000092550000}"/>
    <cellStyle name="Normal 16 3 2" xfId="22750" xr:uid="{00000000-0005-0000-0000-000093550000}"/>
    <cellStyle name="Normal 16 4" xfId="9468" xr:uid="{00000000-0005-0000-0000-000094550000}"/>
    <cellStyle name="Normal 16 4 2" xfId="20756" xr:uid="{00000000-0005-0000-0000-000095550000}"/>
    <cellStyle name="Normal 16 5" xfId="7474" xr:uid="{00000000-0005-0000-0000-000096550000}"/>
    <cellStyle name="Normal 16 5 2" xfId="18762" xr:uid="{00000000-0005-0000-0000-000097550000}"/>
    <cellStyle name="Normal 16 6" xfId="5480" xr:uid="{00000000-0005-0000-0000-000098550000}"/>
    <cellStyle name="Normal 16 6 2" xfId="16768" xr:uid="{00000000-0005-0000-0000-000099550000}"/>
    <cellStyle name="Normal 16 7" xfId="3243" xr:uid="{00000000-0005-0000-0000-00009A550000}"/>
    <cellStyle name="Normal 16 7 2" xfId="14774" xr:uid="{00000000-0005-0000-0000-00009B550000}"/>
    <cellStyle name="Normal 16 8" xfId="13757" xr:uid="{00000000-0005-0000-0000-00009C550000}"/>
    <cellStyle name="Normal 16 8 2" xfId="26661" xr:uid="{00000000-0005-0000-0000-00009D550000}"/>
    <cellStyle name="Normal 16 9" xfId="13460" xr:uid="{00000000-0005-0000-0000-00009E550000}"/>
    <cellStyle name="Normal 17" xfId="343" xr:uid="{00000000-0005-0000-0000-00009F550000}"/>
    <cellStyle name="Normal 17 10" xfId="23928" xr:uid="{00000000-0005-0000-0000-0000A0550000}"/>
    <cellStyle name="Normal 17 11" xfId="24556" xr:uid="{00000000-0005-0000-0000-0000A1550000}"/>
    <cellStyle name="Normal 17 12" xfId="24946" xr:uid="{00000000-0005-0000-0000-0000A2550000}"/>
    <cellStyle name="Normal 17 13" xfId="27906" xr:uid="{00000000-0005-0000-0000-0000A3550000}"/>
    <cellStyle name="Normal 17 14" xfId="25981" xr:uid="{00000000-0005-0000-0000-0000A4550000}"/>
    <cellStyle name="Normal 17 2" xfId="4481" xr:uid="{00000000-0005-0000-0000-0000A5550000}"/>
    <cellStyle name="Normal 17 2 10" xfId="29051" xr:uid="{00000000-0005-0000-0000-0000A6550000}"/>
    <cellStyle name="Normal 17 2 2" xfId="12460" xr:uid="{00000000-0005-0000-0000-0000A7550000}"/>
    <cellStyle name="Normal 17 2 2 2" xfId="23748" xr:uid="{00000000-0005-0000-0000-0000A8550000}"/>
    <cellStyle name="Normal 17 2 3" xfId="10466" xr:uid="{00000000-0005-0000-0000-0000A9550000}"/>
    <cellStyle name="Normal 17 2 3 2" xfId="21754" xr:uid="{00000000-0005-0000-0000-0000AA550000}"/>
    <cellStyle name="Normal 17 2 4" xfId="8472" xr:uid="{00000000-0005-0000-0000-0000AB550000}"/>
    <cellStyle name="Normal 17 2 4 2" xfId="19760" xr:uid="{00000000-0005-0000-0000-0000AC550000}"/>
    <cellStyle name="Normal 17 2 5" xfId="6478" xr:uid="{00000000-0005-0000-0000-0000AD550000}"/>
    <cellStyle name="Normal 17 2 5 2" xfId="17766" xr:uid="{00000000-0005-0000-0000-0000AE550000}"/>
    <cellStyle name="Normal 17 2 6" xfId="15772" xr:uid="{00000000-0005-0000-0000-0000AF550000}"/>
    <cellStyle name="Normal 17 2 7" xfId="24316" xr:uid="{00000000-0005-0000-0000-0000B0550000}"/>
    <cellStyle name="Normal 17 2 8" xfId="24781" xr:uid="{00000000-0005-0000-0000-0000B1550000}"/>
    <cellStyle name="Normal 17 2 9" xfId="25148" xr:uid="{00000000-0005-0000-0000-0000B2550000}"/>
    <cellStyle name="Normal 17 3" xfId="11463" xr:uid="{00000000-0005-0000-0000-0000B3550000}"/>
    <cellStyle name="Normal 17 3 2" xfId="22751" xr:uid="{00000000-0005-0000-0000-0000B4550000}"/>
    <cellStyle name="Normal 17 4" xfId="9469" xr:uid="{00000000-0005-0000-0000-0000B5550000}"/>
    <cellStyle name="Normal 17 4 2" xfId="20757" xr:uid="{00000000-0005-0000-0000-0000B6550000}"/>
    <cellStyle name="Normal 17 5" xfId="7475" xr:uid="{00000000-0005-0000-0000-0000B7550000}"/>
    <cellStyle name="Normal 17 5 2" xfId="18763" xr:uid="{00000000-0005-0000-0000-0000B8550000}"/>
    <cellStyle name="Normal 17 6" xfId="5481" xr:uid="{00000000-0005-0000-0000-0000B9550000}"/>
    <cellStyle name="Normal 17 6 2" xfId="16769" xr:uid="{00000000-0005-0000-0000-0000BA550000}"/>
    <cellStyle name="Normal 17 7" xfId="3244" xr:uid="{00000000-0005-0000-0000-0000BB550000}"/>
    <cellStyle name="Normal 17 7 2" xfId="14775" xr:uid="{00000000-0005-0000-0000-0000BC550000}"/>
    <cellStyle name="Normal 17 8" xfId="13762" xr:uid="{00000000-0005-0000-0000-0000BD550000}"/>
    <cellStyle name="Normal 17 8 2" xfId="26662" xr:uid="{00000000-0005-0000-0000-0000BE550000}"/>
    <cellStyle name="Normal 17 9" xfId="13461" xr:uid="{00000000-0005-0000-0000-0000BF550000}"/>
    <cellStyle name="Normal 18" xfId="350" xr:uid="{00000000-0005-0000-0000-0000C0550000}"/>
    <cellStyle name="Normal 18 10" xfId="25987" xr:uid="{00000000-0005-0000-0000-0000C1550000}"/>
    <cellStyle name="Normal 18 2" xfId="4482" xr:uid="{00000000-0005-0000-0000-0000C2550000}"/>
    <cellStyle name="Normal 18 2 2" xfId="12461" xr:uid="{00000000-0005-0000-0000-0000C3550000}"/>
    <cellStyle name="Normal 18 2 2 2" xfId="23749" xr:uid="{00000000-0005-0000-0000-0000C4550000}"/>
    <cellStyle name="Normal 18 2 3" xfId="10467" xr:uid="{00000000-0005-0000-0000-0000C5550000}"/>
    <cellStyle name="Normal 18 2 3 2" xfId="21755" xr:uid="{00000000-0005-0000-0000-0000C6550000}"/>
    <cellStyle name="Normal 18 2 4" xfId="8473" xr:uid="{00000000-0005-0000-0000-0000C7550000}"/>
    <cellStyle name="Normal 18 2 4 2" xfId="19761" xr:uid="{00000000-0005-0000-0000-0000C8550000}"/>
    <cellStyle name="Normal 18 2 5" xfId="6479" xr:uid="{00000000-0005-0000-0000-0000C9550000}"/>
    <cellStyle name="Normal 18 2 5 2" xfId="17767" xr:uid="{00000000-0005-0000-0000-0000CA550000}"/>
    <cellStyle name="Normal 18 2 6" xfId="15773" xr:uid="{00000000-0005-0000-0000-0000CB550000}"/>
    <cellStyle name="Normal 18 2 7" xfId="29052" xr:uid="{00000000-0005-0000-0000-0000CC550000}"/>
    <cellStyle name="Normal 18 3" xfId="11464" xr:uid="{00000000-0005-0000-0000-0000CD550000}"/>
    <cellStyle name="Normal 18 3 2" xfId="22752" xr:uid="{00000000-0005-0000-0000-0000CE550000}"/>
    <cellStyle name="Normal 18 4" xfId="9470" xr:uid="{00000000-0005-0000-0000-0000CF550000}"/>
    <cellStyle name="Normal 18 4 2" xfId="20758" xr:uid="{00000000-0005-0000-0000-0000D0550000}"/>
    <cellStyle name="Normal 18 5" xfId="7476" xr:uid="{00000000-0005-0000-0000-0000D1550000}"/>
    <cellStyle name="Normal 18 5 2" xfId="18764" xr:uid="{00000000-0005-0000-0000-0000D2550000}"/>
    <cellStyle name="Normal 18 6" xfId="5482" xr:uid="{00000000-0005-0000-0000-0000D3550000}"/>
    <cellStyle name="Normal 18 6 2" xfId="16770" xr:uid="{00000000-0005-0000-0000-0000D4550000}"/>
    <cellStyle name="Normal 18 7" xfId="3245" xr:uid="{00000000-0005-0000-0000-0000D5550000}"/>
    <cellStyle name="Normal 18 7 2" xfId="14776" xr:uid="{00000000-0005-0000-0000-0000D6550000}"/>
    <cellStyle name="Normal 18 8" xfId="13763" xr:uid="{00000000-0005-0000-0000-0000D7550000}"/>
    <cellStyle name="Normal 18 8 2" xfId="26663" xr:uid="{00000000-0005-0000-0000-0000D8550000}"/>
    <cellStyle name="Normal 18 9" xfId="13462" xr:uid="{00000000-0005-0000-0000-0000D9550000}"/>
    <cellStyle name="Normal 19" xfId="359" xr:uid="{00000000-0005-0000-0000-0000DA550000}"/>
    <cellStyle name="Normal 19 10" xfId="27905" xr:uid="{00000000-0005-0000-0000-0000DB550000}"/>
    <cellStyle name="Normal 19 11" xfId="25991" xr:uid="{00000000-0005-0000-0000-0000DC550000}"/>
    <cellStyle name="Normal 19 2" xfId="4483" xr:uid="{00000000-0005-0000-0000-0000DD550000}"/>
    <cellStyle name="Normal 19 2 2" xfId="12462" xr:uid="{00000000-0005-0000-0000-0000DE550000}"/>
    <cellStyle name="Normal 19 2 2 2" xfId="23750" xr:uid="{00000000-0005-0000-0000-0000DF550000}"/>
    <cellStyle name="Normal 19 2 3" xfId="10468" xr:uid="{00000000-0005-0000-0000-0000E0550000}"/>
    <cellStyle name="Normal 19 2 3 2" xfId="21756" xr:uid="{00000000-0005-0000-0000-0000E1550000}"/>
    <cellStyle name="Normal 19 2 4" xfId="8474" xr:uid="{00000000-0005-0000-0000-0000E2550000}"/>
    <cellStyle name="Normal 19 2 4 2" xfId="19762" xr:uid="{00000000-0005-0000-0000-0000E3550000}"/>
    <cellStyle name="Normal 19 2 5" xfId="6480" xr:uid="{00000000-0005-0000-0000-0000E4550000}"/>
    <cellStyle name="Normal 19 2 5 2" xfId="17768" xr:uid="{00000000-0005-0000-0000-0000E5550000}"/>
    <cellStyle name="Normal 19 2 6" xfId="15774" xr:uid="{00000000-0005-0000-0000-0000E6550000}"/>
    <cellStyle name="Normal 19 2 7" xfId="29053" xr:uid="{00000000-0005-0000-0000-0000E7550000}"/>
    <cellStyle name="Normal 19 3" xfId="11465" xr:uid="{00000000-0005-0000-0000-0000E8550000}"/>
    <cellStyle name="Normal 19 3 2" xfId="22753" xr:uid="{00000000-0005-0000-0000-0000E9550000}"/>
    <cellStyle name="Normal 19 4" xfId="9471" xr:uid="{00000000-0005-0000-0000-0000EA550000}"/>
    <cellStyle name="Normal 19 4 2" xfId="20759" xr:uid="{00000000-0005-0000-0000-0000EB550000}"/>
    <cellStyle name="Normal 19 5" xfId="7477" xr:uid="{00000000-0005-0000-0000-0000EC550000}"/>
    <cellStyle name="Normal 19 5 2" xfId="18765" xr:uid="{00000000-0005-0000-0000-0000ED550000}"/>
    <cellStyle name="Normal 19 6" xfId="5483" xr:uid="{00000000-0005-0000-0000-0000EE550000}"/>
    <cellStyle name="Normal 19 6 2" xfId="16771" xr:uid="{00000000-0005-0000-0000-0000EF550000}"/>
    <cellStyle name="Normal 19 7" xfId="3246" xr:uid="{00000000-0005-0000-0000-0000F0550000}"/>
    <cellStyle name="Normal 19 7 2" xfId="14777" xr:uid="{00000000-0005-0000-0000-0000F1550000}"/>
    <cellStyle name="Normal 19 8" xfId="13769" xr:uid="{00000000-0005-0000-0000-0000F2550000}"/>
    <cellStyle name="Normal 19 8 2" xfId="26664" xr:uid="{00000000-0005-0000-0000-0000F3550000}"/>
    <cellStyle name="Normal 19 9" xfId="13463" xr:uid="{00000000-0005-0000-0000-0000F4550000}"/>
    <cellStyle name="Normal 2" xfId="9" xr:uid="{00000000-0005-0000-0000-0000F5550000}"/>
    <cellStyle name="Normal 2 10" xfId="24139" xr:uid="{00000000-0005-0000-0000-0000F6550000}"/>
    <cellStyle name="Normal 2 10 2" xfId="29054" xr:uid="{00000000-0005-0000-0000-0000F7550000}"/>
    <cellStyle name="Normal 2 10 3" xfId="28781" xr:uid="{00000000-0005-0000-0000-0000F8550000}"/>
    <cellStyle name="Normal 2 11" xfId="25750" xr:uid="{00000000-0005-0000-0000-0000F9550000}"/>
    <cellStyle name="Normal 2 11 2" xfId="29055" xr:uid="{00000000-0005-0000-0000-0000FA550000}"/>
    <cellStyle name="Normal 2 12" xfId="28782" xr:uid="{00000000-0005-0000-0000-0000FB550000}"/>
    <cellStyle name="Normal 2 12 2" xfId="29056" xr:uid="{00000000-0005-0000-0000-0000FC550000}"/>
    <cellStyle name="Normal 2 13" xfId="28783" xr:uid="{00000000-0005-0000-0000-0000FD550000}"/>
    <cellStyle name="Normal 2 13 2" xfId="29057" xr:uid="{00000000-0005-0000-0000-0000FE550000}"/>
    <cellStyle name="Normal 2 14" xfId="28784" xr:uid="{00000000-0005-0000-0000-0000FF550000}"/>
    <cellStyle name="Normal 2 15" xfId="28855" xr:uid="{00000000-0005-0000-0000-000000560000}"/>
    <cellStyle name="Normal 2 2" xfId="51" xr:uid="{00000000-0005-0000-0000-000001560000}"/>
    <cellStyle name="Normal 2 2 2" xfId="202" xr:uid="{00000000-0005-0000-0000-000002560000}"/>
    <cellStyle name="Normal 2 2 2 2" xfId="348" xr:uid="{00000000-0005-0000-0000-000003560000}"/>
    <cellStyle name="Normal 2 2 2 2 2" xfId="654" xr:uid="{00000000-0005-0000-0000-000004560000}"/>
    <cellStyle name="Normal 2 2 2 2 3" xfId="653" xr:uid="{00000000-0005-0000-0000-000005560000}"/>
    <cellStyle name="Normal 2 2 2 2 4" xfId="25986" xr:uid="{00000000-0005-0000-0000-000006560000}"/>
    <cellStyle name="Normal 2 2 2 3" xfId="366" xr:uid="{00000000-0005-0000-0000-000007560000}"/>
    <cellStyle name="Normal 2 2 2 3 2" xfId="448" xr:uid="{00000000-0005-0000-0000-000008560000}"/>
    <cellStyle name="Normal 2 2 2 3 2 2" xfId="534" xr:uid="{00000000-0005-0000-0000-000009560000}"/>
    <cellStyle name="Normal 2 2 2 3 2 2 2" xfId="13897" xr:uid="{00000000-0005-0000-0000-00000A560000}"/>
    <cellStyle name="Normal 2 2 2 3 2 3" xfId="13820" xr:uid="{00000000-0005-0000-0000-00000B560000}"/>
    <cellStyle name="Normal 2 2 2 3 3" xfId="497" xr:uid="{00000000-0005-0000-0000-00000C560000}"/>
    <cellStyle name="Normal 2 2 2 3 3 2" xfId="13860" xr:uid="{00000000-0005-0000-0000-00000D560000}"/>
    <cellStyle name="Normal 2 2 2 3 4" xfId="13776" xr:uid="{00000000-0005-0000-0000-00000E560000}"/>
    <cellStyle name="Normal 2 2 2 4" xfId="428" xr:uid="{00000000-0005-0000-0000-00000F560000}"/>
    <cellStyle name="Normal 2 2 2 4 2" xfId="519" xr:uid="{00000000-0005-0000-0000-000010560000}"/>
    <cellStyle name="Normal 2 2 2 4 2 2" xfId="13882" xr:uid="{00000000-0005-0000-0000-000011560000}"/>
    <cellStyle name="Normal 2 2 2 4 3" xfId="13805" xr:uid="{00000000-0005-0000-0000-000012560000}"/>
    <cellStyle name="Normal 2 2 2 5" xfId="482" xr:uid="{00000000-0005-0000-0000-000013560000}"/>
    <cellStyle name="Normal 2 2 2 5 2" xfId="13845" xr:uid="{00000000-0005-0000-0000-000014560000}"/>
    <cellStyle name="Normal 2 2 2 6" xfId="652" xr:uid="{00000000-0005-0000-0000-000015560000}"/>
    <cellStyle name="Normal 2 2 2 7" xfId="13702" xr:uid="{00000000-0005-0000-0000-000016560000}"/>
    <cellStyle name="Normal 2 2 2 8" xfId="29059" xr:uid="{00000000-0005-0000-0000-000017560000}"/>
    <cellStyle name="Normal 2 2 3" xfId="406" xr:uid="{00000000-0005-0000-0000-000018560000}"/>
    <cellStyle name="Normal 2 2 4" xfId="384" xr:uid="{00000000-0005-0000-0000-000019560000}"/>
    <cellStyle name="Normal 2 3" xfId="165" xr:uid="{00000000-0005-0000-0000-00001A560000}"/>
    <cellStyle name="Normal 2 3 2" xfId="421" xr:uid="{00000000-0005-0000-0000-00001B560000}"/>
    <cellStyle name="Normal 2 3 2 2" xfId="25783" xr:uid="{00000000-0005-0000-0000-00001C560000}"/>
    <cellStyle name="Normal 2 3 2 3" xfId="29060" xr:uid="{00000000-0005-0000-0000-00001D560000}"/>
    <cellStyle name="Normal 2 3 3" xfId="385" xr:uid="{00000000-0005-0000-0000-00001E560000}"/>
    <cellStyle name="Normal 2 3 3 2" xfId="25999" xr:uid="{00000000-0005-0000-0000-00001F560000}"/>
    <cellStyle name="Normal 2 3 3 3" xfId="30157" xr:uid="{00000000-0005-0000-0000-000020560000}"/>
    <cellStyle name="Normal 2 3 4" xfId="655" xr:uid="{00000000-0005-0000-0000-000021560000}"/>
    <cellStyle name="Normal 2 3 4 2" xfId="13910" xr:uid="{00000000-0005-0000-0000-000022560000}"/>
    <cellStyle name="Normal 2 4" xfId="656" xr:uid="{00000000-0005-0000-0000-000023560000}"/>
    <cellStyle name="Normal 2 4 2" xfId="3248" xr:uid="{00000000-0005-0000-0000-000024560000}"/>
    <cellStyle name="Normal 2 4 2 2" xfId="25784" xr:uid="{00000000-0005-0000-0000-000025560000}"/>
    <cellStyle name="Normal 2 4 2 3" xfId="29061" xr:uid="{00000000-0005-0000-0000-000026560000}"/>
    <cellStyle name="Normal 2 4 3" xfId="25770" xr:uid="{00000000-0005-0000-0000-000027560000}"/>
    <cellStyle name="Normal 2 4 4" xfId="26053" xr:uid="{00000000-0005-0000-0000-000028560000}"/>
    <cellStyle name="Normal 2 5" xfId="657" xr:uid="{00000000-0005-0000-0000-000029560000}"/>
    <cellStyle name="Normal 2 5 2" xfId="11466" xr:uid="{00000000-0005-0000-0000-00002A560000}"/>
    <cellStyle name="Normal 2 5 2 2" xfId="22754" xr:uid="{00000000-0005-0000-0000-00002B560000}"/>
    <cellStyle name="Normal 2 5 2 3" xfId="29062" xr:uid="{00000000-0005-0000-0000-00002C560000}"/>
    <cellStyle name="Normal 2 5 3" xfId="9472" xr:uid="{00000000-0005-0000-0000-00002D560000}"/>
    <cellStyle name="Normal 2 5 3 2" xfId="20760" xr:uid="{00000000-0005-0000-0000-00002E560000}"/>
    <cellStyle name="Normal 2 5 4" xfId="7478" xr:uid="{00000000-0005-0000-0000-00002F560000}"/>
    <cellStyle name="Normal 2 5 4 2" xfId="18766" xr:uid="{00000000-0005-0000-0000-000030560000}"/>
    <cellStyle name="Normal 2 5 5" xfId="5484" xr:uid="{00000000-0005-0000-0000-000031560000}"/>
    <cellStyle name="Normal 2 5 5 2" xfId="16772" xr:uid="{00000000-0005-0000-0000-000032560000}"/>
    <cellStyle name="Normal 2 5 6" xfId="3249" xr:uid="{00000000-0005-0000-0000-000033560000}"/>
    <cellStyle name="Normal 2 5 6 2" xfId="14778" xr:uid="{00000000-0005-0000-0000-000034560000}"/>
    <cellStyle name="Normal 2 5 7" xfId="24140" xr:uid="{00000000-0005-0000-0000-000035560000}"/>
    <cellStyle name="Normal 2 5 7 2" xfId="27076" xr:uid="{00000000-0005-0000-0000-000036560000}"/>
    <cellStyle name="Normal 2 6" xfId="4484" xr:uid="{00000000-0005-0000-0000-000037560000}"/>
    <cellStyle name="Normal 2 6 2" xfId="12463" xr:uid="{00000000-0005-0000-0000-000038560000}"/>
    <cellStyle name="Normal 2 6 2 2" xfId="23751" xr:uid="{00000000-0005-0000-0000-000039560000}"/>
    <cellStyle name="Normal 2 6 2 3" xfId="29063" xr:uid="{00000000-0005-0000-0000-00003A560000}"/>
    <cellStyle name="Normal 2 6 3" xfId="10469" xr:uid="{00000000-0005-0000-0000-00003B560000}"/>
    <cellStyle name="Normal 2 6 3 2" xfId="21757" xr:uid="{00000000-0005-0000-0000-00003C560000}"/>
    <cellStyle name="Normal 2 6 4" xfId="8475" xr:uid="{00000000-0005-0000-0000-00003D560000}"/>
    <cellStyle name="Normal 2 6 4 2" xfId="19763" xr:uid="{00000000-0005-0000-0000-00003E560000}"/>
    <cellStyle name="Normal 2 6 5" xfId="6481" xr:uid="{00000000-0005-0000-0000-00003F560000}"/>
    <cellStyle name="Normal 2 6 5 2" xfId="17769" xr:uid="{00000000-0005-0000-0000-000040560000}"/>
    <cellStyle name="Normal 2 6 6" xfId="15775" xr:uid="{00000000-0005-0000-0000-000041560000}"/>
    <cellStyle name="Normal 2 6 7" xfId="24141" xr:uid="{00000000-0005-0000-0000-000042560000}"/>
    <cellStyle name="Normal 2 6 7 2" xfId="27077" xr:uid="{00000000-0005-0000-0000-000043560000}"/>
    <cellStyle name="Normal 2 6 8" xfId="25778" xr:uid="{00000000-0005-0000-0000-000044560000}"/>
    <cellStyle name="Normal 2 7" xfId="3247" xr:uid="{00000000-0005-0000-0000-000045560000}"/>
    <cellStyle name="Normal 2 7 2" xfId="24142" xr:uid="{00000000-0005-0000-0000-000046560000}"/>
    <cellStyle name="Normal 2 7 2 2" xfId="27078" xr:uid="{00000000-0005-0000-0000-000047560000}"/>
    <cellStyle name="Normal 2 7 2 2 2" xfId="29064" xr:uid="{00000000-0005-0000-0000-000048560000}"/>
    <cellStyle name="Normal 2 8" xfId="13604" xr:uid="{00000000-0005-0000-0000-000049560000}"/>
    <cellStyle name="Normal 2 8 2" xfId="26557" xr:uid="{00000000-0005-0000-0000-00004A560000}"/>
    <cellStyle name="Normal 2 8 2 2" xfId="29065" xr:uid="{00000000-0005-0000-0000-00004B560000}"/>
    <cellStyle name="Normal 2 9" xfId="23906" xr:uid="{00000000-0005-0000-0000-00004C560000}"/>
    <cellStyle name="Normal 2 9 2" xfId="29066" xr:uid="{00000000-0005-0000-0000-00004D560000}"/>
    <cellStyle name="Normal 2 9 3" xfId="28785" xr:uid="{00000000-0005-0000-0000-00004E560000}"/>
    <cellStyle name="Normal 20" xfId="393" xr:uid="{00000000-0005-0000-0000-00004F560000}"/>
    <cellStyle name="Normal 20 10" xfId="27904" xr:uid="{00000000-0005-0000-0000-000050560000}"/>
    <cellStyle name="Normal 20 11" xfId="26003" xr:uid="{00000000-0005-0000-0000-000051560000}"/>
    <cellStyle name="Normal 20 2" xfId="4485" xr:uid="{00000000-0005-0000-0000-000052560000}"/>
    <cellStyle name="Normal 20 2 2" xfId="12464" xr:uid="{00000000-0005-0000-0000-000053560000}"/>
    <cellStyle name="Normal 20 2 2 2" xfId="23752" xr:uid="{00000000-0005-0000-0000-000054560000}"/>
    <cellStyle name="Normal 20 2 3" xfId="10470" xr:uid="{00000000-0005-0000-0000-000055560000}"/>
    <cellStyle name="Normal 20 2 3 2" xfId="21758" xr:uid="{00000000-0005-0000-0000-000056560000}"/>
    <cellStyle name="Normal 20 2 4" xfId="8476" xr:uid="{00000000-0005-0000-0000-000057560000}"/>
    <cellStyle name="Normal 20 2 4 2" xfId="19764" xr:uid="{00000000-0005-0000-0000-000058560000}"/>
    <cellStyle name="Normal 20 2 5" xfId="6482" xr:uid="{00000000-0005-0000-0000-000059560000}"/>
    <cellStyle name="Normal 20 2 5 2" xfId="17770" xr:uid="{00000000-0005-0000-0000-00005A560000}"/>
    <cellStyle name="Normal 20 2 6" xfId="15776" xr:uid="{00000000-0005-0000-0000-00005B560000}"/>
    <cellStyle name="Normal 20 2 7" xfId="29067" xr:uid="{00000000-0005-0000-0000-00005C560000}"/>
    <cellStyle name="Normal 20 3" xfId="11467" xr:uid="{00000000-0005-0000-0000-00005D560000}"/>
    <cellStyle name="Normal 20 3 2" xfId="22755" xr:uid="{00000000-0005-0000-0000-00005E560000}"/>
    <cellStyle name="Normal 20 4" xfId="9473" xr:uid="{00000000-0005-0000-0000-00005F560000}"/>
    <cellStyle name="Normal 20 4 2" xfId="20761" xr:uid="{00000000-0005-0000-0000-000060560000}"/>
    <cellStyle name="Normal 20 5" xfId="7479" xr:uid="{00000000-0005-0000-0000-000061560000}"/>
    <cellStyle name="Normal 20 5 2" xfId="18767" xr:uid="{00000000-0005-0000-0000-000062560000}"/>
    <cellStyle name="Normal 20 6" xfId="5485" xr:uid="{00000000-0005-0000-0000-000063560000}"/>
    <cellStyle name="Normal 20 6 2" xfId="16773" xr:uid="{00000000-0005-0000-0000-000064560000}"/>
    <cellStyle name="Normal 20 7" xfId="3250" xr:uid="{00000000-0005-0000-0000-000065560000}"/>
    <cellStyle name="Normal 20 7 2" xfId="14779" xr:uid="{00000000-0005-0000-0000-000066560000}"/>
    <cellStyle name="Normal 20 8" xfId="13787" xr:uid="{00000000-0005-0000-0000-000067560000}"/>
    <cellStyle name="Normal 20 8 2" xfId="26667" xr:uid="{00000000-0005-0000-0000-000068560000}"/>
    <cellStyle name="Normal 20 9" xfId="13464" xr:uid="{00000000-0005-0000-0000-000069560000}"/>
    <cellStyle name="Normal 21" xfId="370" xr:uid="{00000000-0005-0000-0000-00006A560000}"/>
    <cellStyle name="Normal 21 10" xfId="24130" xr:uid="{00000000-0005-0000-0000-00006B560000}"/>
    <cellStyle name="Normal 21 10 2" xfId="27072" xr:uid="{00000000-0005-0000-0000-00006C560000}"/>
    <cellStyle name="Normal 21 2" xfId="500" xr:uid="{00000000-0005-0000-0000-00006D560000}"/>
    <cellStyle name="Normal 21 2 2" xfId="12465" xr:uid="{00000000-0005-0000-0000-00006E560000}"/>
    <cellStyle name="Normal 21 2 2 2" xfId="23753" xr:uid="{00000000-0005-0000-0000-00006F560000}"/>
    <cellStyle name="Normal 21 2 3" xfId="10471" xr:uid="{00000000-0005-0000-0000-000070560000}"/>
    <cellStyle name="Normal 21 2 3 2" xfId="21759" xr:uid="{00000000-0005-0000-0000-000071560000}"/>
    <cellStyle name="Normal 21 2 4" xfId="8477" xr:uid="{00000000-0005-0000-0000-000072560000}"/>
    <cellStyle name="Normal 21 2 4 2" xfId="19765" xr:uid="{00000000-0005-0000-0000-000073560000}"/>
    <cellStyle name="Normal 21 2 5" xfId="6483" xr:uid="{00000000-0005-0000-0000-000074560000}"/>
    <cellStyle name="Normal 21 2 5 2" xfId="17771" xr:uid="{00000000-0005-0000-0000-000075560000}"/>
    <cellStyle name="Normal 21 2 6" xfId="4486" xr:uid="{00000000-0005-0000-0000-000076560000}"/>
    <cellStyle name="Normal 21 2 6 2" xfId="15777" xr:uid="{00000000-0005-0000-0000-000077560000}"/>
    <cellStyle name="Normal 21 2 7" xfId="13863" xr:uid="{00000000-0005-0000-0000-000078560000}"/>
    <cellStyle name="Normal 21 2 8" xfId="29068" xr:uid="{00000000-0005-0000-0000-000079560000}"/>
    <cellStyle name="Normal 21 3" xfId="11468" xr:uid="{00000000-0005-0000-0000-00007A560000}"/>
    <cellStyle name="Normal 21 3 2" xfId="22756" xr:uid="{00000000-0005-0000-0000-00007B560000}"/>
    <cellStyle name="Normal 21 4" xfId="9474" xr:uid="{00000000-0005-0000-0000-00007C560000}"/>
    <cellStyle name="Normal 21 4 2" xfId="20762" xr:uid="{00000000-0005-0000-0000-00007D560000}"/>
    <cellStyle name="Normal 21 5" xfId="7480" xr:uid="{00000000-0005-0000-0000-00007E560000}"/>
    <cellStyle name="Normal 21 5 2" xfId="18768" xr:uid="{00000000-0005-0000-0000-00007F560000}"/>
    <cellStyle name="Normal 21 6" xfId="5486" xr:uid="{00000000-0005-0000-0000-000080560000}"/>
    <cellStyle name="Normal 21 6 2" xfId="16774" xr:uid="{00000000-0005-0000-0000-000081560000}"/>
    <cellStyle name="Normal 21 7" xfId="3251" xr:uid="{00000000-0005-0000-0000-000082560000}"/>
    <cellStyle name="Normal 21 7 2" xfId="14780" xr:uid="{00000000-0005-0000-0000-000083560000}"/>
    <cellStyle name="Normal 21 8" xfId="13779" xr:uid="{00000000-0005-0000-0000-000084560000}"/>
    <cellStyle name="Normal 21 9" xfId="13465" xr:uid="{00000000-0005-0000-0000-000085560000}"/>
    <cellStyle name="Normal 22" xfId="419" xr:uid="{00000000-0005-0000-0000-000086560000}"/>
    <cellStyle name="Normal 22 10" xfId="24314" xr:uid="{00000000-0005-0000-0000-000087560000}"/>
    <cellStyle name="Normal 22 10 2" xfId="27145" xr:uid="{00000000-0005-0000-0000-000088560000}"/>
    <cellStyle name="Normal 22 2" xfId="512" xr:uid="{00000000-0005-0000-0000-000089560000}"/>
    <cellStyle name="Normal 22 2 2" xfId="12466" xr:uid="{00000000-0005-0000-0000-00008A560000}"/>
    <cellStyle name="Normal 22 2 2 2" xfId="23754" xr:uid="{00000000-0005-0000-0000-00008B560000}"/>
    <cellStyle name="Normal 22 2 3" xfId="10472" xr:uid="{00000000-0005-0000-0000-00008C560000}"/>
    <cellStyle name="Normal 22 2 3 2" xfId="21760" xr:uid="{00000000-0005-0000-0000-00008D560000}"/>
    <cellStyle name="Normal 22 2 4" xfId="8478" xr:uid="{00000000-0005-0000-0000-00008E560000}"/>
    <cellStyle name="Normal 22 2 4 2" xfId="19766" xr:uid="{00000000-0005-0000-0000-00008F560000}"/>
    <cellStyle name="Normal 22 2 5" xfId="6484" xr:uid="{00000000-0005-0000-0000-000090560000}"/>
    <cellStyle name="Normal 22 2 5 2" xfId="17772" xr:uid="{00000000-0005-0000-0000-000091560000}"/>
    <cellStyle name="Normal 22 2 6" xfId="4487" xr:uid="{00000000-0005-0000-0000-000092560000}"/>
    <cellStyle name="Normal 22 2 6 2" xfId="15778" xr:uid="{00000000-0005-0000-0000-000093560000}"/>
    <cellStyle name="Normal 22 2 7" xfId="13875" xr:uid="{00000000-0005-0000-0000-000094560000}"/>
    <cellStyle name="Normal 22 2 8" xfId="29069" xr:uid="{00000000-0005-0000-0000-000095560000}"/>
    <cellStyle name="Normal 22 3" xfId="11469" xr:uid="{00000000-0005-0000-0000-000096560000}"/>
    <cellStyle name="Normal 22 3 2" xfId="22757" xr:uid="{00000000-0005-0000-0000-000097560000}"/>
    <cellStyle name="Normal 22 4" xfId="9475" xr:uid="{00000000-0005-0000-0000-000098560000}"/>
    <cellStyle name="Normal 22 4 2" xfId="20763" xr:uid="{00000000-0005-0000-0000-000099560000}"/>
    <cellStyle name="Normal 22 5" xfId="7481" xr:uid="{00000000-0005-0000-0000-00009A560000}"/>
    <cellStyle name="Normal 22 5 2" xfId="18769" xr:uid="{00000000-0005-0000-0000-00009B560000}"/>
    <cellStyle name="Normal 22 6" xfId="5487" xr:uid="{00000000-0005-0000-0000-00009C560000}"/>
    <cellStyle name="Normal 22 6 2" xfId="16775" xr:uid="{00000000-0005-0000-0000-00009D560000}"/>
    <cellStyle name="Normal 22 7" xfId="3252" xr:uid="{00000000-0005-0000-0000-00009E560000}"/>
    <cellStyle name="Normal 22 7 2" xfId="14781" xr:uid="{00000000-0005-0000-0000-00009F560000}"/>
    <cellStyle name="Normal 22 8" xfId="13798" xr:uid="{00000000-0005-0000-0000-0000A0560000}"/>
    <cellStyle name="Normal 22 9" xfId="13466" xr:uid="{00000000-0005-0000-0000-0000A1560000}"/>
    <cellStyle name="Normal 23" xfId="52" xr:uid="{00000000-0005-0000-0000-0000A2560000}"/>
    <cellStyle name="Normal 23 10" xfId="24478" xr:uid="{00000000-0005-0000-0000-0000A3560000}"/>
    <cellStyle name="Normal 23 10 2" xfId="27173" xr:uid="{00000000-0005-0000-0000-0000A4560000}"/>
    <cellStyle name="Normal 23 2" xfId="4488" xr:uid="{00000000-0005-0000-0000-0000A5560000}"/>
    <cellStyle name="Normal 23 2 2" xfId="12467" xr:uid="{00000000-0005-0000-0000-0000A6560000}"/>
    <cellStyle name="Normal 23 2 2 2" xfId="23755" xr:uid="{00000000-0005-0000-0000-0000A7560000}"/>
    <cellStyle name="Normal 23 2 3" xfId="10473" xr:uid="{00000000-0005-0000-0000-0000A8560000}"/>
    <cellStyle name="Normal 23 2 3 2" xfId="21761" xr:uid="{00000000-0005-0000-0000-0000A9560000}"/>
    <cellStyle name="Normal 23 2 4" xfId="8479" xr:uid="{00000000-0005-0000-0000-0000AA560000}"/>
    <cellStyle name="Normal 23 2 4 2" xfId="19767" xr:uid="{00000000-0005-0000-0000-0000AB560000}"/>
    <cellStyle name="Normal 23 2 5" xfId="6485" xr:uid="{00000000-0005-0000-0000-0000AC560000}"/>
    <cellStyle name="Normal 23 2 5 2" xfId="17773" xr:uid="{00000000-0005-0000-0000-0000AD560000}"/>
    <cellStyle name="Normal 23 2 6" xfId="15779" xr:uid="{00000000-0005-0000-0000-0000AE560000}"/>
    <cellStyle name="Normal 23 2 7" xfId="29070" xr:uid="{00000000-0005-0000-0000-0000AF560000}"/>
    <cellStyle name="Normal 23 3" xfId="4619" xr:uid="{00000000-0005-0000-0000-0000B0560000}"/>
    <cellStyle name="Normal 23 3 2" xfId="11470" xr:uid="{00000000-0005-0000-0000-0000B1560000}"/>
    <cellStyle name="Normal 23 3 2 2" xfId="22758" xr:uid="{00000000-0005-0000-0000-0000B2560000}"/>
    <cellStyle name="Normal 23 4" xfId="9476" xr:uid="{00000000-0005-0000-0000-0000B3560000}"/>
    <cellStyle name="Normal 23 4 2" xfId="20764" xr:uid="{00000000-0005-0000-0000-0000B4560000}"/>
    <cellStyle name="Normal 23 5" xfId="7482" xr:uid="{00000000-0005-0000-0000-0000B5560000}"/>
    <cellStyle name="Normal 23 5 2" xfId="18770" xr:uid="{00000000-0005-0000-0000-0000B6560000}"/>
    <cellStyle name="Normal 23 6" xfId="5488" xr:uid="{00000000-0005-0000-0000-0000B7560000}"/>
    <cellStyle name="Normal 23 6 2" xfId="16776" xr:uid="{00000000-0005-0000-0000-0000B8560000}"/>
    <cellStyle name="Normal 23 7" xfId="3253" xr:uid="{00000000-0005-0000-0000-0000B9560000}"/>
    <cellStyle name="Normal 23 7 2" xfId="14782" xr:uid="{00000000-0005-0000-0000-0000BA560000}"/>
    <cellStyle name="Normal 23 8" xfId="13611" xr:uid="{00000000-0005-0000-0000-0000BB560000}"/>
    <cellStyle name="Normal 23 9" xfId="13467" xr:uid="{00000000-0005-0000-0000-0000BC560000}"/>
    <cellStyle name="Normal 24" xfId="409" xr:uid="{00000000-0005-0000-0000-0000BD560000}"/>
    <cellStyle name="Normal 24 10" xfId="24500" xr:uid="{00000000-0005-0000-0000-0000BE560000}"/>
    <cellStyle name="Normal 24 10 2" xfId="27188" xr:uid="{00000000-0005-0000-0000-0000BF560000}"/>
    <cellStyle name="Normal 24 2" xfId="509" xr:uid="{00000000-0005-0000-0000-0000C0560000}"/>
    <cellStyle name="Normal 24 2 2" xfId="12468" xr:uid="{00000000-0005-0000-0000-0000C1560000}"/>
    <cellStyle name="Normal 24 2 2 2" xfId="23756" xr:uid="{00000000-0005-0000-0000-0000C2560000}"/>
    <cellStyle name="Normal 24 2 3" xfId="10474" xr:uid="{00000000-0005-0000-0000-0000C3560000}"/>
    <cellStyle name="Normal 24 2 3 2" xfId="21762" xr:uid="{00000000-0005-0000-0000-0000C4560000}"/>
    <cellStyle name="Normal 24 2 4" xfId="8480" xr:uid="{00000000-0005-0000-0000-0000C5560000}"/>
    <cellStyle name="Normal 24 2 4 2" xfId="19768" xr:uid="{00000000-0005-0000-0000-0000C6560000}"/>
    <cellStyle name="Normal 24 2 5" xfId="6486" xr:uid="{00000000-0005-0000-0000-0000C7560000}"/>
    <cellStyle name="Normal 24 2 5 2" xfId="17774" xr:uid="{00000000-0005-0000-0000-0000C8560000}"/>
    <cellStyle name="Normal 24 2 6" xfId="4489" xr:uid="{00000000-0005-0000-0000-0000C9560000}"/>
    <cellStyle name="Normal 24 2 6 2" xfId="15780" xr:uid="{00000000-0005-0000-0000-0000CA560000}"/>
    <cellStyle name="Normal 24 2 7" xfId="13872" xr:uid="{00000000-0005-0000-0000-0000CB560000}"/>
    <cellStyle name="Normal 24 2 8" xfId="29071" xr:uid="{00000000-0005-0000-0000-0000CC560000}"/>
    <cellStyle name="Normal 24 3" xfId="11471" xr:uid="{00000000-0005-0000-0000-0000CD560000}"/>
    <cellStyle name="Normal 24 3 2" xfId="22759" xr:uid="{00000000-0005-0000-0000-0000CE560000}"/>
    <cellStyle name="Normal 24 4" xfId="9477" xr:uid="{00000000-0005-0000-0000-0000CF560000}"/>
    <cellStyle name="Normal 24 4 2" xfId="20765" xr:uid="{00000000-0005-0000-0000-0000D0560000}"/>
    <cellStyle name="Normal 24 5" xfId="7483" xr:uid="{00000000-0005-0000-0000-0000D1560000}"/>
    <cellStyle name="Normal 24 5 2" xfId="18771" xr:uid="{00000000-0005-0000-0000-0000D2560000}"/>
    <cellStyle name="Normal 24 6" xfId="5489" xr:uid="{00000000-0005-0000-0000-0000D3560000}"/>
    <cellStyle name="Normal 24 6 2" xfId="16777" xr:uid="{00000000-0005-0000-0000-0000D4560000}"/>
    <cellStyle name="Normal 24 7" xfId="3254" xr:uid="{00000000-0005-0000-0000-0000D5560000}"/>
    <cellStyle name="Normal 24 7 2" xfId="14783" xr:uid="{00000000-0005-0000-0000-0000D6560000}"/>
    <cellStyle name="Normal 24 8" xfId="13791" xr:uid="{00000000-0005-0000-0000-0000D7560000}"/>
    <cellStyle name="Normal 24 9" xfId="13468" xr:uid="{00000000-0005-0000-0000-0000D8560000}"/>
    <cellStyle name="Normal 25" xfId="451" xr:uid="{00000000-0005-0000-0000-0000D9560000}"/>
    <cellStyle name="Normal 25 10" xfId="24476" xr:uid="{00000000-0005-0000-0000-0000DA560000}"/>
    <cellStyle name="Normal 25 10 2" xfId="27171" xr:uid="{00000000-0005-0000-0000-0000DB560000}"/>
    <cellStyle name="Normal 25 2" xfId="537" xr:uid="{00000000-0005-0000-0000-0000DC560000}"/>
    <cellStyle name="Normal 25 2 2" xfId="12469" xr:uid="{00000000-0005-0000-0000-0000DD560000}"/>
    <cellStyle name="Normal 25 2 2 2" xfId="23757" xr:uid="{00000000-0005-0000-0000-0000DE560000}"/>
    <cellStyle name="Normal 25 2 3" xfId="10475" xr:uid="{00000000-0005-0000-0000-0000DF560000}"/>
    <cellStyle name="Normal 25 2 3 2" xfId="21763" xr:uid="{00000000-0005-0000-0000-0000E0560000}"/>
    <cellStyle name="Normal 25 2 4" xfId="8481" xr:uid="{00000000-0005-0000-0000-0000E1560000}"/>
    <cellStyle name="Normal 25 2 4 2" xfId="19769" xr:uid="{00000000-0005-0000-0000-0000E2560000}"/>
    <cellStyle name="Normal 25 2 5" xfId="6487" xr:uid="{00000000-0005-0000-0000-0000E3560000}"/>
    <cellStyle name="Normal 25 2 5 2" xfId="17775" xr:uid="{00000000-0005-0000-0000-0000E4560000}"/>
    <cellStyle name="Normal 25 2 6" xfId="4490" xr:uid="{00000000-0005-0000-0000-0000E5560000}"/>
    <cellStyle name="Normal 25 2 6 2" xfId="15781" xr:uid="{00000000-0005-0000-0000-0000E6560000}"/>
    <cellStyle name="Normal 25 2 7" xfId="13900" xr:uid="{00000000-0005-0000-0000-0000E7560000}"/>
    <cellStyle name="Normal 25 2 8" xfId="29072" xr:uid="{00000000-0005-0000-0000-0000E8560000}"/>
    <cellStyle name="Normal 25 3" xfId="11472" xr:uid="{00000000-0005-0000-0000-0000E9560000}"/>
    <cellStyle name="Normal 25 3 2" xfId="22760" xr:uid="{00000000-0005-0000-0000-0000EA560000}"/>
    <cellStyle name="Normal 25 4" xfId="9478" xr:uid="{00000000-0005-0000-0000-0000EB560000}"/>
    <cellStyle name="Normal 25 4 2" xfId="20766" xr:uid="{00000000-0005-0000-0000-0000EC560000}"/>
    <cellStyle name="Normal 25 5" xfId="7484" xr:uid="{00000000-0005-0000-0000-0000ED560000}"/>
    <cellStyle name="Normal 25 5 2" xfId="18772" xr:uid="{00000000-0005-0000-0000-0000EE560000}"/>
    <cellStyle name="Normal 25 6" xfId="5490" xr:uid="{00000000-0005-0000-0000-0000EF560000}"/>
    <cellStyle name="Normal 25 6 2" xfId="16778" xr:uid="{00000000-0005-0000-0000-0000F0560000}"/>
    <cellStyle name="Normal 25 7" xfId="3255" xr:uid="{00000000-0005-0000-0000-0000F1560000}"/>
    <cellStyle name="Normal 25 7 2" xfId="14784" xr:uid="{00000000-0005-0000-0000-0000F2560000}"/>
    <cellStyle name="Normal 25 8" xfId="13823" xr:uid="{00000000-0005-0000-0000-0000F3560000}"/>
    <cellStyle name="Normal 25 9" xfId="13469" xr:uid="{00000000-0005-0000-0000-0000F4560000}"/>
    <cellStyle name="Normal 26" xfId="454" xr:uid="{00000000-0005-0000-0000-0000F5560000}"/>
    <cellStyle name="Normal 26 10" xfId="26019" xr:uid="{00000000-0005-0000-0000-0000F6560000}"/>
    <cellStyle name="Normal 26 2" xfId="4491" xr:uid="{00000000-0005-0000-0000-0000F7560000}"/>
    <cellStyle name="Normal 26 2 2" xfId="12470" xr:uid="{00000000-0005-0000-0000-0000F8560000}"/>
    <cellStyle name="Normal 26 2 2 2" xfId="23758" xr:uid="{00000000-0005-0000-0000-0000F9560000}"/>
    <cellStyle name="Normal 26 2 3" xfId="10476" xr:uid="{00000000-0005-0000-0000-0000FA560000}"/>
    <cellStyle name="Normal 26 2 3 2" xfId="21764" xr:uid="{00000000-0005-0000-0000-0000FB560000}"/>
    <cellStyle name="Normal 26 2 4" xfId="8482" xr:uid="{00000000-0005-0000-0000-0000FC560000}"/>
    <cellStyle name="Normal 26 2 4 2" xfId="19770" xr:uid="{00000000-0005-0000-0000-0000FD560000}"/>
    <cellStyle name="Normal 26 2 5" xfId="6488" xr:uid="{00000000-0005-0000-0000-0000FE560000}"/>
    <cellStyle name="Normal 26 2 5 2" xfId="17776" xr:uid="{00000000-0005-0000-0000-0000FF560000}"/>
    <cellStyle name="Normal 26 2 6" xfId="15782" xr:uid="{00000000-0005-0000-0000-000000570000}"/>
    <cellStyle name="Normal 26 3" xfId="11473" xr:uid="{00000000-0005-0000-0000-000001570000}"/>
    <cellStyle name="Normal 26 3 2" xfId="22761" xr:uid="{00000000-0005-0000-0000-000002570000}"/>
    <cellStyle name="Normal 26 4" xfId="9479" xr:uid="{00000000-0005-0000-0000-000003570000}"/>
    <cellStyle name="Normal 26 4 2" xfId="20767" xr:uid="{00000000-0005-0000-0000-000004570000}"/>
    <cellStyle name="Normal 26 5" xfId="7485" xr:uid="{00000000-0005-0000-0000-000005570000}"/>
    <cellStyle name="Normal 26 5 2" xfId="18773" xr:uid="{00000000-0005-0000-0000-000006570000}"/>
    <cellStyle name="Normal 26 6" xfId="5491" xr:uid="{00000000-0005-0000-0000-000007570000}"/>
    <cellStyle name="Normal 26 6 2" xfId="16779" xr:uid="{00000000-0005-0000-0000-000008570000}"/>
    <cellStyle name="Normal 26 7" xfId="3256" xr:uid="{00000000-0005-0000-0000-000009570000}"/>
    <cellStyle name="Normal 26 7 2" xfId="14785" xr:uid="{00000000-0005-0000-0000-00000A570000}"/>
    <cellStyle name="Normal 26 8" xfId="13826" xr:uid="{00000000-0005-0000-0000-00000B570000}"/>
    <cellStyle name="Normal 26 8 2" xfId="26675" xr:uid="{00000000-0005-0000-0000-00000C570000}"/>
    <cellStyle name="Normal 26 9" xfId="13470" xr:uid="{00000000-0005-0000-0000-00000D570000}"/>
    <cellStyle name="Normal 27" xfId="465" xr:uid="{00000000-0005-0000-0000-00000E570000}"/>
    <cellStyle name="Normal 27 10" xfId="26030" xr:uid="{00000000-0005-0000-0000-00000F570000}"/>
    <cellStyle name="Normal 27 2" xfId="4492" xr:uid="{00000000-0005-0000-0000-000010570000}"/>
    <cellStyle name="Normal 27 2 2" xfId="12471" xr:uid="{00000000-0005-0000-0000-000011570000}"/>
    <cellStyle name="Normal 27 2 2 2" xfId="23759" xr:uid="{00000000-0005-0000-0000-000012570000}"/>
    <cellStyle name="Normal 27 2 3" xfId="10477" xr:uid="{00000000-0005-0000-0000-000013570000}"/>
    <cellStyle name="Normal 27 2 3 2" xfId="21765" xr:uid="{00000000-0005-0000-0000-000014570000}"/>
    <cellStyle name="Normal 27 2 4" xfId="8483" xr:uid="{00000000-0005-0000-0000-000015570000}"/>
    <cellStyle name="Normal 27 2 4 2" xfId="19771" xr:uid="{00000000-0005-0000-0000-000016570000}"/>
    <cellStyle name="Normal 27 2 5" xfId="6489" xr:uid="{00000000-0005-0000-0000-000017570000}"/>
    <cellStyle name="Normal 27 2 5 2" xfId="17777" xr:uid="{00000000-0005-0000-0000-000018570000}"/>
    <cellStyle name="Normal 27 2 6" xfId="15783" xr:uid="{00000000-0005-0000-0000-000019570000}"/>
    <cellStyle name="Normal 27 2 7" xfId="29073" xr:uid="{00000000-0005-0000-0000-00001A570000}"/>
    <cellStyle name="Normal 27 3" xfId="11474" xr:uid="{00000000-0005-0000-0000-00001B570000}"/>
    <cellStyle name="Normal 27 3 2" xfId="22762" xr:uid="{00000000-0005-0000-0000-00001C570000}"/>
    <cellStyle name="Normal 27 4" xfId="9480" xr:uid="{00000000-0005-0000-0000-00001D570000}"/>
    <cellStyle name="Normal 27 4 2" xfId="20768" xr:uid="{00000000-0005-0000-0000-00001E570000}"/>
    <cellStyle name="Normal 27 5" xfId="7486" xr:uid="{00000000-0005-0000-0000-00001F570000}"/>
    <cellStyle name="Normal 27 5 2" xfId="18774" xr:uid="{00000000-0005-0000-0000-000020570000}"/>
    <cellStyle name="Normal 27 6" xfId="5492" xr:uid="{00000000-0005-0000-0000-000021570000}"/>
    <cellStyle name="Normal 27 6 2" xfId="16780" xr:uid="{00000000-0005-0000-0000-000022570000}"/>
    <cellStyle name="Normal 27 7" xfId="3257" xr:uid="{00000000-0005-0000-0000-000023570000}"/>
    <cellStyle name="Normal 27 7 2" xfId="14786" xr:uid="{00000000-0005-0000-0000-000024570000}"/>
    <cellStyle name="Normal 27 8" xfId="13829" xr:uid="{00000000-0005-0000-0000-000025570000}"/>
    <cellStyle name="Normal 27 8 2" xfId="26678" xr:uid="{00000000-0005-0000-0000-000026570000}"/>
    <cellStyle name="Normal 27 9" xfId="13471" xr:uid="{00000000-0005-0000-0000-000027570000}"/>
    <cellStyle name="Normal 28" xfId="469" xr:uid="{00000000-0005-0000-0000-000028570000}"/>
    <cellStyle name="Normal 28 10" xfId="26032" xr:uid="{00000000-0005-0000-0000-000029570000}"/>
    <cellStyle name="Normal 28 2" xfId="4493" xr:uid="{00000000-0005-0000-0000-00002A570000}"/>
    <cellStyle name="Normal 28 2 2" xfId="12472" xr:uid="{00000000-0005-0000-0000-00002B570000}"/>
    <cellStyle name="Normal 28 2 2 2" xfId="23760" xr:uid="{00000000-0005-0000-0000-00002C570000}"/>
    <cellStyle name="Normal 28 2 3" xfId="10478" xr:uid="{00000000-0005-0000-0000-00002D570000}"/>
    <cellStyle name="Normal 28 2 3 2" xfId="21766" xr:uid="{00000000-0005-0000-0000-00002E570000}"/>
    <cellStyle name="Normal 28 2 4" xfId="8484" xr:uid="{00000000-0005-0000-0000-00002F570000}"/>
    <cellStyle name="Normal 28 2 4 2" xfId="19772" xr:uid="{00000000-0005-0000-0000-000030570000}"/>
    <cellStyle name="Normal 28 2 5" xfId="6490" xr:uid="{00000000-0005-0000-0000-000031570000}"/>
    <cellStyle name="Normal 28 2 5 2" xfId="17778" xr:uid="{00000000-0005-0000-0000-000032570000}"/>
    <cellStyle name="Normal 28 2 6" xfId="15784" xr:uid="{00000000-0005-0000-0000-000033570000}"/>
    <cellStyle name="Normal 28 3" xfId="11475" xr:uid="{00000000-0005-0000-0000-000034570000}"/>
    <cellStyle name="Normal 28 3 2" xfId="22763" xr:uid="{00000000-0005-0000-0000-000035570000}"/>
    <cellStyle name="Normal 28 4" xfId="9481" xr:uid="{00000000-0005-0000-0000-000036570000}"/>
    <cellStyle name="Normal 28 4 2" xfId="20769" xr:uid="{00000000-0005-0000-0000-000037570000}"/>
    <cellStyle name="Normal 28 5" xfId="7487" xr:uid="{00000000-0005-0000-0000-000038570000}"/>
    <cellStyle name="Normal 28 5 2" xfId="18775" xr:uid="{00000000-0005-0000-0000-000039570000}"/>
    <cellStyle name="Normal 28 6" xfId="5493" xr:uid="{00000000-0005-0000-0000-00003A570000}"/>
    <cellStyle name="Normal 28 6 2" xfId="16781" xr:uid="{00000000-0005-0000-0000-00003B570000}"/>
    <cellStyle name="Normal 28 7" xfId="3258" xr:uid="{00000000-0005-0000-0000-00003C570000}"/>
    <cellStyle name="Normal 28 7 2" xfId="14787" xr:uid="{00000000-0005-0000-0000-00003D570000}"/>
    <cellStyle name="Normal 28 8" xfId="13832" xr:uid="{00000000-0005-0000-0000-00003E570000}"/>
    <cellStyle name="Normal 28 8 2" xfId="26679" xr:uid="{00000000-0005-0000-0000-00003F570000}"/>
    <cellStyle name="Normal 28 9" xfId="13472" xr:uid="{00000000-0005-0000-0000-000040570000}"/>
    <cellStyle name="Normal 29" xfId="464" xr:uid="{00000000-0005-0000-0000-000041570000}"/>
    <cellStyle name="Normal 29 10" xfId="26029" xr:uid="{00000000-0005-0000-0000-000042570000}"/>
    <cellStyle name="Normal 29 2" xfId="4494" xr:uid="{00000000-0005-0000-0000-000043570000}"/>
    <cellStyle name="Normal 29 2 2" xfId="12473" xr:uid="{00000000-0005-0000-0000-000044570000}"/>
    <cellStyle name="Normal 29 2 2 2" xfId="23761" xr:uid="{00000000-0005-0000-0000-000045570000}"/>
    <cellStyle name="Normal 29 2 3" xfId="10479" xr:uid="{00000000-0005-0000-0000-000046570000}"/>
    <cellStyle name="Normal 29 2 3 2" xfId="21767" xr:uid="{00000000-0005-0000-0000-000047570000}"/>
    <cellStyle name="Normal 29 2 4" xfId="8485" xr:uid="{00000000-0005-0000-0000-000048570000}"/>
    <cellStyle name="Normal 29 2 4 2" xfId="19773" xr:uid="{00000000-0005-0000-0000-000049570000}"/>
    <cellStyle name="Normal 29 2 5" xfId="6491" xr:uid="{00000000-0005-0000-0000-00004A570000}"/>
    <cellStyle name="Normal 29 2 5 2" xfId="17779" xr:uid="{00000000-0005-0000-0000-00004B570000}"/>
    <cellStyle name="Normal 29 2 6" xfId="15785" xr:uid="{00000000-0005-0000-0000-00004C570000}"/>
    <cellStyle name="Normal 29 3" xfId="11476" xr:uid="{00000000-0005-0000-0000-00004D570000}"/>
    <cellStyle name="Normal 29 3 2" xfId="22764" xr:uid="{00000000-0005-0000-0000-00004E570000}"/>
    <cellStyle name="Normal 29 4" xfId="9482" xr:uid="{00000000-0005-0000-0000-00004F570000}"/>
    <cellStyle name="Normal 29 4 2" xfId="20770" xr:uid="{00000000-0005-0000-0000-000050570000}"/>
    <cellStyle name="Normal 29 5" xfId="7488" xr:uid="{00000000-0005-0000-0000-000051570000}"/>
    <cellStyle name="Normal 29 5 2" xfId="18776" xr:uid="{00000000-0005-0000-0000-000052570000}"/>
    <cellStyle name="Normal 29 6" xfId="5494" xr:uid="{00000000-0005-0000-0000-000053570000}"/>
    <cellStyle name="Normal 29 6 2" xfId="16782" xr:uid="{00000000-0005-0000-0000-000054570000}"/>
    <cellStyle name="Normal 29 7" xfId="3259" xr:uid="{00000000-0005-0000-0000-000055570000}"/>
    <cellStyle name="Normal 29 7 2" xfId="14788" xr:uid="{00000000-0005-0000-0000-000056570000}"/>
    <cellStyle name="Normal 29 8" xfId="13828" xr:uid="{00000000-0005-0000-0000-000057570000}"/>
    <cellStyle name="Normal 29 8 2" xfId="26677" xr:uid="{00000000-0005-0000-0000-000058570000}"/>
    <cellStyle name="Normal 29 9" xfId="13473" xr:uid="{00000000-0005-0000-0000-000059570000}"/>
    <cellStyle name="Normal 3" xfId="53" xr:uid="{00000000-0005-0000-0000-00005A570000}"/>
    <cellStyle name="Normal 3 10" xfId="24143" xr:uid="{00000000-0005-0000-0000-00005B570000}"/>
    <cellStyle name="Normal 3 10 2" xfId="29074" xr:uid="{00000000-0005-0000-0000-00005C570000}"/>
    <cellStyle name="Normal 3 10 3" xfId="28786" xr:uid="{00000000-0005-0000-0000-00005D570000}"/>
    <cellStyle name="Normal 3 11" xfId="25771" xr:uid="{00000000-0005-0000-0000-00005E570000}"/>
    <cellStyle name="Normal 3 11 2" xfId="29075" xr:uid="{00000000-0005-0000-0000-00005F570000}"/>
    <cellStyle name="Normal 3 12" xfId="28787" xr:uid="{00000000-0005-0000-0000-000060570000}"/>
    <cellStyle name="Normal 3 12 2" xfId="29076" xr:uid="{00000000-0005-0000-0000-000061570000}"/>
    <cellStyle name="Normal 3 13" xfId="28788" xr:uid="{00000000-0005-0000-0000-000062570000}"/>
    <cellStyle name="Normal 3 13 2" xfId="29077" xr:uid="{00000000-0005-0000-0000-000063570000}"/>
    <cellStyle name="Normal 3 14" xfId="29058" xr:uid="{00000000-0005-0000-0000-000064570000}"/>
    <cellStyle name="Normal 3 15" xfId="30158" xr:uid="{00000000-0005-0000-0000-000065570000}"/>
    <cellStyle name="Normal 3 2" xfId="54" xr:uid="{00000000-0005-0000-0000-000066570000}"/>
    <cellStyle name="Normal 3 2 2" xfId="11477" xr:uid="{00000000-0005-0000-0000-000067570000}"/>
    <cellStyle name="Normal 3 2 2 2" xfId="22765" xr:uid="{00000000-0005-0000-0000-000068570000}"/>
    <cellStyle name="Normal 3 2 2 3" xfId="29078" xr:uid="{00000000-0005-0000-0000-000069570000}"/>
    <cellStyle name="Normal 3 2 3" xfId="9483" xr:uid="{00000000-0005-0000-0000-00006A570000}"/>
    <cellStyle name="Normal 3 2 3 2" xfId="20771" xr:uid="{00000000-0005-0000-0000-00006B570000}"/>
    <cellStyle name="Normal 3 2 4" xfId="7489" xr:uid="{00000000-0005-0000-0000-00006C570000}"/>
    <cellStyle name="Normal 3 2 4 2" xfId="18777" xr:uid="{00000000-0005-0000-0000-00006D570000}"/>
    <cellStyle name="Normal 3 2 5" xfId="5495" xr:uid="{00000000-0005-0000-0000-00006E570000}"/>
    <cellStyle name="Normal 3 2 5 2" xfId="16783" xr:uid="{00000000-0005-0000-0000-00006F570000}"/>
    <cellStyle name="Normal 3 2 6" xfId="3260" xr:uid="{00000000-0005-0000-0000-000070570000}"/>
    <cellStyle name="Normal 3 2 6 2" xfId="14789" xr:uid="{00000000-0005-0000-0000-000071570000}"/>
    <cellStyle name="Normal 3 2 7" xfId="25785" xr:uid="{00000000-0005-0000-0000-000072570000}"/>
    <cellStyle name="Normal 3 3" xfId="355" xr:uid="{00000000-0005-0000-0000-000073570000}"/>
    <cellStyle name="Normal 3 3 2" xfId="438" xr:uid="{00000000-0005-0000-0000-000074570000}"/>
    <cellStyle name="Normal 3 3 2 2" xfId="524" xr:uid="{00000000-0005-0000-0000-000075570000}"/>
    <cellStyle name="Normal 3 3 2 2 2" xfId="13887" xr:uid="{00000000-0005-0000-0000-000076570000}"/>
    <cellStyle name="Normal 3 3 2 3" xfId="12474" xr:uid="{00000000-0005-0000-0000-000077570000}"/>
    <cellStyle name="Normal 3 3 2 3 2" xfId="23762" xr:uid="{00000000-0005-0000-0000-000078570000}"/>
    <cellStyle name="Normal 3 3 2 4" xfId="13810" xr:uid="{00000000-0005-0000-0000-000079570000}"/>
    <cellStyle name="Normal 3 3 2 5" xfId="29079" xr:uid="{00000000-0005-0000-0000-00007A570000}"/>
    <cellStyle name="Normal 3 3 3" xfId="487" xr:uid="{00000000-0005-0000-0000-00007B570000}"/>
    <cellStyle name="Normal 3 3 3 2" xfId="10480" xr:uid="{00000000-0005-0000-0000-00007C570000}"/>
    <cellStyle name="Normal 3 3 3 2 2" xfId="21768" xr:uid="{00000000-0005-0000-0000-00007D570000}"/>
    <cellStyle name="Normal 3 3 3 3" xfId="13850" xr:uid="{00000000-0005-0000-0000-00007E570000}"/>
    <cellStyle name="Normal 3 3 4" xfId="8486" xr:uid="{00000000-0005-0000-0000-00007F570000}"/>
    <cellStyle name="Normal 3 3 4 2" xfId="19774" xr:uid="{00000000-0005-0000-0000-000080570000}"/>
    <cellStyle name="Normal 3 3 5" xfId="6492" xr:uid="{00000000-0005-0000-0000-000081570000}"/>
    <cellStyle name="Normal 3 3 5 2" xfId="17780" xr:uid="{00000000-0005-0000-0000-000082570000}"/>
    <cellStyle name="Normal 3 3 6" xfId="4495" xr:uid="{00000000-0005-0000-0000-000083570000}"/>
    <cellStyle name="Normal 3 3 6 2" xfId="15786" xr:uid="{00000000-0005-0000-0000-000084570000}"/>
    <cellStyle name="Normal 3 3 7" xfId="13765" xr:uid="{00000000-0005-0000-0000-000085570000}"/>
    <cellStyle name="Normal 3 3 8" xfId="24144" xr:uid="{00000000-0005-0000-0000-000086570000}"/>
    <cellStyle name="Normal 3 3 8 2" xfId="27079" xr:uid="{00000000-0005-0000-0000-000087570000}"/>
    <cellStyle name="Normal 3 4" xfId="407" xr:uid="{00000000-0005-0000-0000-000088570000}"/>
    <cellStyle name="Normal 3 4 2" xfId="507" xr:uid="{00000000-0005-0000-0000-000089570000}"/>
    <cellStyle name="Normal 3 4 2 2" xfId="13870" xr:uid="{00000000-0005-0000-0000-00008A570000}"/>
    <cellStyle name="Normal 3 4 2 3" xfId="24419" xr:uid="{00000000-0005-0000-0000-00008B570000}"/>
    <cellStyle name="Normal 3 4 2 4" xfId="24863" xr:uid="{00000000-0005-0000-0000-00008C570000}"/>
    <cellStyle name="Normal 3 4 2 5" xfId="25226" xr:uid="{00000000-0005-0000-0000-00008D570000}"/>
    <cellStyle name="Normal 3 4 2 6" xfId="29080" xr:uid="{00000000-0005-0000-0000-00008E570000}"/>
    <cellStyle name="Normal 3 4 3" xfId="13789" xr:uid="{00000000-0005-0000-0000-00008F570000}"/>
    <cellStyle name="Normal 3 4 4" xfId="24145" xr:uid="{00000000-0005-0000-0000-000090570000}"/>
    <cellStyle name="Normal 3 4 5" xfId="24716" xr:uid="{00000000-0005-0000-0000-000091570000}"/>
    <cellStyle name="Normal 3 4 6" xfId="25032" xr:uid="{00000000-0005-0000-0000-000092570000}"/>
    <cellStyle name="Normal 3 4 7" xfId="28789" xr:uid="{00000000-0005-0000-0000-000093570000}"/>
    <cellStyle name="Normal 3 5" xfId="386" xr:uid="{00000000-0005-0000-0000-000094570000}"/>
    <cellStyle name="Normal 3 5 2" xfId="29081" xr:uid="{00000000-0005-0000-0000-000095570000}"/>
    <cellStyle name="Normal 3 5 3" xfId="28790" xr:uid="{00000000-0005-0000-0000-000096570000}"/>
    <cellStyle name="Normal 3 6" xfId="472" xr:uid="{00000000-0005-0000-0000-000097570000}"/>
    <cellStyle name="Normal 3 6 2" xfId="13835" xr:uid="{00000000-0005-0000-0000-000098570000}"/>
    <cellStyle name="Normal 3 6 2 2" xfId="29082" xr:uid="{00000000-0005-0000-0000-000099570000}"/>
    <cellStyle name="Normal 3 6 3" xfId="28791" xr:uid="{00000000-0005-0000-0000-00009A570000}"/>
    <cellStyle name="Normal 3 7" xfId="658" xr:uid="{00000000-0005-0000-0000-00009B570000}"/>
    <cellStyle name="Normal 3 7 2" xfId="13911" xr:uid="{00000000-0005-0000-0000-00009C570000}"/>
    <cellStyle name="Normal 3 7 2 2" xfId="29083" xr:uid="{00000000-0005-0000-0000-00009D570000}"/>
    <cellStyle name="Normal 3 7 3" xfId="28792" xr:uid="{00000000-0005-0000-0000-00009E570000}"/>
    <cellStyle name="Normal 3 8" xfId="13612" xr:uid="{00000000-0005-0000-0000-00009F570000}"/>
    <cellStyle name="Normal 3 8 2" xfId="29084" xr:uid="{00000000-0005-0000-0000-0000A0570000}"/>
    <cellStyle name="Normal 3 8 3" xfId="28793" xr:uid="{00000000-0005-0000-0000-0000A1570000}"/>
    <cellStyle name="Normal 3 9" xfId="12599" xr:uid="{00000000-0005-0000-0000-0000A2570000}"/>
    <cellStyle name="Normal 3 9 2" xfId="29085" xr:uid="{00000000-0005-0000-0000-0000A3570000}"/>
    <cellStyle name="Normal 3 9 3" xfId="28794" xr:uid="{00000000-0005-0000-0000-0000A4570000}"/>
    <cellStyle name="Normal 30" xfId="470" xr:uid="{00000000-0005-0000-0000-0000A5570000}"/>
    <cellStyle name="Normal 30 10" xfId="27907" xr:uid="{00000000-0005-0000-0000-0000A6570000}"/>
    <cellStyle name="Normal 30 11" xfId="26033" xr:uid="{00000000-0005-0000-0000-0000A7570000}"/>
    <cellStyle name="Normal 30 2" xfId="4496" xr:uid="{00000000-0005-0000-0000-0000A8570000}"/>
    <cellStyle name="Normal 30 2 2" xfId="12475" xr:uid="{00000000-0005-0000-0000-0000A9570000}"/>
    <cellStyle name="Normal 30 2 2 2" xfId="23763" xr:uid="{00000000-0005-0000-0000-0000AA570000}"/>
    <cellStyle name="Normal 30 2 3" xfId="10481" xr:uid="{00000000-0005-0000-0000-0000AB570000}"/>
    <cellStyle name="Normal 30 2 3 2" xfId="21769" xr:uid="{00000000-0005-0000-0000-0000AC570000}"/>
    <cellStyle name="Normal 30 2 4" xfId="8487" xr:uid="{00000000-0005-0000-0000-0000AD570000}"/>
    <cellStyle name="Normal 30 2 4 2" xfId="19775" xr:uid="{00000000-0005-0000-0000-0000AE570000}"/>
    <cellStyle name="Normal 30 2 5" xfId="6493" xr:uid="{00000000-0005-0000-0000-0000AF570000}"/>
    <cellStyle name="Normal 30 2 5 2" xfId="17781" xr:uid="{00000000-0005-0000-0000-0000B0570000}"/>
    <cellStyle name="Normal 30 2 6" xfId="15787" xr:uid="{00000000-0005-0000-0000-0000B1570000}"/>
    <cellStyle name="Normal 30 2 7" xfId="29086" xr:uid="{00000000-0005-0000-0000-0000B2570000}"/>
    <cellStyle name="Normal 30 3" xfId="11478" xr:uid="{00000000-0005-0000-0000-0000B3570000}"/>
    <cellStyle name="Normal 30 3 2" xfId="22766" xr:uid="{00000000-0005-0000-0000-0000B4570000}"/>
    <cellStyle name="Normal 30 4" xfId="9484" xr:uid="{00000000-0005-0000-0000-0000B5570000}"/>
    <cellStyle name="Normal 30 4 2" xfId="20772" xr:uid="{00000000-0005-0000-0000-0000B6570000}"/>
    <cellStyle name="Normal 30 5" xfId="7490" xr:uid="{00000000-0005-0000-0000-0000B7570000}"/>
    <cellStyle name="Normal 30 5 2" xfId="18778" xr:uid="{00000000-0005-0000-0000-0000B8570000}"/>
    <cellStyle name="Normal 30 6" xfId="5496" xr:uid="{00000000-0005-0000-0000-0000B9570000}"/>
    <cellStyle name="Normal 30 6 2" xfId="16784" xr:uid="{00000000-0005-0000-0000-0000BA570000}"/>
    <cellStyle name="Normal 30 7" xfId="3261" xr:uid="{00000000-0005-0000-0000-0000BB570000}"/>
    <cellStyle name="Normal 30 7 2" xfId="14790" xr:uid="{00000000-0005-0000-0000-0000BC570000}"/>
    <cellStyle name="Normal 30 8" xfId="13833" xr:uid="{00000000-0005-0000-0000-0000BD570000}"/>
    <cellStyle name="Normal 30 8 2" xfId="26680" xr:uid="{00000000-0005-0000-0000-0000BE570000}"/>
    <cellStyle name="Normal 30 9" xfId="13474" xr:uid="{00000000-0005-0000-0000-0000BF570000}"/>
    <cellStyle name="Normal 31" xfId="3262" xr:uid="{00000000-0005-0000-0000-0000C0570000}"/>
    <cellStyle name="Normal 31 2" xfId="4497" xr:uid="{00000000-0005-0000-0000-0000C1570000}"/>
    <cellStyle name="Normal 31 2 2" xfId="12476" xr:uid="{00000000-0005-0000-0000-0000C2570000}"/>
    <cellStyle name="Normal 31 2 2 2" xfId="23764" xr:uid="{00000000-0005-0000-0000-0000C3570000}"/>
    <cellStyle name="Normal 31 2 3" xfId="10482" xr:uid="{00000000-0005-0000-0000-0000C4570000}"/>
    <cellStyle name="Normal 31 2 3 2" xfId="21770" xr:uid="{00000000-0005-0000-0000-0000C5570000}"/>
    <cellStyle name="Normal 31 2 4" xfId="8488" xr:uid="{00000000-0005-0000-0000-0000C6570000}"/>
    <cellStyle name="Normal 31 2 4 2" xfId="19776" xr:uid="{00000000-0005-0000-0000-0000C7570000}"/>
    <cellStyle name="Normal 31 2 5" xfId="6494" xr:uid="{00000000-0005-0000-0000-0000C8570000}"/>
    <cellStyle name="Normal 31 2 5 2" xfId="17782" xr:uid="{00000000-0005-0000-0000-0000C9570000}"/>
    <cellStyle name="Normal 31 2 6" xfId="15788" xr:uid="{00000000-0005-0000-0000-0000CA570000}"/>
    <cellStyle name="Normal 31 2 7" xfId="29087" xr:uid="{00000000-0005-0000-0000-0000CB570000}"/>
    <cellStyle name="Normal 31 3" xfId="11479" xr:uid="{00000000-0005-0000-0000-0000CC570000}"/>
    <cellStyle name="Normal 31 3 2" xfId="22767" xr:uid="{00000000-0005-0000-0000-0000CD570000}"/>
    <cellStyle name="Normal 31 4" xfId="9485" xr:uid="{00000000-0005-0000-0000-0000CE570000}"/>
    <cellStyle name="Normal 31 4 2" xfId="20773" xr:uid="{00000000-0005-0000-0000-0000CF570000}"/>
    <cellStyle name="Normal 31 5" xfId="7491" xr:uid="{00000000-0005-0000-0000-0000D0570000}"/>
    <cellStyle name="Normal 31 5 2" xfId="18779" xr:uid="{00000000-0005-0000-0000-0000D1570000}"/>
    <cellStyle name="Normal 31 6" xfId="5497" xr:uid="{00000000-0005-0000-0000-0000D2570000}"/>
    <cellStyle name="Normal 31 6 2" xfId="16785" xr:uid="{00000000-0005-0000-0000-0000D3570000}"/>
    <cellStyle name="Normal 31 7" xfId="14791" xr:uid="{00000000-0005-0000-0000-0000D4570000}"/>
    <cellStyle name="Normal 31 8" xfId="13475" xr:uid="{00000000-0005-0000-0000-0000D5570000}"/>
    <cellStyle name="Normal 31 9" xfId="24471" xr:uid="{00000000-0005-0000-0000-0000D6570000}"/>
    <cellStyle name="Normal 31 9 2" xfId="27169" xr:uid="{00000000-0005-0000-0000-0000D7570000}"/>
    <cellStyle name="Normal 32" xfId="3263" xr:uid="{00000000-0005-0000-0000-0000D8570000}"/>
    <cellStyle name="Normal 32 2" xfId="4498" xr:uid="{00000000-0005-0000-0000-0000D9570000}"/>
    <cellStyle name="Normal 32 2 2" xfId="12477" xr:uid="{00000000-0005-0000-0000-0000DA570000}"/>
    <cellStyle name="Normal 32 2 2 2" xfId="23765" xr:uid="{00000000-0005-0000-0000-0000DB570000}"/>
    <cellStyle name="Normal 32 2 3" xfId="10483" xr:uid="{00000000-0005-0000-0000-0000DC570000}"/>
    <cellStyle name="Normal 32 2 3 2" xfId="21771" xr:uid="{00000000-0005-0000-0000-0000DD570000}"/>
    <cellStyle name="Normal 32 2 4" xfId="8489" xr:uid="{00000000-0005-0000-0000-0000DE570000}"/>
    <cellStyle name="Normal 32 2 4 2" xfId="19777" xr:uid="{00000000-0005-0000-0000-0000DF570000}"/>
    <cellStyle name="Normal 32 2 5" xfId="6495" xr:uid="{00000000-0005-0000-0000-0000E0570000}"/>
    <cellStyle name="Normal 32 2 5 2" xfId="17783" xr:uid="{00000000-0005-0000-0000-0000E1570000}"/>
    <cellStyle name="Normal 32 2 6" xfId="15789" xr:uid="{00000000-0005-0000-0000-0000E2570000}"/>
    <cellStyle name="Normal 32 2 7" xfId="29088" xr:uid="{00000000-0005-0000-0000-0000E3570000}"/>
    <cellStyle name="Normal 32 3" xfId="11480" xr:uid="{00000000-0005-0000-0000-0000E4570000}"/>
    <cellStyle name="Normal 32 3 2" xfId="22768" xr:uid="{00000000-0005-0000-0000-0000E5570000}"/>
    <cellStyle name="Normal 32 4" xfId="9486" xr:uid="{00000000-0005-0000-0000-0000E6570000}"/>
    <cellStyle name="Normal 32 4 2" xfId="20774" xr:uid="{00000000-0005-0000-0000-0000E7570000}"/>
    <cellStyle name="Normal 32 5" xfId="7492" xr:uid="{00000000-0005-0000-0000-0000E8570000}"/>
    <cellStyle name="Normal 32 5 2" xfId="18780" xr:uid="{00000000-0005-0000-0000-0000E9570000}"/>
    <cellStyle name="Normal 32 6" xfId="5498" xr:uid="{00000000-0005-0000-0000-0000EA570000}"/>
    <cellStyle name="Normal 32 6 2" xfId="16786" xr:uid="{00000000-0005-0000-0000-0000EB570000}"/>
    <cellStyle name="Normal 32 7" xfId="14792" xr:uid="{00000000-0005-0000-0000-0000EC570000}"/>
    <cellStyle name="Normal 32 8" xfId="13476" xr:uid="{00000000-0005-0000-0000-0000ED570000}"/>
    <cellStyle name="Normal 32 9" xfId="24392" xr:uid="{00000000-0005-0000-0000-0000EE570000}"/>
    <cellStyle name="Normal 32 9 2" xfId="27150" xr:uid="{00000000-0005-0000-0000-0000EF570000}"/>
    <cellStyle name="Normal 33" xfId="3264" xr:uid="{00000000-0005-0000-0000-0000F0570000}"/>
    <cellStyle name="Normal 33 2" xfId="4499" xr:uid="{00000000-0005-0000-0000-0000F1570000}"/>
    <cellStyle name="Normal 33 2 2" xfId="12478" xr:uid="{00000000-0005-0000-0000-0000F2570000}"/>
    <cellStyle name="Normal 33 2 2 2" xfId="23766" xr:uid="{00000000-0005-0000-0000-0000F3570000}"/>
    <cellStyle name="Normal 33 2 3" xfId="10484" xr:uid="{00000000-0005-0000-0000-0000F4570000}"/>
    <cellStyle name="Normal 33 2 3 2" xfId="21772" xr:uid="{00000000-0005-0000-0000-0000F5570000}"/>
    <cellStyle name="Normal 33 2 4" xfId="8490" xr:uid="{00000000-0005-0000-0000-0000F6570000}"/>
    <cellStyle name="Normal 33 2 4 2" xfId="19778" xr:uid="{00000000-0005-0000-0000-0000F7570000}"/>
    <cellStyle name="Normal 33 2 5" xfId="6496" xr:uid="{00000000-0005-0000-0000-0000F8570000}"/>
    <cellStyle name="Normal 33 2 5 2" xfId="17784" xr:uid="{00000000-0005-0000-0000-0000F9570000}"/>
    <cellStyle name="Normal 33 2 6" xfId="15790" xr:uid="{00000000-0005-0000-0000-0000FA570000}"/>
    <cellStyle name="Normal 33 2 7" xfId="29089" xr:uid="{00000000-0005-0000-0000-0000FB570000}"/>
    <cellStyle name="Normal 33 3" xfId="11481" xr:uid="{00000000-0005-0000-0000-0000FC570000}"/>
    <cellStyle name="Normal 33 3 2" xfId="22769" xr:uid="{00000000-0005-0000-0000-0000FD570000}"/>
    <cellStyle name="Normal 33 4" xfId="9487" xr:uid="{00000000-0005-0000-0000-0000FE570000}"/>
    <cellStyle name="Normal 33 4 2" xfId="20775" xr:uid="{00000000-0005-0000-0000-0000FF570000}"/>
    <cellStyle name="Normal 33 5" xfId="7493" xr:uid="{00000000-0005-0000-0000-000000580000}"/>
    <cellStyle name="Normal 33 5 2" xfId="18781" xr:uid="{00000000-0005-0000-0000-000001580000}"/>
    <cellStyle name="Normal 33 6" xfId="5499" xr:uid="{00000000-0005-0000-0000-000002580000}"/>
    <cellStyle name="Normal 33 6 2" xfId="16787" xr:uid="{00000000-0005-0000-0000-000003580000}"/>
    <cellStyle name="Normal 33 7" xfId="14793" xr:uid="{00000000-0005-0000-0000-000004580000}"/>
    <cellStyle name="Normal 33 8" xfId="13477" xr:uid="{00000000-0005-0000-0000-000005580000}"/>
    <cellStyle name="Normal 33 9" xfId="24487" xr:uid="{00000000-0005-0000-0000-000006580000}"/>
    <cellStyle name="Normal 33 9 2" xfId="27177" xr:uid="{00000000-0005-0000-0000-000007580000}"/>
    <cellStyle name="Normal 34" xfId="3265" xr:uid="{00000000-0005-0000-0000-000008580000}"/>
    <cellStyle name="Normal 34 2" xfId="4500" xr:uid="{00000000-0005-0000-0000-000009580000}"/>
    <cellStyle name="Normal 34 2 2" xfId="12479" xr:uid="{00000000-0005-0000-0000-00000A580000}"/>
    <cellStyle name="Normal 34 2 2 2" xfId="23767" xr:uid="{00000000-0005-0000-0000-00000B580000}"/>
    <cellStyle name="Normal 34 2 3" xfId="10485" xr:uid="{00000000-0005-0000-0000-00000C580000}"/>
    <cellStyle name="Normal 34 2 3 2" xfId="21773" xr:uid="{00000000-0005-0000-0000-00000D580000}"/>
    <cellStyle name="Normal 34 2 4" xfId="8491" xr:uid="{00000000-0005-0000-0000-00000E580000}"/>
    <cellStyle name="Normal 34 2 4 2" xfId="19779" xr:uid="{00000000-0005-0000-0000-00000F580000}"/>
    <cellStyle name="Normal 34 2 5" xfId="6497" xr:uid="{00000000-0005-0000-0000-000010580000}"/>
    <cellStyle name="Normal 34 2 5 2" xfId="17785" xr:uid="{00000000-0005-0000-0000-000011580000}"/>
    <cellStyle name="Normal 34 2 6" xfId="15791" xr:uid="{00000000-0005-0000-0000-000012580000}"/>
    <cellStyle name="Normal 34 2 7" xfId="29090" xr:uid="{00000000-0005-0000-0000-000013580000}"/>
    <cellStyle name="Normal 34 3" xfId="11482" xr:uid="{00000000-0005-0000-0000-000014580000}"/>
    <cellStyle name="Normal 34 3 2" xfId="22770" xr:uid="{00000000-0005-0000-0000-000015580000}"/>
    <cellStyle name="Normal 34 4" xfId="9488" xr:uid="{00000000-0005-0000-0000-000016580000}"/>
    <cellStyle name="Normal 34 4 2" xfId="20776" xr:uid="{00000000-0005-0000-0000-000017580000}"/>
    <cellStyle name="Normal 34 5" xfId="7494" xr:uid="{00000000-0005-0000-0000-000018580000}"/>
    <cellStyle name="Normal 34 5 2" xfId="18782" xr:uid="{00000000-0005-0000-0000-000019580000}"/>
    <cellStyle name="Normal 34 6" xfId="5500" xr:uid="{00000000-0005-0000-0000-00001A580000}"/>
    <cellStyle name="Normal 34 6 2" xfId="16788" xr:uid="{00000000-0005-0000-0000-00001B580000}"/>
    <cellStyle name="Normal 34 7" xfId="14794" xr:uid="{00000000-0005-0000-0000-00001C580000}"/>
    <cellStyle name="Normal 34 8" xfId="13478" xr:uid="{00000000-0005-0000-0000-00001D580000}"/>
    <cellStyle name="Normal 34 9" xfId="24470" xr:uid="{00000000-0005-0000-0000-00001E580000}"/>
    <cellStyle name="Normal 34 9 2" xfId="27168" xr:uid="{00000000-0005-0000-0000-00001F580000}"/>
    <cellStyle name="Normal 35" xfId="3266" xr:uid="{00000000-0005-0000-0000-000020580000}"/>
    <cellStyle name="Normal 35 2" xfId="4501" xr:uid="{00000000-0005-0000-0000-000021580000}"/>
    <cellStyle name="Normal 35 2 2" xfId="12480" xr:uid="{00000000-0005-0000-0000-000022580000}"/>
    <cellStyle name="Normal 35 2 2 2" xfId="23768" xr:uid="{00000000-0005-0000-0000-000023580000}"/>
    <cellStyle name="Normal 35 2 3" xfId="10486" xr:uid="{00000000-0005-0000-0000-000024580000}"/>
    <cellStyle name="Normal 35 2 3 2" xfId="21774" xr:uid="{00000000-0005-0000-0000-000025580000}"/>
    <cellStyle name="Normal 35 2 4" xfId="8492" xr:uid="{00000000-0005-0000-0000-000026580000}"/>
    <cellStyle name="Normal 35 2 4 2" xfId="19780" xr:uid="{00000000-0005-0000-0000-000027580000}"/>
    <cellStyle name="Normal 35 2 5" xfId="6498" xr:uid="{00000000-0005-0000-0000-000028580000}"/>
    <cellStyle name="Normal 35 2 5 2" xfId="17786" xr:uid="{00000000-0005-0000-0000-000029580000}"/>
    <cellStyle name="Normal 35 2 6" xfId="15792" xr:uid="{00000000-0005-0000-0000-00002A580000}"/>
    <cellStyle name="Normal 35 2 7" xfId="29091" xr:uid="{00000000-0005-0000-0000-00002B580000}"/>
    <cellStyle name="Normal 35 3" xfId="11483" xr:uid="{00000000-0005-0000-0000-00002C580000}"/>
    <cellStyle name="Normal 35 3 2" xfId="22771" xr:uid="{00000000-0005-0000-0000-00002D580000}"/>
    <cellStyle name="Normal 35 4" xfId="9489" xr:uid="{00000000-0005-0000-0000-00002E580000}"/>
    <cellStyle name="Normal 35 4 2" xfId="20777" xr:uid="{00000000-0005-0000-0000-00002F580000}"/>
    <cellStyle name="Normal 35 5" xfId="7495" xr:uid="{00000000-0005-0000-0000-000030580000}"/>
    <cellStyle name="Normal 35 5 2" xfId="18783" xr:uid="{00000000-0005-0000-0000-000031580000}"/>
    <cellStyle name="Normal 35 6" xfId="5501" xr:uid="{00000000-0005-0000-0000-000032580000}"/>
    <cellStyle name="Normal 35 6 2" xfId="16789" xr:uid="{00000000-0005-0000-0000-000033580000}"/>
    <cellStyle name="Normal 35 7" xfId="14795" xr:uid="{00000000-0005-0000-0000-000034580000}"/>
    <cellStyle name="Normal 35 8" xfId="13479" xr:uid="{00000000-0005-0000-0000-000035580000}"/>
    <cellStyle name="Normal 35 9" xfId="24501" xr:uid="{00000000-0005-0000-0000-000036580000}"/>
    <cellStyle name="Normal 35 9 2" xfId="27189" xr:uid="{00000000-0005-0000-0000-000037580000}"/>
    <cellStyle name="Normal 36" xfId="3267" xr:uid="{00000000-0005-0000-0000-000038580000}"/>
    <cellStyle name="Normal 36 10" xfId="28795" xr:uid="{00000000-0005-0000-0000-000039580000}"/>
    <cellStyle name="Normal 36 2" xfId="4502" xr:uid="{00000000-0005-0000-0000-00003A580000}"/>
    <cellStyle name="Normal 36 2 2" xfId="12481" xr:uid="{00000000-0005-0000-0000-00003B580000}"/>
    <cellStyle name="Normal 36 2 2 2" xfId="23769" xr:uid="{00000000-0005-0000-0000-00003C580000}"/>
    <cellStyle name="Normal 36 2 3" xfId="10487" xr:uid="{00000000-0005-0000-0000-00003D580000}"/>
    <cellStyle name="Normal 36 2 3 2" xfId="21775" xr:uid="{00000000-0005-0000-0000-00003E580000}"/>
    <cellStyle name="Normal 36 2 4" xfId="8493" xr:uid="{00000000-0005-0000-0000-00003F580000}"/>
    <cellStyle name="Normal 36 2 4 2" xfId="19781" xr:uid="{00000000-0005-0000-0000-000040580000}"/>
    <cellStyle name="Normal 36 2 5" xfId="6499" xr:uid="{00000000-0005-0000-0000-000041580000}"/>
    <cellStyle name="Normal 36 2 5 2" xfId="17787" xr:uid="{00000000-0005-0000-0000-000042580000}"/>
    <cellStyle name="Normal 36 2 6" xfId="15793" xr:uid="{00000000-0005-0000-0000-000043580000}"/>
    <cellStyle name="Normal 36 3" xfId="11484" xr:uid="{00000000-0005-0000-0000-000044580000}"/>
    <cellStyle name="Normal 36 3 2" xfId="22772" xr:uid="{00000000-0005-0000-0000-000045580000}"/>
    <cellStyle name="Normal 36 4" xfId="9490" xr:uid="{00000000-0005-0000-0000-000046580000}"/>
    <cellStyle name="Normal 36 4 2" xfId="20778" xr:uid="{00000000-0005-0000-0000-000047580000}"/>
    <cellStyle name="Normal 36 5" xfId="7496" xr:uid="{00000000-0005-0000-0000-000048580000}"/>
    <cellStyle name="Normal 36 5 2" xfId="18784" xr:uid="{00000000-0005-0000-0000-000049580000}"/>
    <cellStyle name="Normal 36 6" xfId="5502" xr:uid="{00000000-0005-0000-0000-00004A580000}"/>
    <cellStyle name="Normal 36 6 2" xfId="16790" xr:uid="{00000000-0005-0000-0000-00004B580000}"/>
    <cellStyle name="Normal 36 7" xfId="14796" xr:uid="{00000000-0005-0000-0000-00004C580000}"/>
    <cellStyle name="Normal 36 8" xfId="13480" xr:uid="{00000000-0005-0000-0000-00004D580000}"/>
    <cellStyle name="Normal 36 9" xfId="24485" xr:uid="{00000000-0005-0000-0000-00004E580000}"/>
    <cellStyle name="Normal 36 9 2" xfId="27176" xr:uid="{00000000-0005-0000-0000-00004F580000}"/>
    <cellStyle name="Normal 37" xfId="3268" xr:uid="{00000000-0005-0000-0000-000050580000}"/>
    <cellStyle name="Normal 37 2" xfId="4503" xr:uid="{00000000-0005-0000-0000-000051580000}"/>
    <cellStyle name="Normal 37 2 2" xfId="12482" xr:uid="{00000000-0005-0000-0000-000052580000}"/>
    <cellStyle name="Normal 37 2 2 2" xfId="23770" xr:uid="{00000000-0005-0000-0000-000053580000}"/>
    <cellStyle name="Normal 37 2 3" xfId="10488" xr:uid="{00000000-0005-0000-0000-000054580000}"/>
    <cellStyle name="Normal 37 2 3 2" xfId="21776" xr:uid="{00000000-0005-0000-0000-000055580000}"/>
    <cellStyle name="Normal 37 2 4" xfId="8494" xr:uid="{00000000-0005-0000-0000-000056580000}"/>
    <cellStyle name="Normal 37 2 4 2" xfId="19782" xr:uid="{00000000-0005-0000-0000-000057580000}"/>
    <cellStyle name="Normal 37 2 5" xfId="6500" xr:uid="{00000000-0005-0000-0000-000058580000}"/>
    <cellStyle name="Normal 37 2 5 2" xfId="17788" xr:uid="{00000000-0005-0000-0000-000059580000}"/>
    <cellStyle name="Normal 37 2 6" xfId="15794" xr:uid="{00000000-0005-0000-0000-00005A580000}"/>
    <cellStyle name="Normal 37 3" xfId="11485" xr:uid="{00000000-0005-0000-0000-00005B580000}"/>
    <cellStyle name="Normal 37 3 2" xfId="22773" xr:uid="{00000000-0005-0000-0000-00005C580000}"/>
    <cellStyle name="Normal 37 4" xfId="9491" xr:uid="{00000000-0005-0000-0000-00005D580000}"/>
    <cellStyle name="Normal 37 4 2" xfId="20779" xr:uid="{00000000-0005-0000-0000-00005E580000}"/>
    <cellStyle name="Normal 37 5" xfId="7497" xr:uid="{00000000-0005-0000-0000-00005F580000}"/>
    <cellStyle name="Normal 37 5 2" xfId="18785" xr:uid="{00000000-0005-0000-0000-000060580000}"/>
    <cellStyle name="Normal 37 6" xfId="5503" xr:uid="{00000000-0005-0000-0000-000061580000}"/>
    <cellStyle name="Normal 37 6 2" xfId="16791" xr:uid="{00000000-0005-0000-0000-000062580000}"/>
    <cellStyle name="Normal 37 7" xfId="14797" xr:uid="{00000000-0005-0000-0000-000063580000}"/>
    <cellStyle name="Normal 37 8" xfId="13481" xr:uid="{00000000-0005-0000-0000-000064580000}"/>
    <cellStyle name="Normal 37 9" xfId="24498" xr:uid="{00000000-0005-0000-0000-000065580000}"/>
    <cellStyle name="Normal 37 9 2" xfId="27187" xr:uid="{00000000-0005-0000-0000-000066580000}"/>
    <cellStyle name="Normal 38" xfId="3269" xr:uid="{00000000-0005-0000-0000-000067580000}"/>
    <cellStyle name="Normal 38 2" xfId="4504" xr:uid="{00000000-0005-0000-0000-000068580000}"/>
    <cellStyle name="Normal 38 2 2" xfId="12483" xr:uid="{00000000-0005-0000-0000-000069580000}"/>
    <cellStyle name="Normal 38 2 2 2" xfId="23771" xr:uid="{00000000-0005-0000-0000-00006A580000}"/>
    <cellStyle name="Normal 38 2 3" xfId="10489" xr:uid="{00000000-0005-0000-0000-00006B580000}"/>
    <cellStyle name="Normal 38 2 3 2" xfId="21777" xr:uid="{00000000-0005-0000-0000-00006C580000}"/>
    <cellStyle name="Normal 38 2 4" xfId="8495" xr:uid="{00000000-0005-0000-0000-00006D580000}"/>
    <cellStyle name="Normal 38 2 4 2" xfId="19783" xr:uid="{00000000-0005-0000-0000-00006E580000}"/>
    <cellStyle name="Normal 38 2 5" xfId="6501" xr:uid="{00000000-0005-0000-0000-00006F580000}"/>
    <cellStyle name="Normal 38 2 5 2" xfId="17789" xr:uid="{00000000-0005-0000-0000-000070580000}"/>
    <cellStyle name="Normal 38 2 6" xfId="15795" xr:uid="{00000000-0005-0000-0000-000071580000}"/>
    <cellStyle name="Normal 38 3" xfId="11486" xr:uid="{00000000-0005-0000-0000-000072580000}"/>
    <cellStyle name="Normal 38 3 2" xfId="22774" xr:uid="{00000000-0005-0000-0000-000073580000}"/>
    <cellStyle name="Normal 38 4" xfId="9492" xr:uid="{00000000-0005-0000-0000-000074580000}"/>
    <cellStyle name="Normal 38 4 2" xfId="20780" xr:uid="{00000000-0005-0000-0000-000075580000}"/>
    <cellStyle name="Normal 38 5" xfId="7498" xr:uid="{00000000-0005-0000-0000-000076580000}"/>
    <cellStyle name="Normal 38 5 2" xfId="18786" xr:uid="{00000000-0005-0000-0000-000077580000}"/>
    <cellStyle name="Normal 38 6" xfId="5504" xr:uid="{00000000-0005-0000-0000-000078580000}"/>
    <cellStyle name="Normal 38 6 2" xfId="16792" xr:uid="{00000000-0005-0000-0000-000079580000}"/>
    <cellStyle name="Normal 38 7" xfId="14798" xr:uid="{00000000-0005-0000-0000-00007A580000}"/>
    <cellStyle name="Normal 38 8" xfId="13482" xr:uid="{00000000-0005-0000-0000-00007B580000}"/>
    <cellStyle name="Normal 38 9" xfId="24459" xr:uid="{00000000-0005-0000-0000-00007C580000}"/>
    <cellStyle name="Normal 38 9 2" xfId="27165" xr:uid="{00000000-0005-0000-0000-00007D580000}"/>
    <cellStyle name="Normal 39" xfId="3270" xr:uid="{00000000-0005-0000-0000-00007E580000}"/>
    <cellStyle name="Normal 39 2" xfId="4505" xr:uid="{00000000-0005-0000-0000-00007F580000}"/>
    <cellStyle name="Normal 39 2 2" xfId="12484" xr:uid="{00000000-0005-0000-0000-000080580000}"/>
    <cellStyle name="Normal 39 2 2 2" xfId="23772" xr:uid="{00000000-0005-0000-0000-000081580000}"/>
    <cellStyle name="Normal 39 2 3" xfId="10490" xr:uid="{00000000-0005-0000-0000-000082580000}"/>
    <cellStyle name="Normal 39 2 3 2" xfId="21778" xr:uid="{00000000-0005-0000-0000-000083580000}"/>
    <cellStyle name="Normal 39 2 4" xfId="8496" xr:uid="{00000000-0005-0000-0000-000084580000}"/>
    <cellStyle name="Normal 39 2 4 2" xfId="19784" xr:uid="{00000000-0005-0000-0000-000085580000}"/>
    <cellStyle name="Normal 39 2 5" xfId="6502" xr:uid="{00000000-0005-0000-0000-000086580000}"/>
    <cellStyle name="Normal 39 2 5 2" xfId="17790" xr:uid="{00000000-0005-0000-0000-000087580000}"/>
    <cellStyle name="Normal 39 2 6" xfId="15796" xr:uid="{00000000-0005-0000-0000-000088580000}"/>
    <cellStyle name="Normal 39 3" xfId="11487" xr:uid="{00000000-0005-0000-0000-000089580000}"/>
    <cellStyle name="Normal 39 3 2" xfId="22775" xr:uid="{00000000-0005-0000-0000-00008A580000}"/>
    <cellStyle name="Normal 39 4" xfId="9493" xr:uid="{00000000-0005-0000-0000-00008B580000}"/>
    <cellStyle name="Normal 39 4 2" xfId="20781" xr:uid="{00000000-0005-0000-0000-00008C580000}"/>
    <cellStyle name="Normal 39 5" xfId="7499" xr:uid="{00000000-0005-0000-0000-00008D580000}"/>
    <cellStyle name="Normal 39 5 2" xfId="18787" xr:uid="{00000000-0005-0000-0000-00008E580000}"/>
    <cellStyle name="Normal 39 6" xfId="5505" xr:uid="{00000000-0005-0000-0000-00008F580000}"/>
    <cellStyle name="Normal 39 6 2" xfId="16793" xr:uid="{00000000-0005-0000-0000-000090580000}"/>
    <cellStyle name="Normal 39 7" xfId="14799" xr:uid="{00000000-0005-0000-0000-000091580000}"/>
    <cellStyle name="Normal 39 8" xfId="13483" xr:uid="{00000000-0005-0000-0000-000092580000}"/>
    <cellStyle name="Normal 39 9" xfId="24494" xr:uid="{00000000-0005-0000-0000-000093580000}"/>
    <cellStyle name="Normal 39 9 2" xfId="27183" xr:uid="{00000000-0005-0000-0000-000094580000}"/>
    <cellStyle name="Normal 4" xfId="55" xr:uid="{00000000-0005-0000-0000-000095580000}"/>
    <cellStyle name="Normal 4 10" xfId="24146" xr:uid="{00000000-0005-0000-0000-000096580000}"/>
    <cellStyle name="Normal 4 10 2" xfId="29092" xr:uid="{00000000-0005-0000-0000-000097580000}"/>
    <cellStyle name="Normal 4 10 3" xfId="28796" xr:uid="{00000000-0005-0000-0000-000098580000}"/>
    <cellStyle name="Normal 4 11" xfId="24717" xr:uid="{00000000-0005-0000-0000-000099580000}"/>
    <cellStyle name="Normal 4 11 2" xfId="29093" xr:uid="{00000000-0005-0000-0000-00009A580000}"/>
    <cellStyle name="Normal 4 11 3" xfId="28797" xr:uid="{00000000-0005-0000-0000-00009B580000}"/>
    <cellStyle name="Normal 4 12" xfId="25033" xr:uid="{00000000-0005-0000-0000-00009C580000}"/>
    <cellStyle name="Normal 4 12 2" xfId="29094" xr:uid="{00000000-0005-0000-0000-00009D580000}"/>
    <cellStyle name="Normal 4 12 3" xfId="28798" xr:uid="{00000000-0005-0000-0000-00009E580000}"/>
    <cellStyle name="Normal 4 13" xfId="25772" xr:uid="{00000000-0005-0000-0000-00009F580000}"/>
    <cellStyle name="Normal 4 13 2" xfId="29095" xr:uid="{00000000-0005-0000-0000-0000A0580000}"/>
    <cellStyle name="Normal 4 14" xfId="29164" xr:uid="{00000000-0005-0000-0000-0000A1580000}"/>
    <cellStyle name="Normal 4 2" xfId="164" xr:uid="{00000000-0005-0000-0000-0000A2580000}"/>
    <cellStyle name="Normal 4 2 10" xfId="25786" xr:uid="{00000000-0005-0000-0000-0000A3580000}"/>
    <cellStyle name="Normal 4 2 2" xfId="420" xr:uid="{00000000-0005-0000-0000-0000A4580000}"/>
    <cellStyle name="Normal 4 2 2 2" xfId="12485" xr:uid="{00000000-0005-0000-0000-0000A5580000}"/>
    <cellStyle name="Normal 4 2 2 2 2" xfId="23773" xr:uid="{00000000-0005-0000-0000-0000A6580000}"/>
    <cellStyle name="Normal 4 2 2 2 3" xfId="24422" xr:uid="{00000000-0005-0000-0000-0000A7580000}"/>
    <cellStyle name="Normal 4 2 2 2 4" xfId="24866" xr:uid="{00000000-0005-0000-0000-0000A8580000}"/>
    <cellStyle name="Normal 4 2 2 2 5" xfId="25229" xr:uid="{00000000-0005-0000-0000-0000A9580000}"/>
    <cellStyle name="Normal 4 2 2 3" xfId="24148" xr:uid="{00000000-0005-0000-0000-0000AA580000}"/>
    <cellStyle name="Normal 4 2 2 4" xfId="24719" xr:uid="{00000000-0005-0000-0000-0000AB580000}"/>
    <cellStyle name="Normal 4 2 2 5" xfId="25035" xr:uid="{00000000-0005-0000-0000-0000AC580000}"/>
    <cellStyle name="Normal 4 2 2 6" xfId="26013" xr:uid="{00000000-0005-0000-0000-0000AD580000}"/>
    <cellStyle name="Normal 4 2 2 6 2" xfId="29096" xr:uid="{00000000-0005-0000-0000-0000AE580000}"/>
    <cellStyle name="Normal 4 2 3" xfId="387" xr:uid="{00000000-0005-0000-0000-0000AF580000}"/>
    <cellStyle name="Normal 4 2 3 2" xfId="503" xr:uid="{00000000-0005-0000-0000-0000B0580000}"/>
    <cellStyle name="Normal 4 2 3 2 2" xfId="13866" xr:uid="{00000000-0005-0000-0000-0000B1580000}"/>
    <cellStyle name="Normal 4 2 3 3" xfId="10491" xr:uid="{00000000-0005-0000-0000-0000B2580000}"/>
    <cellStyle name="Normal 4 2 3 3 2" xfId="21779" xr:uid="{00000000-0005-0000-0000-0000B3580000}"/>
    <cellStyle name="Normal 4 2 3 4" xfId="13783" xr:uid="{00000000-0005-0000-0000-0000B4580000}"/>
    <cellStyle name="Normal 4 2 3 5" xfId="24421" xr:uid="{00000000-0005-0000-0000-0000B5580000}"/>
    <cellStyle name="Normal 4 2 3 6" xfId="24865" xr:uid="{00000000-0005-0000-0000-0000B6580000}"/>
    <cellStyle name="Normal 4 2 3 7" xfId="25228" xr:uid="{00000000-0005-0000-0000-0000B7580000}"/>
    <cellStyle name="Normal 4 2 4" xfId="8497" xr:uid="{00000000-0005-0000-0000-0000B8580000}"/>
    <cellStyle name="Normal 4 2 4 2" xfId="19785" xr:uid="{00000000-0005-0000-0000-0000B9580000}"/>
    <cellStyle name="Normal 4 2 5" xfId="6503" xr:uid="{00000000-0005-0000-0000-0000BA580000}"/>
    <cellStyle name="Normal 4 2 5 2" xfId="17791" xr:uid="{00000000-0005-0000-0000-0000BB580000}"/>
    <cellStyle name="Normal 4 2 6" xfId="4506" xr:uid="{00000000-0005-0000-0000-0000BC580000}"/>
    <cellStyle name="Normal 4 2 6 2" xfId="15797" xr:uid="{00000000-0005-0000-0000-0000BD580000}"/>
    <cellStyle name="Normal 4 2 7" xfId="24147" xr:uid="{00000000-0005-0000-0000-0000BE580000}"/>
    <cellStyle name="Normal 4 2 8" xfId="24718" xr:uid="{00000000-0005-0000-0000-0000BF580000}"/>
    <cellStyle name="Normal 4 2 9" xfId="25034" xr:uid="{00000000-0005-0000-0000-0000C0580000}"/>
    <cellStyle name="Normal 4 3" xfId="170" xr:uid="{00000000-0005-0000-0000-0000C1580000}"/>
    <cellStyle name="Normal 4 3 10" xfId="28799" xr:uid="{00000000-0005-0000-0000-0000C2580000}"/>
    <cellStyle name="Normal 4 3 2" xfId="361" xr:uid="{00000000-0005-0000-0000-0000C3580000}"/>
    <cellStyle name="Normal 4 3 2 2" xfId="443" xr:uid="{00000000-0005-0000-0000-0000C4580000}"/>
    <cellStyle name="Normal 4 3 2 2 2" xfId="529" xr:uid="{00000000-0005-0000-0000-0000C5580000}"/>
    <cellStyle name="Normal 4 3 2 2 2 2" xfId="13892" xr:uid="{00000000-0005-0000-0000-0000C6580000}"/>
    <cellStyle name="Normal 4 3 2 2 3" xfId="13815" xr:uid="{00000000-0005-0000-0000-0000C7580000}"/>
    <cellStyle name="Normal 4 3 2 2 4" xfId="24424" xr:uid="{00000000-0005-0000-0000-0000C8580000}"/>
    <cellStyle name="Normal 4 3 2 2 5" xfId="24868" xr:uid="{00000000-0005-0000-0000-0000C9580000}"/>
    <cellStyle name="Normal 4 3 2 2 6" xfId="25231" xr:uid="{00000000-0005-0000-0000-0000CA580000}"/>
    <cellStyle name="Normal 4 3 2 3" xfId="492" xr:uid="{00000000-0005-0000-0000-0000CB580000}"/>
    <cellStyle name="Normal 4 3 2 3 2" xfId="13855" xr:uid="{00000000-0005-0000-0000-0000CC580000}"/>
    <cellStyle name="Normal 4 3 2 4" xfId="13771" xr:uid="{00000000-0005-0000-0000-0000CD580000}"/>
    <cellStyle name="Normal 4 3 2 5" xfId="24150" xr:uid="{00000000-0005-0000-0000-0000CE580000}"/>
    <cellStyle name="Normal 4 3 2 6" xfId="24721" xr:uid="{00000000-0005-0000-0000-0000CF580000}"/>
    <cellStyle name="Normal 4 3 2 7" xfId="25037" xr:uid="{00000000-0005-0000-0000-0000D0580000}"/>
    <cellStyle name="Normal 4 3 2 8" xfId="29097" xr:uid="{00000000-0005-0000-0000-0000D1580000}"/>
    <cellStyle name="Normal 4 3 3" xfId="423" xr:uid="{00000000-0005-0000-0000-0000D2580000}"/>
    <cellStyle name="Normal 4 3 3 2" xfId="514" xr:uid="{00000000-0005-0000-0000-0000D3580000}"/>
    <cellStyle name="Normal 4 3 3 2 2" xfId="13877" xr:uid="{00000000-0005-0000-0000-0000D4580000}"/>
    <cellStyle name="Normal 4 3 3 3" xfId="13800" xr:uid="{00000000-0005-0000-0000-0000D5580000}"/>
    <cellStyle name="Normal 4 3 3 4" xfId="24423" xr:uid="{00000000-0005-0000-0000-0000D6580000}"/>
    <cellStyle name="Normal 4 3 3 5" xfId="24867" xr:uid="{00000000-0005-0000-0000-0000D7580000}"/>
    <cellStyle name="Normal 4 3 3 6" xfId="25230" xr:uid="{00000000-0005-0000-0000-0000D8580000}"/>
    <cellStyle name="Normal 4 3 4" xfId="477" xr:uid="{00000000-0005-0000-0000-0000D9580000}"/>
    <cellStyle name="Normal 4 3 4 2" xfId="13840" xr:uid="{00000000-0005-0000-0000-0000DA580000}"/>
    <cellStyle name="Normal 4 3 5" xfId="11488" xr:uid="{00000000-0005-0000-0000-0000DB580000}"/>
    <cellStyle name="Normal 4 3 5 2" xfId="22776" xr:uid="{00000000-0005-0000-0000-0000DC580000}"/>
    <cellStyle name="Normal 4 3 6" xfId="13685" xr:uid="{00000000-0005-0000-0000-0000DD580000}"/>
    <cellStyle name="Normal 4 3 7" xfId="24149" xr:uid="{00000000-0005-0000-0000-0000DE580000}"/>
    <cellStyle name="Normal 4 3 8" xfId="24720" xr:uid="{00000000-0005-0000-0000-0000DF580000}"/>
    <cellStyle name="Normal 4 3 9" xfId="25036" xr:uid="{00000000-0005-0000-0000-0000E0580000}"/>
    <cellStyle name="Normal 4 4" xfId="356" xr:uid="{00000000-0005-0000-0000-0000E1580000}"/>
    <cellStyle name="Normal 4 4 2" xfId="439" xr:uid="{00000000-0005-0000-0000-0000E2580000}"/>
    <cellStyle name="Normal 4 4 2 2" xfId="525" xr:uid="{00000000-0005-0000-0000-0000E3580000}"/>
    <cellStyle name="Normal 4 4 2 2 2" xfId="13888" xr:uid="{00000000-0005-0000-0000-0000E4580000}"/>
    <cellStyle name="Normal 4 4 2 3" xfId="13811" xr:uid="{00000000-0005-0000-0000-0000E5580000}"/>
    <cellStyle name="Normal 4 4 2 4" xfId="29098" xr:uid="{00000000-0005-0000-0000-0000E6580000}"/>
    <cellStyle name="Normal 4 4 3" xfId="488" xr:uid="{00000000-0005-0000-0000-0000E7580000}"/>
    <cellStyle name="Normal 4 4 3 2" xfId="13851" xr:uid="{00000000-0005-0000-0000-0000E8580000}"/>
    <cellStyle name="Normal 4 4 4" xfId="9494" xr:uid="{00000000-0005-0000-0000-0000E9580000}"/>
    <cellStyle name="Normal 4 4 4 2" xfId="20782" xr:uid="{00000000-0005-0000-0000-0000EA580000}"/>
    <cellStyle name="Normal 4 4 5" xfId="13766" xr:uid="{00000000-0005-0000-0000-0000EB580000}"/>
    <cellStyle name="Normal 4 4 6" xfId="24151" xr:uid="{00000000-0005-0000-0000-0000EC580000}"/>
    <cellStyle name="Normal 4 4 6 2" xfId="27080" xr:uid="{00000000-0005-0000-0000-0000ED580000}"/>
    <cellStyle name="Normal 4 5" xfId="473" xr:uid="{00000000-0005-0000-0000-0000EE580000}"/>
    <cellStyle name="Normal 4 5 2" xfId="7500" xr:uid="{00000000-0005-0000-0000-0000EF580000}"/>
    <cellStyle name="Normal 4 5 2 2" xfId="18788" xr:uid="{00000000-0005-0000-0000-0000F0580000}"/>
    <cellStyle name="Normal 4 5 2 3" xfId="29099" xr:uid="{00000000-0005-0000-0000-0000F1580000}"/>
    <cellStyle name="Normal 4 5 3" xfId="13836" xr:uid="{00000000-0005-0000-0000-0000F2580000}"/>
    <cellStyle name="Normal 4 5 4" xfId="24152" xr:uid="{00000000-0005-0000-0000-0000F3580000}"/>
    <cellStyle name="Normal 4 5 4 2" xfId="27081" xr:uid="{00000000-0005-0000-0000-0000F4580000}"/>
    <cellStyle name="Normal 4 6" xfId="659" xr:uid="{00000000-0005-0000-0000-0000F5580000}"/>
    <cellStyle name="Normal 4 6 2" xfId="5506" xr:uid="{00000000-0005-0000-0000-0000F6580000}"/>
    <cellStyle name="Normal 4 6 2 2" xfId="16794" xr:uid="{00000000-0005-0000-0000-0000F7580000}"/>
    <cellStyle name="Normal 4 6 2 3" xfId="24425" xr:uid="{00000000-0005-0000-0000-0000F8580000}"/>
    <cellStyle name="Normal 4 6 2 4" xfId="24869" xr:uid="{00000000-0005-0000-0000-0000F9580000}"/>
    <cellStyle name="Normal 4 6 2 5" xfId="25232" xr:uid="{00000000-0005-0000-0000-0000FA580000}"/>
    <cellStyle name="Normal 4 6 2 6" xfId="29100" xr:uid="{00000000-0005-0000-0000-0000FB580000}"/>
    <cellStyle name="Normal 4 6 3" xfId="13912" xr:uid="{00000000-0005-0000-0000-0000FC580000}"/>
    <cellStyle name="Normal 4 6 4" xfId="24153" xr:uid="{00000000-0005-0000-0000-0000FD580000}"/>
    <cellStyle name="Normal 4 6 5" xfId="24722" xr:uid="{00000000-0005-0000-0000-0000FE580000}"/>
    <cellStyle name="Normal 4 6 6" xfId="25038" xr:uid="{00000000-0005-0000-0000-0000FF580000}"/>
    <cellStyle name="Normal 4 6 7" xfId="28800" xr:uid="{00000000-0005-0000-0000-000000590000}"/>
    <cellStyle name="Normal 4 7" xfId="3271" xr:uid="{00000000-0005-0000-0000-000001590000}"/>
    <cellStyle name="Normal 4 7 2" xfId="14800" xr:uid="{00000000-0005-0000-0000-000002590000}"/>
    <cellStyle name="Normal 4 7 2 2" xfId="29101" xr:uid="{00000000-0005-0000-0000-000003590000}"/>
    <cellStyle name="Normal 4 7 3" xfId="24420" xr:uid="{00000000-0005-0000-0000-000004590000}"/>
    <cellStyle name="Normal 4 7 4" xfId="24864" xr:uid="{00000000-0005-0000-0000-000005590000}"/>
    <cellStyle name="Normal 4 7 5" xfId="25227" xr:uid="{00000000-0005-0000-0000-000006590000}"/>
    <cellStyle name="Normal 4 7 6" xfId="28801" xr:uid="{00000000-0005-0000-0000-000007590000}"/>
    <cellStyle name="Normal 4 8" xfId="13613" xr:uid="{00000000-0005-0000-0000-000008590000}"/>
    <cellStyle name="Normal 4 8 2" xfId="29102" xr:uid="{00000000-0005-0000-0000-000009590000}"/>
    <cellStyle name="Normal 4 8 3" xfId="28802" xr:uid="{00000000-0005-0000-0000-00000A590000}"/>
    <cellStyle name="Normal 4 9" xfId="13484" xr:uid="{00000000-0005-0000-0000-00000B590000}"/>
    <cellStyle name="Normal 4 9 2" xfId="29103" xr:uid="{00000000-0005-0000-0000-00000C590000}"/>
    <cellStyle name="Normal 4 9 3" xfId="28803" xr:uid="{00000000-0005-0000-0000-00000D590000}"/>
    <cellStyle name="Normal 40" xfId="3272" xr:uid="{00000000-0005-0000-0000-00000E590000}"/>
    <cellStyle name="Normal 40 10" xfId="24479" xr:uid="{00000000-0005-0000-0000-00000F590000}"/>
    <cellStyle name="Normal 40 10 2" xfId="27174" xr:uid="{00000000-0005-0000-0000-000010590000}"/>
    <cellStyle name="Normal 40 2" xfId="3273" xr:uid="{00000000-0005-0000-0000-000011590000}"/>
    <cellStyle name="Normal 40 2 2" xfId="4508" xr:uid="{00000000-0005-0000-0000-000012590000}"/>
    <cellStyle name="Normal 40 2 2 2" xfId="12487" xr:uid="{00000000-0005-0000-0000-000013590000}"/>
    <cellStyle name="Normal 40 2 2 2 2" xfId="23775" xr:uid="{00000000-0005-0000-0000-000014590000}"/>
    <cellStyle name="Normal 40 2 2 3" xfId="10493" xr:uid="{00000000-0005-0000-0000-000015590000}"/>
    <cellStyle name="Normal 40 2 2 3 2" xfId="21781" xr:uid="{00000000-0005-0000-0000-000016590000}"/>
    <cellStyle name="Normal 40 2 2 4" xfId="8499" xr:uid="{00000000-0005-0000-0000-000017590000}"/>
    <cellStyle name="Normal 40 2 2 4 2" xfId="19787" xr:uid="{00000000-0005-0000-0000-000018590000}"/>
    <cellStyle name="Normal 40 2 2 5" xfId="6505" xr:uid="{00000000-0005-0000-0000-000019590000}"/>
    <cellStyle name="Normal 40 2 2 5 2" xfId="17793" xr:uid="{00000000-0005-0000-0000-00001A590000}"/>
    <cellStyle name="Normal 40 2 2 6" xfId="15799" xr:uid="{00000000-0005-0000-0000-00001B590000}"/>
    <cellStyle name="Normal 40 2 3" xfId="11490" xr:uid="{00000000-0005-0000-0000-00001C590000}"/>
    <cellStyle name="Normal 40 2 3 2" xfId="22778" xr:uid="{00000000-0005-0000-0000-00001D590000}"/>
    <cellStyle name="Normal 40 2 4" xfId="9496" xr:uid="{00000000-0005-0000-0000-00001E590000}"/>
    <cellStyle name="Normal 40 2 4 2" xfId="20784" xr:uid="{00000000-0005-0000-0000-00001F590000}"/>
    <cellStyle name="Normal 40 2 5" xfId="7502" xr:uid="{00000000-0005-0000-0000-000020590000}"/>
    <cellStyle name="Normal 40 2 5 2" xfId="18790" xr:uid="{00000000-0005-0000-0000-000021590000}"/>
    <cellStyle name="Normal 40 2 6" xfId="5508" xr:uid="{00000000-0005-0000-0000-000022590000}"/>
    <cellStyle name="Normal 40 2 6 2" xfId="16796" xr:uid="{00000000-0005-0000-0000-000023590000}"/>
    <cellStyle name="Normal 40 2 7" xfId="14802" xr:uid="{00000000-0005-0000-0000-000024590000}"/>
    <cellStyle name="Normal 40 2 8" xfId="13486" xr:uid="{00000000-0005-0000-0000-000025590000}"/>
    <cellStyle name="Normal 40 3" xfId="4507" xr:uid="{00000000-0005-0000-0000-000026590000}"/>
    <cellStyle name="Normal 40 3 2" xfId="12486" xr:uid="{00000000-0005-0000-0000-000027590000}"/>
    <cellStyle name="Normal 40 3 2 2" xfId="23774" xr:uid="{00000000-0005-0000-0000-000028590000}"/>
    <cellStyle name="Normal 40 3 3" xfId="10492" xr:uid="{00000000-0005-0000-0000-000029590000}"/>
    <cellStyle name="Normal 40 3 3 2" xfId="21780" xr:uid="{00000000-0005-0000-0000-00002A590000}"/>
    <cellStyle name="Normal 40 3 4" xfId="8498" xr:uid="{00000000-0005-0000-0000-00002B590000}"/>
    <cellStyle name="Normal 40 3 4 2" xfId="19786" xr:uid="{00000000-0005-0000-0000-00002C590000}"/>
    <cellStyle name="Normal 40 3 5" xfId="6504" xr:uid="{00000000-0005-0000-0000-00002D590000}"/>
    <cellStyle name="Normal 40 3 5 2" xfId="17792" xr:uid="{00000000-0005-0000-0000-00002E590000}"/>
    <cellStyle name="Normal 40 3 6" xfId="15798" xr:uid="{00000000-0005-0000-0000-00002F590000}"/>
    <cellStyle name="Normal 40 4" xfId="11489" xr:uid="{00000000-0005-0000-0000-000030590000}"/>
    <cellStyle name="Normal 40 4 2" xfId="22777" xr:uid="{00000000-0005-0000-0000-000031590000}"/>
    <cellStyle name="Normal 40 5" xfId="9495" xr:uid="{00000000-0005-0000-0000-000032590000}"/>
    <cellStyle name="Normal 40 5 2" xfId="20783" xr:uid="{00000000-0005-0000-0000-000033590000}"/>
    <cellStyle name="Normal 40 6" xfId="7501" xr:uid="{00000000-0005-0000-0000-000034590000}"/>
    <cellStyle name="Normal 40 6 2" xfId="18789" xr:uid="{00000000-0005-0000-0000-000035590000}"/>
    <cellStyle name="Normal 40 7" xfId="5507" xr:uid="{00000000-0005-0000-0000-000036590000}"/>
    <cellStyle name="Normal 40 7 2" xfId="16795" xr:uid="{00000000-0005-0000-0000-000037590000}"/>
    <cellStyle name="Normal 40 8" xfId="14801" xr:uid="{00000000-0005-0000-0000-000038590000}"/>
    <cellStyle name="Normal 40 9" xfId="13485" xr:uid="{00000000-0005-0000-0000-000039590000}"/>
    <cellStyle name="Normal 41" xfId="3274" xr:uid="{00000000-0005-0000-0000-00003A590000}"/>
    <cellStyle name="Normal 41 2" xfId="4509" xr:uid="{00000000-0005-0000-0000-00003B590000}"/>
    <cellStyle name="Normal 41 2 2" xfId="12488" xr:uid="{00000000-0005-0000-0000-00003C590000}"/>
    <cellStyle name="Normal 41 2 2 2" xfId="23776" xr:uid="{00000000-0005-0000-0000-00003D590000}"/>
    <cellStyle name="Normal 41 2 3" xfId="10494" xr:uid="{00000000-0005-0000-0000-00003E590000}"/>
    <cellStyle name="Normal 41 2 3 2" xfId="21782" xr:uid="{00000000-0005-0000-0000-00003F590000}"/>
    <cellStyle name="Normal 41 2 4" xfId="8500" xr:uid="{00000000-0005-0000-0000-000040590000}"/>
    <cellStyle name="Normal 41 2 4 2" xfId="19788" xr:uid="{00000000-0005-0000-0000-000041590000}"/>
    <cellStyle name="Normal 41 2 5" xfId="6506" xr:uid="{00000000-0005-0000-0000-000042590000}"/>
    <cellStyle name="Normal 41 2 5 2" xfId="17794" xr:uid="{00000000-0005-0000-0000-000043590000}"/>
    <cellStyle name="Normal 41 2 6" xfId="15800" xr:uid="{00000000-0005-0000-0000-000044590000}"/>
    <cellStyle name="Normal 41 3" xfId="11491" xr:uid="{00000000-0005-0000-0000-000045590000}"/>
    <cellStyle name="Normal 41 3 2" xfId="22779" xr:uid="{00000000-0005-0000-0000-000046590000}"/>
    <cellStyle name="Normal 41 4" xfId="9497" xr:uid="{00000000-0005-0000-0000-000047590000}"/>
    <cellStyle name="Normal 41 4 2" xfId="20785" xr:uid="{00000000-0005-0000-0000-000048590000}"/>
    <cellStyle name="Normal 41 5" xfId="7503" xr:uid="{00000000-0005-0000-0000-000049590000}"/>
    <cellStyle name="Normal 41 5 2" xfId="18791" xr:uid="{00000000-0005-0000-0000-00004A590000}"/>
    <cellStyle name="Normal 41 6" xfId="5509" xr:uid="{00000000-0005-0000-0000-00004B590000}"/>
    <cellStyle name="Normal 41 6 2" xfId="16797" xr:uid="{00000000-0005-0000-0000-00004C590000}"/>
    <cellStyle name="Normal 41 7" xfId="14803" xr:uid="{00000000-0005-0000-0000-00004D590000}"/>
    <cellStyle name="Normal 41 8" xfId="13487" xr:uid="{00000000-0005-0000-0000-00004E590000}"/>
    <cellStyle name="Normal 41 9" xfId="24490" xr:uid="{00000000-0005-0000-0000-00004F590000}"/>
    <cellStyle name="Normal 41 9 2" xfId="27180" xr:uid="{00000000-0005-0000-0000-000050590000}"/>
    <cellStyle name="Normal 42" xfId="3275" xr:uid="{00000000-0005-0000-0000-000051590000}"/>
    <cellStyle name="Normal 42 2" xfId="4510" xr:uid="{00000000-0005-0000-0000-000052590000}"/>
    <cellStyle name="Normal 42 2 2" xfId="12489" xr:uid="{00000000-0005-0000-0000-000053590000}"/>
    <cellStyle name="Normal 42 2 2 2" xfId="23777" xr:uid="{00000000-0005-0000-0000-000054590000}"/>
    <cellStyle name="Normal 42 2 3" xfId="10495" xr:uid="{00000000-0005-0000-0000-000055590000}"/>
    <cellStyle name="Normal 42 2 3 2" xfId="21783" xr:uid="{00000000-0005-0000-0000-000056590000}"/>
    <cellStyle name="Normal 42 2 4" xfId="8501" xr:uid="{00000000-0005-0000-0000-000057590000}"/>
    <cellStyle name="Normal 42 2 4 2" xfId="19789" xr:uid="{00000000-0005-0000-0000-000058590000}"/>
    <cellStyle name="Normal 42 2 5" xfId="6507" xr:uid="{00000000-0005-0000-0000-000059590000}"/>
    <cellStyle name="Normal 42 2 5 2" xfId="17795" xr:uid="{00000000-0005-0000-0000-00005A590000}"/>
    <cellStyle name="Normal 42 2 6" xfId="15801" xr:uid="{00000000-0005-0000-0000-00005B590000}"/>
    <cellStyle name="Normal 42 3" xfId="11492" xr:uid="{00000000-0005-0000-0000-00005C590000}"/>
    <cellStyle name="Normal 42 3 2" xfId="22780" xr:uid="{00000000-0005-0000-0000-00005D590000}"/>
    <cellStyle name="Normal 42 4" xfId="9498" xr:uid="{00000000-0005-0000-0000-00005E590000}"/>
    <cellStyle name="Normal 42 4 2" xfId="20786" xr:uid="{00000000-0005-0000-0000-00005F590000}"/>
    <cellStyle name="Normal 42 5" xfId="7504" xr:uid="{00000000-0005-0000-0000-000060590000}"/>
    <cellStyle name="Normal 42 5 2" xfId="18792" xr:uid="{00000000-0005-0000-0000-000061590000}"/>
    <cellStyle name="Normal 42 6" xfId="5510" xr:uid="{00000000-0005-0000-0000-000062590000}"/>
    <cellStyle name="Normal 42 6 2" xfId="16798" xr:uid="{00000000-0005-0000-0000-000063590000}"/>
    <cellStyle name="Normal 42 7" xfId="14804" xr:uid="{00000000-0005-0000-0000-000064590000}"/>
    <cellStyle name="Normal 42 8" xfId="13488" xr:uid="{00000000-0005-0000-0000-000065590000}"/>
    <cellStyle name="Normal 42 9" xfId="24506" xr:uid="{00000000-0005-0000-0000-000066590000}"/>
    <cellStyle name="Normal 42 9 2" xfId="27192" xr:uid="{00000000-0005-0000-0000-000067590000}"/>
    <cellStyle name="Normal 43" xfId="3276" xr:uid="{00000000-0005-0000-0000-000068590000}"/>
    <cellStyle name="Normal 43 2" xfId="4511" xr:uid="{00000000-0005-0000-0000-000069590000}"/>
    <cellStyle name="Normal 43 2 2" xfId="12490" xr:uid="{00000000-0005-0000-0000-00006A590000}"/>
    <cellStyle name="Normal 43 2 2 2" xfId="23778" xr:uid="{00000000-0005-0000-0000-00006B590000}"/>
    <cellStyle name="Normal 43 2 3" xfId="10496" xr:uid="{00000000-0005-0000-0000-00006C590000}"/>
    <cellStyle name="Normal 43 2 3 2" xfId="21784" xr:uid="{00000000-0005-0000-0000-00006D590000}"/>
    <cellStyle name="Normal 43 2 4" xfId="8502" xr:uid="{00000000-0005-0000-0000-00006E590000}"/>
    <cellStyle name="Normal 43 2 4 2" xfId="19790" xr:uid="{00000000-0005-0000-0000-00006F590000}"/>
    <cellStyle name="Normal 43 2 5" xfId="6508" xr:uid="{00000000-0005-0000-0000-000070590000}"/>
    <cellStyle name="Normal 43 2 5 2" xfId="17796" xr:uid="{00000000-0005-0000-0000-000071590000}"/>
    <cellStyle name="Normal 43 2 6" xfId="15802" xr:uid="{00000000-0005-0000-0000-000072590000}"/>
    <cellStyle name="Normal 43 3" xfId="11493" xr:uid="{00000000-0005-0000-0000-000073590000}"/>
    <cellStyle name="Normal 43 3 2" xfId="22781" xr:uid="{00000000-0005-0000-0000-000074590000}"/>
    <cellStyle name="Normal 43 4" xfId="9499" xr:uid="{00000000-0005-0000-0000-000075590000}"/>
    <cellStyle name="Normal 43 4 2" xfId="20787" xr:uid="{00000000-0005-0000-0000-000076590000}"/>
    <cellStyle name="Normal 43 5" xfId="7505" xr:uid="{00000000-0005-0000-0000-000077590000}"/>
    <cellStyle name="Normal 43 5 2" xfId="18793" xr:uid="{00000000-0005-0000-0000-000078590000}"/>
    <cellStyle name="Normal 43 6" xfId="5511" xr:uid="{00000000-0005-0000-0000-000079590000}"/>
    <cellStyle name="Normal 43 6 2" xfId="16799" xr:uid="{00000000-0005-0000-0000-00007A590000}"/>
    <cellStyle name="Normal 43 7" xfId="14805" xr:uid="{00000000-0005-0000-0000-00007B590000}"/>
    <cellStyle name="Normal 43 8" xfId="13489" xr:uid="{00000000-0005-0000-0000-00007C590000}"/>
    <cellStyle name="Normal 43 9" xfId="24511" xr:uid="{00000000-0005-0000-0000-00007D590000}"/>
    <cellStyle name="Normal 43 9 2" xfId="27197" xr:uid="{00000000-0005-0000-0000-00007E590000}"/>
    <cellStyle name="Normal 44" xfId="3277" xr:uid="{00000000-0005-0000-0000-00007F590000}"/>
    <cellStyle name="Normal 44 2" xfId="4512" xr:uid="{00000000-0005-0000-0000-000080590000}"/>
    <cellStyle name="Normal 44 2 2" xfId="12491" xr:uid="{00000000-0005-0000-0000-000081590000}"/>
    <cellStyle name="Normal 44 2 2 2" xfId="23779" xr:uid="{00000000-0005-0000-0000-000082590000}"/>
    <cellStyle name="Normal 44 2 3" xfId="10497" xr:uid="{00000000-0005-0000-0000-000083590000}"/>
    <cellStyle name="Normal 44 2 3 2" xfId="21785" xr:uid="{00000000-0005-0000-0000-000084590000}"/>
    <cellStyle name="Normal 44 2 4" xfId="8503" xr:uid="{00000000-0005-0000-0000-000085590000}"/>
    <cellStyle name="Normal 44 2 4 2" xfId="19791" xr:uid="{00000000-0005-0000-0000-000086590000}"/>
    <cellStyle name="Normal 44 2 5" xfId="6509" xr:uid="{00000000-0005-0000-0000-000087590000}"/>
    <cellStyle name="Normal 44 2 5 2" xfId="17797" xr:uid="{00000000-0005-0000-0000-000088590000}"/>
    <cellStyle name="Normal 44 2 6" xfId="15803" xr:uid="{00000000-0005-0000-0000-000089590000}"/>
    <cellStyle name="Normal 44 3" xfId="11494" xr:uid="{00000000-0005-0000-0000-00008A590000}"/>
    <cellStyle name="Normal 44 3 2" xfId="22782" xr:uid="{00000000-0005-0000-0000-00008B590000}"/>
    <cellStyle name="Normal 44 4" xfId="9500" xr:uid="{00000000-0005-0000-0000-00008C590000}"/>
    <cellStyle name="Normal 44 4 2" xfId="20788" xr:uid="{00000000-0005-0000-0000-00008D590000}"/>
    <cellStyle name="Normal 44 5" xfId="7506" xr:uid="{00000000-0005-0000-0000-00008E590000}"/>
    <cellStyle name="Normal 44 5 2" xfId="18794" xr:uid="{00000000-0005-0000-0000-00008F590000}"/>
    <cellStyle name="Normal 44 6" xfId="5512" xr:uid="{00000000-0005-0000-0000-000090590000}"/>
    <cellStyle name="Normal 44 6 2" xfId="16800" xr:uid="{00000000-0005-0000-0000-000091590000}"/>
    <cellStyle name="Normal 44 7" xfId="14806" xr:uid="{00000000-0005-0000-0000-000092590000}"/>
    <cellStyle name="Normal 44 8" xfId="13490" xr:uid="{00000000-0005-0000-0000-000093590000}"/>
    <cellStyle name="Normal 45" xfId="3278" xr:uid="{00000000-0005-0000-0000-000094590000}"/>
    <cellStyle name="Normal 45 2" xfId="4513" xr:uid="{00000000-0005-0000-0000-000095590000}"/>
    <cellStyle name="Normal 45 2 2" xfId="12492" xr:uid="{00000000-0005-0000-0000-000096590000}"/>
    <cellStyle name="Normal 45 2 2 2" xfId="23780" xr:uid="{00000000-0005-0000-0000-000097590000}"/>
    <cellStyle name="Normal 45 2 3" xfId="10498" xr:uid="{00000000-0005-0000-0000-000098590000}"/>
    <cellStyle name="Normal 45 2 3 2" xfId="21786" xr:uid="{00000000-0005-0000-0000-000099590000}"/>
    <cellStyle name="Normal 45 2 4" xfId="8504" xr:uid="{00000000-0005-0000-0000-00009A590000}"/>
    <cellStyle name="Normal 45 2 4 2" xfId="19792" xr:uid="{00000000-0005-0000-0000-00009B590000}"/>
    <cellStyle name="Normal 45 2 5" xfId="6510" xr:uid="{00000000-0005-0000-0000-00009C590000}"/>
    <cellStyle name="Normal 45 2 5 2" xfId="17798" xr:uid="{00000000-0005-0000-0000-00009D590000}"/>
    <cellStyle name="Normal 45 2 6" xfId="15804" xr:uid="{00000000-0005-0000-0000-00009E590000}"/>
    <cellStyle name="Normal 45 3" xfId="11495" xr:uid="{00000000-0005-0000-0000-00009F590000}"/>
    <cellStyle name="Normal 45 3 2" xfId="22783" xr:uid="{00000000-0005-0000-0000-0000A0590000}"/>
    <cellStyle name="Normal 45 4" xfId="9501" xr:uid="{00000000-0005-0000-0000-0000A1590000}"/>
    <cellStyle name="Normal 45 4 2" xfId="20789" xr:uid="{00000000-0005-0000-0000-0000A2590000}"/>
    <cellStyle name="Normal 45 5" xfId="7507" xr:uid="{00000000-0005-0000-0000-0000A3590000}"/>
    <cellStyle name="Normal 45 5 2" xfId="18795" xr:uid="{00000000-0005-0000-0000-0000A4590000}"/>
    <cellStyle name="Normal 45 6" xfId="5513" xr:uid="{00000000-0005-0000-0000-0000A5590000}"/>
    <cellStyle name="Normal 45 6 2" xfId="16801" xr:uid="{00000000-0005-0000-0000-0000A6590000}"/>
    <cellStyle name="Normal 45 7" xfId="14807" xr:uid="{00000000-0005-0000-0000-0000A7590000}"/>
    <cellStyle name="Normal 45 8" xfId="13491" xr:uid="{00000000-0005-0000-0000-0000A8590000}"/>
    <cellStyle name="Normal 46" xfId="3279" xr:uid="{00000000-0005-0000-0000-0000A9590000}"/>
    <cellStyle name="Normal 46 2" xfId="4514" xr:uid="{00000000-0005-0000-0000-0000AA590000}"/>
    <cellStyle name="Normal 46 2 2" xfId="12493" xr:uid="{00000000-0005-0000-0000-0000AB590000}"/>
    <cellStyle name="Normal 46 2 2 2" xfId="23781" xr:uid="{00000000-0005-0000-0000-0000AC590000}"/>
    <cellStyle name="Normal 46 2 3" xfId="10499" xr:uid="{00000000-0005-0000-0000-0000AD590000}"/>
    <cellStyle name="Normal 46 2 3 2" xfId="21787" xr:uid="{00000000-0005-0000-0000-0000AE590000}"/>
    <cellStyle name="Normal 46 2 4" xfId="8505" xr:uid="{00000000-0005-0000-0000-0000AF590000}"/>
    <cellStyle name="Normal 46 2 4 2" xfId="19793" xr:uid="{00000000-0005-0000-0000-0000B0590000}"/>
    <cellStyle name="Normal 46 2 5" xfId="6511" xr:uid="{00000000-0005-0000-0000-0000B1590000}"/>
    <cellStyle name="Normal 46 2 5 2" xfId="17799" xr:uid="{00000000-0005-0000-0000-0000B2590000}"/>
    <cellStyle name="Normal 46 2 6" xfId="15805" xr:uid="{00000000-0005-0000-0000-0000B3590000}"/>
    <cellStyle name="Normal 46 3" xfId="11496" xr:uid="{00000000-0005-0000-0000-0000B4590000}"/>
    <cellStyle name="Normal 46 3 2" xfId="22784" xr:uid="{00000000-0005-0000-0000-0000B5590000}"/>
    <cellStyle name="Normal 46 4" xfId="9502" xr:uid="{00000000-0005-0000-0000-0000B6590000}"/>
    <cellStyle name="Normal 46 4 2" xfId="20790" xr:uid="{00000000-0005-0000-0000-0000B7590000}"/>
    <cellStyle name="Normal 46 5" xfId="7508" xr:uid="{00000000-0005-0000-0000-0000B8590000}"/>
    <cellStyle name="Normal 46 5 2" xfId="18796" xr:uid="{00000000-0005-0000-0000-0000B9590000}"/>
    <cellStyle name="Normal 46 6" xfId="5514" xr:uid="{00000000-0005-0000-0000-0000BA590000}"/>
    <cellStyle name="Normal 46 6 2" xfId="16802" xr:uid="{00000000-0005-0000-0000-0000BB590000}"/>
    <cellStyle name="Normal 46 7" xfId="14808" xr:uid="{00000000-0005-0000-0000-0000BC590000}"/>
    <cellStyle name="Normal 46 8" xfId="13492" xr:uid="{00000000-0005-0000-0000-0000BD590000}"/>
    <cellStyle name="Normal 47" xfId="3280" xr:uid="{00000000-0005-0000-0000-0000BE590000}"/>
    <cellStyle name="Normal 47 2" xfId="4515" xr:uid="{00000000-0005-0000-0000-0000BF590000}"/>
    <cellStyle name="Normal 47 2 2" xfId="12494" xr:uid="{00000000-0005-0000-0000-0000C0590000}"/>
    <cellStyle name="Normal 47 2 2 2" xfId="23782" xr:uid="{00000000-0005-0000-0000-0000C1590000}"/>
    <cellStyle name="Normal 47 2 3" xfId="10500" xr:uid="{00000000-0005-0000-0000-0000C2590000}"/>
    <cellStyle name="Normal 47 2 3 2" xfId="21788" xr:uid="{00000000-0005-0000-0000-0000C3590000}"/>
    <cellStyle name="Normal 47 2 4" xfId="8506" xr:uid="{00000000-0005-0000-0000-0000C4590000}"/>
    <cellStyle name="Normal 47 2 4 2" xfId="19794" xr:uid="{00000000-0005-0000-0000-0000C5590000}"/>
    <cellStyle name="Normal 47 2 5" xfId="6512" xr:uid="{00000000-0005-0000-0000-0000C6590000}"/>
    <cellStyle name="Normal 47 2 5 2" xfId="17800" xr:uid="{00000000-0005-0000-0000-0000C7590000}"/>
    <cellStyle name="Normal 47 2 6" xfId="15806" xr:uid="{00000000-0005-0000-0000-0000C8590000}"/>
    <cellStyle name="Normal 47 3" xfId="11497" xr:uid="{00000000-0005-0000-0000-0000C9590000}"/>
    <cellStyle name="Normal 47 3 2" xfId="22785" xr:uid="{00000000-0005-0000-0000-0000CA590000}"/>
    <cellStyle name="Normal 47 4" xfId="9503" xr:uid="{00000000-0005-0000-0000-0000CB590000}"/>
    <cellStyle name="Normal 47 4 2" xfId="20791" xr:uid="{00000000-0005-0000-0000-0000CC590000}"/>
    <cellStyle name="Normal 47 5" xfId="7509" xr:uid="{00000000-0005-0000-0000-0000CD590000}"/>
    <cellStyle name="Normal 47 5 2" xfId="18797" xr:uid="{00000000-0005-0000-0000-0000CE590000}"/>
    <cellStyle name="Normal 47 6" xfId="5515" xr:uid="{00000000-0005-0000-0000-0000CF590000}"/>
    <cellStyle name="Normal 47 6 2" xfId="16803" xr:uid="{00000000-0005-0000-0000-0000D0590000}"/>
    <cellStyle name="Normal 47 7" xfId="14809" xr:uid="{00000000-0005-0000-0000-0000D1590000}"/>
    <cellStyle name="Normal 47 8" xfId="13493" xr:uid="{00000000-0005-0000-0000-0000D2590000}"/>
    <cellStyle name="Normal 48" xfId="3281" xr:uid="{00000000-0005-0000-0000-0000D3590000}"/>
    <cellStyle name="Normal 48 2" xfId="4516" xr:uid="{00000000-0005-0000-0000-0000D4590000}"/>
    <cellStyle name="Normal 48 2 2" xfId="12495" xr:uid="{00000000-0005-0000-0000-0000D5590000}"/>
    <cellStyle name="Normal 48 2 2 2" xfId="23783" xr:uid="{00000000-0005-0000-0000-0000D6590000}"/>
    <cellStyle name="Normal 48 2 3" xfId="10501" xr:uid="{00000000-0005-0000-0000-0000D7590000}"/>
    <cellStyle name="Normal 48 2 3 2" xfId="21789" xr:uid="{00000000-0005-0000-0000-0000D8590000}"/>
    <cellStyle name="Normal 48 2 4" xfId="8507" xr:uid="{00000000-0005-0000-0000-0000D9590000}"/>
    <cellStyle name="Normal 48 2 4 2" xfId="19795" xr:uid="{00000000-0005-0000-0000-0000DA590000}"/>
    <cellStyle name="Normal 48 2 5" xfId="6513" xr:uid="{00000000-0005-0000-0000-0000DB590000}"/>
    <cellStyle name="Normal 48 2 5 2" xfId="17801" xr:uid="{00000000-0005-0000-0000-0000DC590000}"/>
    <cellStyle name="Normal 48 2 6" xfId="15807" xr:uid="{00000000-0005-0000-0000-0000DD590000}"/>
    <cellStyle name="Normal 48 3" xfId="11498" xr:uid="{00000000-0005-0000-0000-0000DE590000}"/>
    <cellStyle name="Normal 48 3 2" xfId="22786" xr:uid="{00000000-0005-0000-0000-0000DF590000}"/>
    <cellStyle name="Normal 48 4" xfId="9504" xr:uid="{00000000-0005-0000-0000-0000E0590000}"/>
    <cellStyle name="Normal 48 4 2" xfId="20792" xr:uid="{00000000-0005-0000-0000-0000E1590000}"/>
    <cellStyle name="Normal 48 5" xfId="7510" xr:uid="{00000000-0005-0000-0000-0000E2590000}"/>
    <cellStyle name="Normal 48 5 2" xfId="18798" xr:uid="{00000000-0005-0000-0000-0000E3590000}"/>
    <cellStyle name="Normal 48 6" xfId="5516" xr:uid="{00000000-0005-0000-0000-0000E4590000}"/>
    <cellStyle name="Normal 48 6 2" xfId="16804" xr:uid="{00000000-0005-0000-0000-0000E5590000}"/>
    <cellStyle name="Normal 48 7" xfId="14810" xr:uid="{00000000-0005-0000-0000-0000E6590000}"/>
    <cellStyle name="Normal 48 8" xfId="13494" xr:uid="{00000000-0005-0000-0000-0000E7590000}"/>
    <cellStyle name="Normal 49" xfId="3282" xr:uid="{00000000-0005-0000-0000-0000E8590000}"/>
    <cellStyle name="Normal 49 2" xfId="4517" xr:uid="{00000000-0005-0000-0000-0000E9590000}"/>
    <cellStyle name="Normal 49 2 2" xfId="12496" xr:uid="{00000000-0005-0000-0000-0000EA590000}"/>
    <cellStyle name="Normal 49 2 2 2" xfId="23784" xr:uid="{00000000-0005-0000-0000-0000EB590000}"/>
    <cellStyle name="Normal 49 2 3" xfId="10502" xr:uid="{00000000-0005-0000-0000-0000EC590000}"/>
    <cellStyle name="Normal 49 2 3 2" xfId="21790" xr:uid="{00000000-0005-0000-0000-0000ED590000}"/>
    <cellStyle name="Normal 49 2 4" xfId="8508" xr:uid="{00000000-0005-0000-0000-0000EE590000}"/>
    <cellStyle name="Normal 49 2 4 2" xfId="19796" xr:uid="{00000000-0005-0000-0000-0000EF590000}"/>
    <cellStyle name="Normal 49 2 5" xfId="6514" xr:uid="{00000000-0005-0000-0000-0000F0590000}"/>
    <cellStyle name="Normal 49 2 5 2" xfId="17802" xr:uid="{00000000-0005-0000-0000-0000F1590000}"/>
    <cellStyle name="Normal 49 2 6" xfId="15808" xr:uid="{00000000-0005-0000-0000-0000F2590000}"/>
    <cellStyle name="Normal 49 3" xfId="11499" xr:uid="{00000000-0005-0000-0000-0000F3590000}"/>
    <cellStyle name="Normal 49 3 2" xfId="22787" xr:uid="{00000000-0005-0000-0000-0000F4590000}"/>
    <cellStyle name="Normal 49 4" xfId="9505" xr:uid="{00000000-0005-0000-0000-0000F5590000}"/>
    <cellStyle name="Normal 49 4 2" xfId="20793" xr:uid="{00000000-0005-0000-0000-0000F6590000}"/>
    <cellStyle name="Normal 49 5" xfId="7511" xr:uid="{00000000-0005-0000-0000-0000F7590000}"/>
    <cellStyle name="Normal 49 5 2" xfId="18799" xr:uid="{00000000-0005-0000-0000-0000F8590000}"/>
    <cellStyle name="Normal 49 6" xfId="5517" xr:uid="{00000000-0005-0000-0000-0000F9590000}"/>
    <cellStyle name="Normal 49 6 2" xfId="16805" xr:uid="{00000000-0005-0000-0000-0000FA590000}"/>
    <cellStyle name="Normal 49 7" xfId="14811" xr:uid="{00000000-0005-0000-0000-0000FB590000}"/>
    <cellStyle name="Normal 49 8" xfId="13495" xr:uid="{00000000-0005-0000-0000-0000FC590000}"/>
    <cellStyle name="Normal 5" xfId="56" xr:uid="{00000000-0005-0000-0000-0000FD590000}"/>
    <cellStyle name="Normal 5 10" xfId="13496" xr:uid="{00000000-0005-0000-0000-0000FE590000}"/>
    <cellStyle name="Normal 5 10 2" xfId="29104" xr:uid="{00000000-0005-0000-0000-0000FF590000}"/>
    <cellStyle name="Normal 5 10 3" xfId="28804" xr:uid="{00000000-0005-0000-0000-0000005A0000}"/>
    <cellStyle name="Normal 5 11" xfId="24154" xr:uid="{00000000-0005-0000-0000-0000015A0000}"/>
    <cellStyle name="Normal 5 11 2" xfId="29105" xr:uid="{00000000-0005-0000-0000-0000025A0000}"/>
    <cellStyle name="Normal 5 11 3" xfId="28805" xr:uid="{00000000-0005-0000-0000-0000035A0000}"/>
    <cellStyle name="Normal 5 12" xfId="24723" xr:uid="{00000000-0005-0000-0000-0000045A0000}"/>
    <cellStyle name="Normal 5 12 2" xfId="29106" xr:uid="{00000000-0005-0000-0000-0000055A0000}"/>
    <cellStyle name="Normal 5 12 3" xfId="28806" xr:uid="{00000000-0005-0000-0000-0000065A0000}"/>
    <cellStyle name="Normal 5 13" xfId="25039" xr:uid="{00000000-0005-0000-0000-0000075A0000}"/>
    <cellStyle name="Normal 5 13 2" xfId="29107" xr:uid="{00000000-0005-0000-0000-0000085A0000}"/>
    <cellStyle name="Normal 5 13 3" xfId="28807" xr:uid="{00000000-0005-0000-0000-0000095A0000}"/>
    <cellStyle name="Normal 5 14" xfId="25773" xr:uid="{00000000-0005-0000-0000-00000A5A0000}"/>
    <cellStyle name="Normal 5 15" xfId="29165" xr:uid="{00000000-0005-0000-0000-00000B5A0000}"/>
    <cellStyle name="Normal 5 2" xfId="203" xr:uid="{00000000-0005-0000-0000-00000C5A0000}"/>
    <cellStyle name="Normal 5 2 10" xfId="25787" xr:uid="{00000000-0005-0000-0000-00000D5A0000}"/>
    <cellStyle name="Normal 5 2 2" xfId="661" xr:uid="{00000000-0005-0000-0000-00000E5A0000}"/>
    <cellStyle name="Normal 5 2 2 2" xfId="12497" xr:uid="{00000000-0005-0000-0000-00000F5A0000}"/>
    <cellStyle name="Normal 5 2 2 2 2" xfId="23785" xr:uid="{00000000-0005-0000-0000-0000105A0000}"/>
    <cellStyle name="Normal 5 2 2 2 3" xfId="24428" xr:uid="{00000000-0005-0000-0000-0000115A0000}"/>
    <cellStyle name="Normal 5 2 2 2 4" xfId="24872" xr:uid="{00000000-0005-0000-0000-0000125A0000}"/>
    <cellStyle name="Normal 5 2 2 2 5" xfId="25235" xr:uid="{00000000-0005-0000-0000-0000135A0000}"/>
    <cellStyle name="Normal 5 2 2 3" xfId="24156" xr:uid="{00000000-0005-0000-0000-0000145A0000}"/>
    <cellStyle name="Normal 5 2 2 4" xfId="24725" xr:uid="{00000000-0005-0000-0000-0000155A0000}"/>
    <cellStyle name="Normal 5 2 2 5" xfId="25041" xr:uid="{00000000-0005-0000-0000-0000165A0000}"/>
    <cellStyle name="Normal 5 2 2 6" xfId="29108" xr:uid="{00000000-0005-0000-0000-0000175A0000}"/>
    <cellStyle name="Normal 5 2 3" xfId="10503" xr:uid="{00000000-0005-0000-0000-0000185A0000}"/>
    <cellStyle name="Normal 5 2 3 2" xfId="21791" xr:uid="{00000000-0005-0000-0000-0000195A0000}"/>
    <cellStyle name="Normal 5 2 3 3" xfId="24427" xr:uid="{00000000-0005-0000-0000-00001A5A0000}"/>
    <cellStyle name="Normal 5 2 3 4" xfId="24871" xr:uid="{00000000-0005-0000-0000-00001B5A0000}"/>
    <cellStyle name="Normal 5 2 3 5" xfId="25234" xr:uid="{00000000-0005-0000-0000-00001C5A0000}"/>
    <cellStyle name="Normal 5 2 4" xfId="8509" xr:uid="{00000000-0005-0000-0000-00001D5A0000}"/>
    <cellStyle name="Normal 5 2 4 2" xfId="19797" xr:uid="{00000000-0005-0000-0000-00001E5A0000}"/>
    <cellStyle name="Normal 5 2 5" xfId="6515" xr:uid="{00000000-0005-0000-0000-00001F5A0000}"/>
    <cellStyle name="Normal 5 2 5 2" xfId="17803" xr:uid="{00000000-0005-0000-0000-0000205A0000}"/>
    <cellStyle name="Normal 5 2 6" xfId="4518" xr:uid="{00000000-0005-0000-0000-0000215A0000}"/>
    <cellStyle name="Normal 5 2 6 2" xfId="15809" xr:uid="{00000000-0005-0000-0000-0000225A0000}"/>
    <cellStyle name="Normal 5 2 7" xfId="24155" xr:uid="{00000000-0005-0000-0000-0000235A0000}"/>
    <cellStyle name="Normal 5 2 8" xfId="24724" xr:uid="{00000000-0005-0000-0000-0000245A0000}"/>
    <cellStyle name="Normal 5 2 9" xfId="25040" xr:uid="{00000000-0005-0000-0000-0000255A0000}"/>
    <cellStyle name="Normal 5 3" xfId="357" xr:uid="{00000000-0005-0000-0000-0000265A0000}"/>
    <cellStyle name="Normal 5 3 2" xfId="440" xr:uid="{00000000-0005-0000-0000-0000275A0000}"/>
    <cellStyle name="Normal 5 3 2 2" xfId="526" xr:uid="{00000000-0005-0000-0000-0000285A0000}"/>
    <cellStyle name="Normal 5 3 2 2 2" xfId="13889" xr:uid="{00000000-0005-0000-0000-0000295A0000}"/>
    <cellStyle name="Normal 5 3 2 2 3" xfId="24430" xr:uid="{00000000-0005-0000-0000-00002A5A0000}"/>
    <cellStyle name="Normal 5 3 2 2 4" xfId="24874" xr:uid="{00000000-0005-0000-0000-00002B5A0000}"/>
    <cellStyle name="Normal 5 3 2 2 5" xfId="25237" xr:uid="{00000000-0005-0000-0000-00002C5A0000}"/>
    <cellStyle name="Normal 5 3 2 3" xfId="13812" xr:uid="{00000000-0005-0000-0000-00002D5A0000}"/>
    <cellStyle name="Normal 5 3 2 4" xfId="24158" xr:uid="{00000000-0005-0000-0000-00002E5A0000}"/>
    <cellStyle name="Normal 5 3 2 5" xfId="24727" xr:uid="{00000000-0005-0000-0000-00002F5A0000}"/>
    <cellStyle name="Normal 5 3 2 6" xfId="25043" xr:uid="{00000000-0005-0000-0000-0000305A0000}"/>
    <cellStyle name="Normal 5 3 2 7" xfId="29109" xr:uid="{00000000-0005-0000-0000-0000315A0000}"/>
    <cellStyle name="Normal 5 3 3" xfId="489" xr:uid="{00000000-0005-0000-0000-0000325A0000}"/>
    <cellStyle name="Normal 5 3 3 2" xfId="13852" xr:uid="{00000000-0005-0000-0000-0000335A0000}"/>
    <cellStyle name="Normal 5 3 3 3" xfId="24429" xr:uid="{00000000-0005-0000-0000-0000345A0000}"/>
    <cellStyle name="Normal 5 3 3 4" xfId="24873" xr:uid="{00000000-0005-0000-0000-0000355A0000}"/>
    <cellStyle name="Normal 5 3 3 5" xfId="25236" xr:uid="{00000000-0005-0000-0000-0000365A0000}"/>
    <cellStyle name="Normal 5 3 4" xfId="11500" xr:uid="{00000000-0005-0000-0000-0000375A0000}"/>
    <cellStyle name="Normal 5 3 4 2" xfId="22788" xr:uid="{00000000-0005-0000-0000-0000385A0000}"/>
    <cellStyle name="Normal 5 3 5" xfId="13767" xr:uid="{00000000-0005-0000-0000-0000395A0000}"/>
    <cellStyle name="Normal 5 3 6" xfId="24157" xr:uid="{00000000-0005-0000-0000-00003A5A0000}"/>
    <cellStyle name="Normal 5 3 7" xfId="24726" xr:uid="{00000000-0005-0000-0000-00003B5A0000}"/>
    <cellStyle name="Normal 5 3 8" xfId="25042" xr:uid="{00000000-0005-0000-0000-00003C5A0000}"/>
    <cellStyle name="Normal 5 3 9" xfId="28808" xr:uid="{00000000-0005-0000-0000-00003D5A0000}"/>
    <cellStyle name="Normal 5 4" xfId="408" xr:uid="{00000000-0005-0000-0000-00003E5A0000}"/>
    <cellStyle name="Normal 5 4 2" xfId="508" xr:uid="{00000000-0005-0000-0000-00003F5A0000}"/>
    <cellStyle name="Normal 5 4 2 2" xfId="13871" xr:uid="{00000000-0005-0000-0000-0000405A0000}"/>
    <cellStyle name="Normal 5 4 2 3" xfId="24431" xr:uid="{00000000-0005-0000-0000-0000415A0000}"/>
    <cellStyle name="Normal 5 4 2 4" xfId="24875" xr:uid="{00000000-0005-0000-0000-0000425A0000}"/>
    <cellStyle name="Normal 5 4 2 5" xfId="25238" xr:uid="{00000000-0005-0000-0000-0000435A0000}"/>
    <cellStyle name="Normal 5 4 2 6" xfId="29110" xr:uid="{00000000-0005-0000-0000-0000445A0000}"/>
    <cellStyle name="Normal 5 4 3" xfId="9506" xr:uid="{00000000-0005-0000-0000-0000455A0000}"/>
    <cellStyle name="Normal 5 4 3 2" xfId="20794" xr:uid="{00000000-0005-0000-0000-0000465A0000}"/>
    <cellStyle name="Normal 5 4 4" xfId="13790" xr:uid="{00000000-0005-0000-0000-0000475A0000}"/>
    <cellStyle name="Normal 5 4 5" xfId="24159" xr:uid="{00000000-0005-0000-0000-0000485A0000}"/>
    <cellStyle name="Normal 5 4 6" xfId="24728" xr:uid="{00000000-0005-0000-0000-0000495A0000}"/>
    <cellStyle name="Normal 5 4 7" xfId="25044" xr:uid="{00000000-0005-0000-0000-00004A5A0000}"/>
    <cellStyle name="Normal 5 4 8" xfId="28809" xr:uid="{00000000-0005-0000-0000-00004B5A0000}"/>
    <cellStyle name="Normal 5 5" xfId="392" xr:uid="{00000000-0005-0000-0000-00004C5A0000}"/>
    <cellStyle name="Normal 5 5 2" xfId="7512" xr:uid="{00000000-0005-0000-0000-00004D5A0000}"/>
    <cellStyle name="Normal 5 5 2 2" xfId="18800" xr:uid="{00000000-0005-0000-0000-00004E5A0000}"/>
    <cellStyle name="Normal 5 5 2 3" xfId="29111" xr:uid="{00000000-0005-0000-0000-00004F5A0000}"/>
    <cellStyle name="Normal 5 5 3" xfId="24426" xr:uid="{00000000-0005-0000-0000-0000505A0000}"/>
    <cellStyle name="Normal 5 5 4" xfId="24870" xr:uid="{00000000-0005-0000-0000-0000515A0000}"/>
    <cellStyle name="Normal 5 5 5" xfId="25233" xr:uid="{00000000-0005-0000-0000-0000525A0000}"/>
    <cellStyle name="Normal 5 5 6" xfId="26002" xr:uid="{00000000-0005-0000-0000-0000535A0000}"/>
    <cellStyle name="Normal 5 6" xfId="474" xr:uid="{00000000-0005-0000-0000-0000545A0000}"/>
    <cellStyle name="Normal 5 6 2" xfId="5518" xr:uid="{00000000-0005-0000-0000-0000555A0000}"/>
    <cellStyle name="Normal 5 6 2 2" xfId="16806" xr:uid="{00000000-0005-0000-0000-0000565A0000}"/>
    <cellStyle name="Normal 5 6 2 3" xfId="29112" xr:uid="{00000000-0005-0000-0000-0000575A0000}"/>
    <cellStyle name="Normal 5 6 3" xfId="13837" xr:uid="{00000000-0005-0000-0000-0000585A0000}"/>
    <cellStyle name="Normal 5 6 4" xfId="28810" xr:uid="{00000000-0005-0000-0000-0000595A0000}"/>
    <cellStyle name="Normal 5 7" xfId="660" xr:uid="{00000000-0005-0000-0000-00005A5A0000}"/>
    <cellStyle name="Normal 5 7 2" xfId="13913" xr:uid="{00000000-0005-0000-0000-00005B5A0000}"/>
    <cellStyle name="Normal 5 7 2 2" xfId="29113" xr:uid="{00000000-0005-0000-0000-00005C5A0000}"/>
    <cellStyle name="Normal 5 7 3" xfId="28811" xr:uid="{00000000-0005-0000-0000-00005D5A0000}"/>
    <cellStyle name="Normal 5 8" xfId="3283" xr:uid="{00000000-0005-0000-0000-00005E5A0000}"/>
    <cellStyle name="Normal 5 8 2" xfId="14812" xr:uid="{00000000-0005-0000-0000-00005F5A0000}"/>
    <cellStyle name="Normal 5 8 2 2" xfId="29114" xr:uid="{00000000-0005-0000-0000-0000605A0000}"/>
    <cellStyle name="Normal 5 8 3" xfId="28812" xr:uid="{00000000-0005-0000-0000-0000615A0000}"/>
    <cellStyle name="Normal 5 9" xfId="13614" xr:uid="{00000000-0005-0000-0000-0000625A0000}"/>
    <cellStyle name="Normal 5 9 2" xfId="29115" xr:uid="{00000000-0005-0000-0000-0000635A0000}"/>
    <cellStyle name="Normal 5 9 3" xfId="28813" xr:uid="{00000000-0005-0000-0000-0000645A0000}"/>
    <cellStyle name="Normal 50" xfId="3284" xr:uid="{00000000-0005-0000-0000-0000655A0000}"/>
    <cellStyle name="Normal 50 2" xfId="3285" xr:uid="{00000000-0005-0000-0000-0000665A0000}"/>
    <cellStyle name="Normal 50 2 2" xfId="4520" xr:uid="{00000000-0005-0000-0000-0000675A0000}"/>
    <cellStyle name="Normal 50 2 2 2" xfId="12499" xr:uid="{00000000-0005-0000-0000-0000685A0000}"/>
    <cellStyle name="Normal 50 2 2 2 2" xfId="23787" xr:uid="{00000000-0005-0000-0000-0000695A0000}"/>
    <cellStyle name="Normal 50 2 2 3" xfId="10505" xr:uid="{00000000-0005-0000-0000-00006A5A0000}"/>
    <cellStyle name="Normal 50 2 2 3 2" xfId="21793" xr:uid="{00000000-0005-0000-0000-00006B5A0000}"/>
    <cellStyle name="Normal 50 2 2 4" xfId="8511" xr:uid="{00000000-0005-0000-0000-00006C5A0000}"/>
    <cellStyle name="Normal 50 2 2 4 2" xfId="19799" xr:uid="{00000000-0005-0000-0000-00006D5A0000}"/>
    <cellStyle name="Normal 50 2 2 5" xfId="6517" xr:uid="{00000000-0005-0000-0000-00006E5A0000}"/>
    <cellStyle name="Normal 50 2 2 5 2" xfId="17805" xr:uid="{00000000-0005-0000-0000-00006F5A0000}"/>
    <cellStyle name="Normal 50 2 2 6" xfId="15811" xr:uid="{00000000-0005-0000-0000-0000705A0000}"/>
    <cellStyle name="Normal 50 2 3" xfId="11502" xr:uid="{00000000-0005-0000-0000-0000715A0000}"/>
    <cellStyle name="Normal 50 2 3 2" xfId="22790" xr:uid="{00000000-0005-0000-0000-0000725A0000}"/>
    <cellStyle name="Normal 50 2 4" xfId="9508" xr:uid="{00000000-0005-0000-0000-0000735A0000}"/>
    <cellStyle name="Normal 50 2 4 2" xfId="20796" xr:uid="{00000000-0005-0000-0000-0000745A0000}"/>
    <cellStyle name="Normal 50 2 5" xfId="7514" xr:uid="{00000000-0005-0000-0000-0000755A0000}"/>
    <cellStyle name="Normal 50 2 5 2" xfId="18802" xr:uid="{00000000-0005-0000-0000-0000765A0000}"/>
    <cellStyle name="Normal 50 2 6" xfId="5520" xr:uid="{00000000-0005-0000-0000-0000775A0000}"/>
    <cellStyle name="Normal 50 2 6 2" xfId="16808" xr:uid="{00000000-0005-0000-0000-0000785A0000}"/>
    <cellStyle name="Normal 50 2 7" xfId="14814" xr:uid="{00000000-0005-0000-0000-0000795A0000}"/>
    <cellStyle name="Normal 50 2 8" xfId="13498" xr:uid="{00000000-0005-0000-0000-00007A5A0000}"/>
    <cellStyle name="Normal 50 3" xfId="4519" xr:uid="{00000000-0005-0000-0000-00007B5A0000}"/>
    <cellStyle name="Normal 50 3 2" xfId="12498" xr:uid="{00000000-0005-0000-0000-00007C5A0000}"/>
    <cellStyle name="Normal 50 3 2 2" xfId="23786" xr:uid="{00000000-0005-0000-0000-00007D5A0000}"/>
    <cellStyle name="Normal 50 3 3" xfId="10504" xr:uid="{00000000-0005-0000-0000-00007E5A0000}"/>
    <cellStyle name="Normal 50 3 3 2" xfId="21792" xr:uid="{00000000-0005-0000-0000-00007F5A0000}"/>
    <cellStyle name="Normal 50 3 4" xfId="8510" xr:uid="{00000000-0005-0000-0000-0000805A0000}"/>
    <cellStyle name="Normal 50 3 4 2" xfId="19798" xr:uid="{00000000-0005-0000-0000-0000815A0000}"/>
    <cellStyle name="Normal 50 3 5" xfId="6516" xr:uid="{00000000-0005-0000-0000-0000825A0000}"/>
    <cellStyle name="Normal 50 3 5 2" xfId="17804" xr:uid="{00000000-0005-0000-0000-0000835A0000}"/>
    <cellStyle name="Normal 50 3 6" xfId="15810" xr:uid="{00000000-0005-0000-0000-0000845A0000}"/>
    <cellStyle name="Normal 50 4" xfId="11501" xr:uid="{00000000-0005-0000-0000-0000855A0000}"/>
    <cellStyle name="Normal 50 4 2" xfId="22789" xr:uid="{00000000-0005-0000-0000-0000865A0000}"/>
    <cellStyle name="Normal 50 5" xfId="9507" xr:uid="{00000000-0005-0000-0000-0000875A0000}"/>
    <cellStyle name="Normal 50 5 2" xfId="20795" xr:uid="{00000000-0005-0000-0000-0000885A0000}"/>
    <cellStyle name="Normal 50 6" xfId="7513" xr:uid="{00000000-0005-0000-0000-0000895A0000}"/>
    <cellStyle name="Normal 50 6 2" xfId="18801" xr:uid="{00000000-0005-0000-0000-00008A5A0000}"/>
    <cellStyle name="Normal 50 7" xfId="5519" xr:uid="{00000000-0005-0000-0000-00008B5A0000}"/>
    <cellStyle name="Normal 50 7 2" xfId="16807" xr:uid="{00000000-0005-0000-0000-00008C5A0000}"/>
    <cellStyle name="Normal 50 8" xfId="14813" xr:uid="{00000000-0005-0000-0000-00008D5A0000}"/>
    <cellStyle name="Normal 50 9" xfId="13497" xr:uid="{00000000-0005-0000-0000-00008E5A0000}"/>
    <cellStyle name="Normal 51" xfId="3286" xr:uid="{00000000-0005-0000-0000-00008F5A0000}"/>
    <cellStyle name="Normal 51 2" xfId="4521" xr:uid="{00000000-0005-0000-0000-0000905A0000}"/>
    <cellStyle name="Normal 51 2 2" xfId="12500" xr:uid="{00000000-0005-0000-0000-0000915A0000}"/>
    <cellStyle name="Normal 51 2 2 2" xfId="23788" xr:uid="{00000000-0005-0000-0000-0000925A0000}"/>
    <cellStyle name="Normal 51 2 3" xfId="10506" xr:uid="{00000000-0005-0000-0000-0000935A0000}"/>
    <cellStyle name="Normal 51 2 3 2" xfId="21794" xr:uid="{00000000-0005-0000-0000-0000945A0000}"/>
    <cellStyle name="Normal 51 2 4" xfId="8512" xr:uid="{00000000-0005-0000-0000-0000955A0000}"/>
    <cellStyle name="Normal 51 2 4 2" xfId="19800" xr:uid="{00000000-0005-0000-0000-0000965A0000}"/>
    <cellStyle name="Normal 51 2 5" xfId="6518" xr:uid="{00000000-0005-0000-0000-0000975A0000}"/>
    <cellStyle name="Normal 51 2 5 2" xfId="17806" xr:uid="{00000000-0005-0000-0000-0000985A0000}"/>
    <cellStyle name="Normal 51 2 6" xfId="15812" xr:uid="{00000000-0005-0000-0000-0000995A0000}"/>
    <cellStyle name="Normal 51 3" xfId="11503" xr:uid="{00000000-0005-0000-0000-00009A5A0000}"/>
    <cellStyle name="Normal 51 3 2" xfId="22791" xr:uid="{00000000-0005-0000-0000-00009B5A0000}"/>
    <cellStyle name="Normal 51 4" xfId="9509" xr:uid="{00000000-0005-0000-0000-00009C5A0000}"/>
    <cellStyle name="Normal 51 4 2" xfId="20797" xr:uid="{00000000-0005-0000-0000-00009D5A0000}"/>
    <cellStyle name="Normal 51 5" xfId="7515" xr:uid="{00000000-0005-0000-0000-00009E5A0000}"/>
    <cellStyle name="Normal 51 5 2" xfId="18803" xr:uid="{00000000-0005-0000-0000-00009F5A0000}"/>
    <cellStyle name="Normal 51 6" xfId="5521" xr:uid="{00000000-0005-0000-0000-0000A05A0000}"/>
    <cellStyle name="Normal 51 6 2" xfId="16809" xr:uid="{00000000-0005-0000-0000-0000A15A0000}"/>
    <cellStyle name="Normal 51 7" xfId="14815" xr:uid="{00000000-0005-0000-0000-0000A25A0000}"/>
    <cellStyle name="Normal 51 8" xfId="13499" xr:uid="{00000000-0005-0000-0000-0000A35A0000}"/>
    <cellStyle name="Normal 52" xfId="3287" xr:uid="{00000000-0005-0000-0000-0000A45A0000}"/>
    <cellStyle name="Normal 52 2" xfId="4522" xr:uid="{00000000-0005-0000-0000-0000A55A0000}"/>
    <cellStyle name="Normal 52 2 2" xfId="12501" xr:uid="{00000000-0005-0000-0000-0000A65A0000}"/>
    <cellStyle name="Normal 52 2 2 2" xfId="23789" xr:uid="{00000000-0005-0000-0000-0000A75A0000}"/>
    <cellStyle name="Normal 52 2 3" xfId="10507" xr:uid="{00000000-0005-0000-0000-0000A85A0000}"/>
    <cellStyle name="Normal 52 2 3 2" xfId="21795" xr:uid="{00000000-0005-0000-0000-0000A95A0000}"/>
    <cellStyle name="Normal 52 2 4" xfId="8513" xr:uid="{00000000-0005-0000-0000-0000AA5A0000}"/>
    <cellStyle name="Normal 52 2 4 2" xfId="19801" xr:uid="{00000000-0005-0000-0000-0000AB5A0000}"/>
    <cellStyle name="Normal 52 2 5" xfId="6519" xr:uid="{00000000-0005-0000-0000-0000AC5A0000}"/>
    <cellStyle name="Normal 52 2 5 2" xfId="17807" xr:uid="{00000000-0005-0000-0000-0000AD5A0000}"/>
    <cellStyle name="Normal 52 2 6" xfId="15813" xr:uid="{00000000-0005-0000-0000-0000AE5A0000}"/>
    <cellStyle name="Normal 52 3" xfId="11504" xr:uid="{00000000-0005-0000-0000-0000AF5A0000}"/>
    <cellStyle name="Normal 52 3 2" xfId="22792" xr:uid="{00000000-0005-0000-0000-0000B05A0000}"/>
    <cellStyle name="Normal 52 4" xfId="9510" xr:uid="{00000000-0005-0000-0000-0000B15A0000}"/>
    <cellStyle name="Normal 52 4 2" xfId="20798" xr:uid="{00000000-0005-0000-0000-0000B25A0000}"/>
    <cellStyle name="Normal 52 5" xfId="7516" xr:uid="{00000000-0005-0000-0000-0000B35A0000}"/>
    <cellStyle name="Normal 52 5 2" xfId="18804" xr:uid="{00000000-0005-0000-0000-0000B45A0000}"/>
    <cellStyle name="Normal 52 6" xfId="5522" xr:uid="{00000000-0005-0000-0000-0000B55A0000}"/>
    <cellStyle name="Normal 52 6 2" xfId="16810" xr:uid="{00000000-0005-0000-0000-0000B65A0000}"/>
    <cellStyle name="Normal 52 7" xfId="14816" xr:uid="{00000000-0005-0000-0000-0000B75A0000}"/>
    <cellStyle name="Normal 52 8" xfId="13500" xr:uid="{00000000-0005-0000-0000-0000B85A0000}"/>
    <cellStyle name="Normal 53" xfId="3288" xr:uid="{00000000-0005-0000-0000-0000B95A0000}"/>
    <cellStyle name="Normal 53 2" xfId="4523" xr:uid="{00000000-0005-0000-0000-0000BA5A0000}"/>
    <cellStyle name="Normal 53 2 2" xfId="12502" xr:uid="{00000000-0005-0000-0000-0000BB5A0000}"/>
    <cellStyle name="Normal 53 2 2 2" xfId="23790" xr:uid="{00000000-0005-0000-0000-0000BC5A0000}"/>
    <cellStyle name="Normal 53 2 3" xfId="10508" xr:uid="{00000000-0005-0000-0000-0000BD5A0000}"/>
    <cellStyle name="Normal 53 2 3 2" xfId="21796" xr:uid="{00000000-0005-0000-0000-0000BE5A0000}"/>
    <cellStyle name="Normal 53 2 4" xfId="8514" xr:uid="{00000000-0005-0000-0000-0000BF5A0000}"/>
    <cellStyle name="Normal 53 2 4 2" xfId="19802" xr:uid="{00000000-0005-0000-0000-0000C05A0000}"/>
    <cellStyle name="Normal 53 2 5" xfId="6520" xr:uid="{00000000-0005-0000-0000-0000C15A0000}"/>
    <cellStyle name="Normal 53 2 5 2" xfId="17808" xr:uid="{00000000-0005-0000-0000-0000C25A0000}"/>
    <cellStyle name="Normal 53 2 6" xfId="15814" xr:uid="{00000000-0005-0000-0000-0000C35A0000}"/>
    <cellStyle name="Normal 53 3" xfId="11505" xr:uid="{00000000-0005-0000-0000-0000C45A0000}"/>
    <cellStyle name="Normal 53 3 2" xfId="22793" xr:uid="{00000000-0005-0000-0000-0000C55A0000}"/>
    <cellStyle name="Normal 53 4" xfId="9511" xr:uid="{00000000-0005-0000-0000-0000C65A0000}"/>
    <cellStyle name="Normal 53 4 2" xfId="20799" xr:uid="{00000000-0005-0000-0000-0000C75A0000}"/>
    <cellStyle name="Normal 53 5" xfId="7517" xr:uid="{00000000-0005-0000-0000-0000C85A0000}"/>
    <cellStyle name="Normal 53 5 2" xfId="18805" xr:uid="{00000000-0005-0000-0000-0000C95A0000}"/>
    <cellStyle name="Normal 53 6" xfId="5523" xr:uid="{00000000-0005-0000-0000-0000CA5A0000}"/>
    <cellStyle name="Normal 53 6 2" xfId="16811" xr:uid="{00000000-0005-0000-0000-0000CB5A0000}"/>
    <cellStyle name="Normal 53 7" xfId="14817" xr:uid="{00000000-0005-0000-0000-0000CC5A0000}"/>
    <cellStyle name="Normal 53 8" xfId="13501" xr:uid="{00000000-0005-0000-0000-0000CD5A0000}"/>
    <cellStyle name="Normal 54" xfId="3289" xr:uid="{00000000-0005-0000-0000-0000CE5A0000}"/>
    <cellStyle name="Normal 54 2" xfId="4524" xr:uid="{00000000-0005-0000-0000-0000CF5A0000}"/>
    <cellStyle name="Normal 54 2 2" xfId="12503" xr:uid="{00000000-0005-0000-0000-0000D05A0000}"/>
    <cellStyle name="Normal 54 2 2 2" xfId="23791" xr:uid="{00000000-0005-0000-0000-0000D15A0000}"/>
    <cellStyle name="Normal 54 2 3" xfId="10509" xr:uid="{00000000-0005-0000-0000-0000D25A0000}"/>
    <cellStyle name="Normal 54 2 3 2" xfId="21797" xr:uid="{00000000-0005-0000-0000-0000D35A0000}"/>
    <cellStyle name="Normal 54 2 4" xfId="8515" xr:uid="{00000000-0005-0000-0000-0000D45A0000}"/>
    <cellStyle name="Normal 54 2 4 2" xfId="19803" xr:uid="{00000000-0005-0000-0000-0000D55A0000}"/>
    <cellStyle name="Normal 54 2 5" xfId="6521" xr:uid="{00000000-0005-0000-0000-0000D65A0000}"/>
    <cellStyle name="Normal 54 2 5 2" xfId="17809" xr:uid="{00000000-0005-0000-0000-0000D75A0000}"/>
    <cellStyle name="Normal 54 2 6" xfId="15815" xr:uid="{00000000-0005-0000-0000-0000D85A0000}"/>
    <cellStyle name="Normal 54 3" xfId="11506" xr:uid="{00000000-0005-0000-0000-0000D95A0000}"/>
    <cellStyle name="Normal 54 3 2" xfId="22794" xr:uid="{00000000-0005-0000-0000-0000DA5A0000}"/>
    <cellStyle name="Normal 54 4" xfId="9512" xr:uid="{00000000-0005-0000-0000-0000DB5A0000}"/>
    <cellStyle name="Normal 54 4 2" xfId="20800" xr:uid="{00000000-0005-0000-0000-0000DC5A0000}"/>
    <cellStyle name="Normal 54 5" xfId="7518" xr:uid="{00000000-0005-0000-0000-0000DD5A0000}"/>
    <cellStyle name="Normal 54 5 2" xfId="18806" xr:uid="{00000000-0005-0000-0000-0000DE5A0000}"/>
    <cellStyle name="Normal 54 6" xfId="5524" xr:uid="{00000000-0005-0000-0000-0000DF5A0000}"/>
    <cellStyle name="Normal 54 6 2" xfId="16812" xr:uid="{00000000-0005-0000-0000-0000E05A0000}"/>
    <cellStyle name="Normal 54 7" xfId="14818" xr:uid="{00000000-0005-0000-0000-0000E15A0000}"/>
    <cellStyle name="Normal 54 8" xfId="13502" xr:uid="{00000000-0005-0000-0000-0000E25A0000}"/>
    <cellStyle name="Normal 55" xfId="3290" xr:uid="{00000000-0005-0000-0000-0000E35A0000}"/>
    <cellStyle name="Normal 55 2" xfId="4525" xr:uid="{00000000-0005-0000-0000-0000E45A0000}"/>
    <cellStyle name="Normal 55 2 2" xfId="12504" xr:uid="{00000000-0005-0000-0000-0000E55A0000}"/>
    <cellStyle name="Normal 55 2 2 2" xfId="23792" xr:uid="{00000000-0005-0000-0000-0000E65A0000}"/>
    <cellStyle name="Normal 55 2 3" xfId="10510" xr:uid="{00000000-0005-0000-0000-0000E75A0000}"/>
    <cellStyle name="Normal 55 2 3 2" xfId="21798" xr:uid="{00000000-0005-0000-0000-0000E85A0000}"/>
    <cellStyle name="Normal 55 2 4" xfId="8516" xr:uid="{00000000-0005-0000-0000-0000E95A0000}"/>
    <cellStyle name="Normal 55 2 4 2" xfId="19804" xr:uid="{00000000-0005-0000-0000-0000EA5A0000}"/>
    <cellStyle name="Normal 55 2 5" xfId="6522" xr:uid="{00000000-0005-0000-0000-0000EB5A0000}"/>
    <cellStyle name="Normal 55 2 5 2" xfId="17810" xr:uid="{00000000-0005-0000-0000-0000EC5A0000}"/>
    <cellStyle name="Normal 55 2 6" xfId="15816" xr:uid="{00000000-0005-0000-0000-0000ED5A0000}"/>
    <cellStyle name="Normal 55 3" xfId="11507" xr:uid="{00000000-0005-0000-0000-0000EE5A0000}"/>
    <cellStyle name="Normal 55 3 2" xfId="22795" xr:uid="{00000000-0005-0000-0000-0000EF5A0000}"/>
    <cellStyle name="Normal 55 4" xfId="9513" xr:uid="{00000000-0005-0000-0000-0000F05A0000}"/>
    <cellStyle name="Normal 55 4 2" xfId="20801" xr:uid="{00000000-0005-0000-0000-0000F15A0000}"/>
    <cellStyle name="Normal 55 5" xfId="7519" xr:uid="{00000000-0005-0000-0000-0000F25A0000}"/>
    <cellStyle name="Normal 55 5 2" xfId="18807" xr:uid="{00000000-0005-0000-0000-0000F35A0000}"/>
    <cellStyle name="Normal 55 6" xfId="5525" xr:uid="{00000000-0005-0000-0000-0000F45A0000}"/>
    <cellStyle name="Normal 55 6 2" xfId="16813" xr:uid="{00000000-0005-0000-0000-0000F55A0000}"/>
    <cellStyle name="Normal 55 7" xfId="14819" xr:uid="{00000000-0005-0000-0000-0000F65A0000}"/>
    <cellStyle name="Normal 55 8" xfId="13503" xr:uid="{00000000-0005-0000-0000-0000F75A0000}"/>
    <cellStyle name="Normal 56" xfId="3291" xr:uid="{00000000-0005-0000-0000-0000F85A0000}"/>
    <cellStyle name="Normal 56 2" xfId="4526" xr:uid="{00000000-0005-0000-0000-0000F95A0000}"/>
    <cellStyle name="Normal 56 2 2" xfId="12505" xr:uid="{00000000-0005-0000-0000-0000FA5A0000}"/>
    <cellStyle name="Normal 56 2 2 2" xfId="23793" xr:uid="{00000000-0005-0000-0000-0000FB5A0000}"/>
    <cellStyle name="Normal 56 2 3" xfId="10511" xr:uid="{00000000-0005-0000-0000-0000FC5A0000}"/>
    <cellStyle name="Normal 56 2 3 2" xfId="21799" xr:uid="{00000000-0005-0000-0000-0000FD5A0000}"/>
    <cellStyle name="Normal 56 2 4" xfId="8517" xr:uid="{00000000-0005-0000-0000-0000FE5A0000}"/>
    <cellStyle name="Normal 56 2 4 2" xfId="19805" xr:uid="{00000000-0005-0000-0000-0000FF5A0000}"/>
    <cellStyle name="Normal 56 2 5" xfId="6523" xr:uid="{00000000-0005-0000-0000-0000005B0000}"/>
    <cellStyle name="Normal 56 2 5 2" xfId="17811" xr:uid="{00000000-0005-0000-0000-0000015B0000}"/>
    <cellStyle name="Normal 56 2 6" xfId="15817" xr:uid="{00000000-0005-0000-0000-0000025B0000}"/>
    <cellStyle name="Normal 56 3" xfId="11508" xr:uid="{00000000-0005-0000-0000-0000035B0000}"/>
    <cellStyle name="Normal 56 3 2" xfId="22796" xr:uid="{00000000-0005-0000-0000-0000045B0000}"/>
    <cellStyle name="Normal 56 4" xfId="9514" xr:uid="{00000000-0005-0000-0000-0000055B0000}"/>
    <cellStyle name="Normal 56 4 2" xfId="20802" xr:uid="{00000000-0005-0000-0000-0000065B0000}"/>
    <cellStyle name="Normal 56 5" xfId="7520" xr:uid="{00000000-0005-0000-0000-0000075B0000}"/>
    <cellStyle name="Normal 56 5 2" xfId="18808" xr:uid="{00000000-0005-0000-0000-0000085B0000}"/>
    <cellStyle name="Normal 56 6" xfId="5526" xr:uid="{00000000-0005-0000-0000-0000095B0000}"/>
    <cellStyle name="Normal 56 6 2" xfId="16814" xr:uid="{00000000-0005-0000-0000-00000A5B0000}"/>
    <cellStyle name="Normal 56 7" xfId="14820" xr:uid="{00000000-0005-0000-0000-00000B5B0000}"/>
    <cellStyle name="Normal 56 8" xfId="13504" xr:uid="{00000000-0005-0000-0000-00000C5B0000}"/>
    <cellStyle name="Normal 57" xfId="3292" xr:uid="{00000000-0005-0000-0000-00000D5B0000}"/>
    <cellStyle name="Normal 57 2" xfId="4527" xr:uid="{00000000-0005-0000-0000-00000E5B0000}"/>
    <cellStyle name="Normal 57 2 2" xfId="12506" xr:uid="{00000000-0005-0000-0000-00000F5B0000}"/>
    <cellStyle name="Normal 57 2 2 2" xfId="23794" xr:uid="{00000000-0005-0000-0000-0000105B0000}"/>
    <cellStyle name="Normal 57 2 3" xfId="10512" xr:uid="{00000000-0005-0000-0000-0000115B0000}"/>
    <cellStyle name="Normal 57 2 3 2" xfId="21800" xr:uid="{00000000-0005-0000-0000-0000125B0000}"/>
    <cellStyle name="Normal 57 2 4" xfId="8518" xr:uid="{00000000-0005-0000-0000-0000135B0000}"/>
    <cellStyle name="Normal 57 2 4 2" xfId="19806" xr:uid="{00000000-0005-0000-0000-0000145B0000}"/>
    <cellStyle name="Normal 57 2 5" xfId="6524" xr:uid="{00000000-0005-0000-0000-0000155B0000}"/>
    <cellStyle name="Normal 57 2 5 2" xfId="17812" xr:uid="{00000000-0005-0000-0000-0000165B0000}"/>
    <cellStyle name="Normal 57 2 6" xfId="15818" xr:uid="{00000000-0005-0000-0000-0000175B0000}"/>
    <cellStyle name="Normal 57 3" xfId="11509" xr:uid="{00000000-0005-0000-0000-0000185B0000}"/>
    <cellStyle name="Normal 57 3 2" xfId="22797" xr:uid="{00000000-0005-0000-0000-0000195B0000}"/>
    <cellStyle name="Normal 57 4" xfId="9515" xr:uid="{00000000-0005-0000-0000-00001A5B0000}"/>
    <cellStyle name="Normal 57 4 2" xfId="20803" xr:uid="{00000000-0005-0000-0000-00001B5B0000}"/>
    <cellStyle name="Normal 57 5" xfId="7521" xr:uid="{00000000-0005-0000-0000-00001C5B0000}"/>
    <cellStyle name="Normal 57 5 2" xfId="18809" xr:uid="{00000000-0005-0000-0000-00001D5B0000}"/>
    <cellStyle name="Normal 57 6" xfId="5527" xr:uid="{00000000-0005-0000-0000-00001E5B0000}"/>
    <cellStyle name="Normal 57 6 2" xfId="16815" xr:uid="{00000000-0005-0000-0000-00001F5B0000}"/>
    <cellStyle name="Normal 57 7" xfId="14821" xr:uid="{00000000-0005-0000-0000-0000205B0000}"/>
    <cellStyle name="Normal 57 8" xfId="13505" xr:uid="{00000000-0005-0000-0000-0000215B0000}"/>
    <cellStyle name="Normal 58" xfId="3293" xr:uid="{00000000-0005-0000-0000-0000225B0000}"/>
    <cellStyle name="Normal 58 2" xfId="4528" xr:uid="{00000000-0005-0000-0000-0000235B0000}"/>
    <cellStyle name="Normal 58 2 2" xfId="12507" xr:uid="{00000000-0005-0000-0000-0000245B0000}"/>
    <cellStyle name="Normal 58 2 2 2" xfId="23795" xr:uid="{00000000-0005-0000-0000-0000255B0000}"/>
    <cellStyle name="Normal 58 2 3" xfId="10513" xr:uid="{00000000-0005-0000-0000-0000265B0000}"/>
    <cellStyle name="Normal 58 2 3 2" xfId="21801" xr:uid="{00000000-0005-0000-0000-0000275B0000}"/>
    <cellStyle name="Normal 58 2 4" xfId="8519" xr:uid="{00000000-0005-0000-0000-0000285B0000}"/>
    <cellStyle name="Normal 58 2 4 2" xfId="19807" xr:uid="{00000000-0005-0000-0000-0000295B0000}"/>
    <cellStyle name="Normal 58 2 5" xfId="6525" xr:uid="{00000000-0005-0000-0000-00002A5B0000}"/>
    <cellStyle name="Normal 58 2 5 2" xfId="17813" xr:uid="{00000000-0005-0000-0000-00002B5B0000}"/>
    <cellStyle name="Normal 58 2 6" xfId="15819" xr:uid="{00000000-0005-0000-0000-00002C5B0000}"/>
    <cellStyle name="Normal 58 3" xfId="11510" xr:uid="{00000000-0005-0000-0000-00002D5B0000}"/>
    <cellStyle name="Normal 58 3 2" xfId="22798" xr:uid="{00000000-0005-0000-0000-00002E5B0000}"/>
    <cellStyle name="Normal 58 4" xfId="9516" xr:uid="{00000000-0005-0000-0000-00002F5B0000}"/>
    <cellStyle name="Normal 58 4 2" xfId="20804" xr:uid="{00000000-0005-0000-0000-0000305B0000}"/>
    <cellStyle name="Normal 58 5" xfId="7522" xr:uid="{00000000-0005-0000-0000-0000315B0000}"/>
    <cellStyle name="Normal 58 5 2" xfId="18810" xr:uid="{00000000-0005-0000-0000-0000325B0000}"/>
    <cellStyle name="Normal 58 6" xfId="5528" xr:uid="{00000000-0005-0000-0000-0000335B0000}"/>
    <cellStyle name="Normal 58 6 2" xfId="16816" xr:uid="{00000000-0005-0000-0000-0000345B0000}"/>
    <cellStyle name="Normal 58 7" xfId="14822" xr:uid="{00000000-0005-0000-0000-0000355B0000}"/>
    <cellStyle name="Normal 58 8" xfId="13506" xr:uid="{00000000-0005-0000-0000-0000365B0000}"/>
    <cellStyle name="Normal 59" xfId="3294" xr:uid="{00000000-0005-0000-0000-0000375B0000}"/>
    <cellStyle name="Normal 59 2" xfId="4529" xr:uid="{00000000-0005-0000-0000-0000385B0000}"/>
    <cellStyle name="Normal 59 2 2" xfId="12508" xr:uid="{00000000-0005-0000-0000-0000395B0000}"/>
    <cellStyle name="Normal 59 2 2 2" xfId="23796" xr:uid="{00000000-0005-0000-0000-00003A5B0000}"/>
    <cellStyle name="Normal 59 2 3" xfId="10514" xr:uid="{00000000-0005-0000-0000-00003B5B0000}"/>
    <cellStyle name="Normal 59 2 3 2" xfId="21802" xr:uid="{00000000-0005-0000-0000-00003C5B0000}"/>
    <cellStyle name="Normal 59 2 4" xfId="8520" xr:uid="{00000000-0005-0000-0000-00003D5B0000}"/>
    <cellStyle name="Normal 59 2 4 2" xfId="19808" xr:uid="{00000000-0005-0000-0000-00003E5B0000}"/>
    <cellStyle name="Normal 59 2 5" xfId="6526" xr:uid="{00000000-0005-0000-0000-00003F5B0000}"/>
    <cellStyle name="Normal 59 2 5 2" xfId="17814" xr:uid="{00000000-0005-0000-0000-0000405B0000}"/>
    <cellStyle name="Normal 59 2 6" xfId="15820" xr:uid="{00000000-0005-0000-0000-0000415B0000}"/>
    <cellStyle name="Normal 59 3" xfId="11511" xr:uid="{00000000-0005-0000-0000-0000425B0000}"/>
    <cellStyle name="Normal 59 3 2" xfId="22799" xr:uid="{00000000-0005-0000-0000-0000435B0000}"/>
    <cellStyle name="Normal 59 4" xfId="9517" xr:uid="{00000000-0005-0000-0000-0000445B0000}"/>
    <cellStyle name="Normal 59 4 2" xfId="20805" xr:uid="{00000000-0005-0000-0000-0000455B0000}"/>
    <cellStyle name="Normal 59 5" xfId="7523" xr:uid="{00000000-0005-0000-0000-0000465B0000}"/>
    <cellStyle name="Normal 59 5 2" xfId="18811" xr:uid="{00000000-0005-0000-0000-0000475B0000}"/>
    <cellStyle name="Normal 59 6" xfId="5529" xr:uid="{00000000-0005-0000-0000-0000485B0000}"/>
    <cellStyle name="Normal 59 6 2" xfId="16817" xr:uid="{00000000-0005-0000-0000-0000495B0000}"/>
    <cellStyle name="Normal 59 7" xfId="14823" xr:uid="{00000000-0005-0000-0000-00004A5B0000}"/>
    <cellStyle name="Normal 59 8" xfId="13507" xr:uid="{00000000-0005-0000-0000-00004B5B0000}"/>
    <cellStyle name="Normal 6" xfId="57" xr:uid="{00000000-0005-0000-0000-00004C5B0000}"/>
    <cellStyle name="Normal 6 10" xfId="25774" xr:uid="{00000000-0005-0000-0000-00004D5B0000}"/>
    <cellStyle name="Normal 6 10 2" xfId="29116" xr:uid="{00000000-0005-0000-0000-00004E5B0000}"/>
    <cellStyle name="Normal 6 11" xfId="28814" xr:uid="{00000000-0005-0000-0000-00004F5B0000}"/>
    <cellStyle name="Normal 6 11 2" xfId="29117" xr:uid="{00000000-0005-0000-0000-0000505B0000}"/>
    <cellStyle name="Normal 6 12" xfId="28815" xr:uid="{00000000-0005-0000-0000-0000515B0000}"/>
    <cellStyle name="Normal 6 12 2" xfId="29118" xr:uid="{00000000-0005-0000-0000-0000525B0000}"/>
    <cellStyle name="Normal 6 13" xfId="28816" xr:uid="{00000000-0005-0000-0000-0000535B0000}"/>
    <cellStyle name="Normal 6 13 2" xfId="29119" xr:uid="{00000000-0005-0000-0000-0000545B0000}"/>
    <cellStyle name="Normal 6 14" xfId="29166" xr:uid="{00000000-0005-0000-0000-0000555B0000}"/>
    <cellStyle name="Normal 6 2" xfId="204" xr:uid="{00000000-0005-0000-0000-0000565B0000}"/>
    <cellStyle name="Normal 6 2 10" xfId="25046" xr:uid="{00000000-0005-0000-0000-0000575B0000}"/>
    <cellStyle name="Normal 6 2 11" xfId="25788" xr:uid="{00000000-0005-0000-0000-0000585B0000}"/>
    <cellStyle name="Normal 6 2 2" xfId="367" xr:uid="{00000000-0005-0000-0000-0000595B0000}"/>
    <cellStyle name="Normal 6 2 2 2" xfId="449" xr:uid="{00000000-0005-0000-0000-00005A5B0000}"/>
    <cellStyle name="Normal 6 2 2 2 2" xfId="535" xr:uid="{00000000-0005-0000-0000-00005B5B0000}"/>
    <cellStyle name="Normal 6 2 2 2 2 2" xfId="13898" xr:uid="{00000000-0005-0000-0000-00005C5B0000}"/>
    <cellStyle name="Normal 6 2 2 2 3" xfId="13821" xr:uid="{00000000-0005-0000-0000-00005D5B0000}"/>
    <cellStyle name="Normal 6 2 2 2 4" xfId="24434" xr:uid="{00000000-0005-0000-0000-00005E5B0000}"/>
    <cellStyle name="Normal 6 2 2 2 5" xfId="24878" xr:uid="{00000000-0005-0000-0000-00005F5B0000}"/>
    <cellStyle name="Normal 6 2 2 2 6" xfId="25241" xr:uid="{00000000-0005-0000-0000-0000605B0000}"/>
    <cellStyle name="Normal 6 2 2 3" xfId="498" xr:uid="{00000000-0005-0000-0000-0000615B0000}"/>
    <cellStyle name="Normal 6 2 2 3 2" xfId="13861" xr:uid="{00000000-0005-0000-0000-0000625B0000}"/>
    <cellStyle name="Normal 6 2 2 4" xfId="11512" xr:uid="{00000000-0005-0000-0000-0000635B0000}"/>
    <cellStyle name="Normal 6 2 2 4 2" xfId="22800" xr:uid="{00000000-0005-0000-0000-0000645B0000}"/>
    <cellStyle name="Normal 6 2 2 5" xfId="13777" xr:uid="{00000000-0005-0000-0000-0000655B0000}"/>
    <cellStyle name="Normal 6 2 2 6" xfId="24162" xr:uid="{00000000-0005-0000-0000-0000665B0000}"/>
    <cellStyle name="Normal 6 2 2 7" xfId="24731" xr:uid="{00000000-0005-0000-0000-0000675B0000}"/>
    <cellStyle name="Normal 6 2 2 8" xfId="25047" xr:uid="{00000000-0005-0000-0000-0000685B0000}"/>
    <cellStyle name="Normal 6 2 2 9" xfId="29120" xr:uid="{00000000-0005-0000-0000-0000695B0000}"/>
    <cellStyle name="Normal 6 2 3" xfId="429" xr:uid="{00000000-0005-0000-0000-00006A5B0000}"/>
    <cellStyle name="Normal 6 2 3 2" xfId="520" xr:uid="{00000000-0005-0000-0000-00006B5B0000}"/>
    <cellStyle name="Normal 6 2 3 2 2" xfId="13883" xr:uid="{00000000-0005-0000-0000-00006C5B0000}"/>
    <cellStyle name="Normal 6 2 3 3" xfId="9518" xr:uid="{00000000-0005-0000-0000-00006D5B0000}"/>
    <cellStyle name="Normal 6 2 3 3 2" xfId="20806" xr:uid="{00000000-0005-0000-0000-00006E5B0000}"/>
    <cellStyle name="Normal 6 2 3 4" xfId="13806" xr:uid="{00000000-0005-0000-0000-00006F5B0000}"/>
    <cellStyle name="Normal 6 2 3 5" xfId="24433" xr:uid="{00000000-0005-0000-0000-0000705B0000}"/>
    <cellStyle name="Normal 6 2 3 6" xfId="24877" xr:uid="{00000000-0005-0000-0000-0000715B0000}"/>
    <cellStyle name="Normal 6 2 3 7" xfId="25240" xr:uid="{00000000-0005-0000-0000-0000725B0000}"/>
    <cellStyle name="Normal 6 2 4" xfId="483" xr:uid="{00000000-0005-0000-0000-0000735B0000}"/>
    <cellStyle name="Normal 6 2 4 2" xfId="7524" xr:uid="{00000000-0005-0000-0000-0000745B0000}"/>
    <cellStyle name="Normal 6 2 4 2 2" xfId="18812" xr:uid="{00000000-0005-0000-0000-0000755B0000}"/>
    <cellStyle name="Normal 6 2 4 3" xfId="13846" xr:uid="{00000000-0005-0000-0000-0000765B0000}"/>
    <cellStyle name="Normal 6 2 5" xfId="5530" xr:uid="{00000000-0005-0000-0000-0000775B0000}"/>
    <cellStyle name="Normal 6 2 5 2" xfId="16818" xr:uid="{00000000-0005-0000-0000-0000785B0000}"/>
    <cellStyle name="Normal 6 2 6" xfId="3296" xr:uid="{00000000-0005-0000-0000-0000795B0000}"/>
    <cellStyle name="Normal 6 2 6 2" xfId="14824" xr:uid="{00000000-0005-0000-0000-00007A5B0000}"/>
    <cellStyle name="Normal 6 2 7" xfId="13703" xr:uid="{00000000-0005-0000-0000-00007B5B0000}"/>
    <cellStyle name="Normal 6 2 8" xfId="24161" xr:uid="{00000000-0005-0000-0000-00007C5B0000}"/>
    <cellStyle name="Normal 6 2 9" xfId="24730" xr:uid="{00000000-0005-0000-0000-00007D5B0000}"/>
    <cellStyle name="Normal 6 3" xfId="4530" xr:uid="{00000000-0005-0000-0000-00007E5B0000}"/>
    <cellStyle name="Normal 6 3 10" xfId="28817" xr:uid="{00000000-0005-0000-0000-00007F5B0000}"/>
    <cellStyle name="Normal 6 3 2" xfId="12509" xr:uid="{00000000-0005-0000-0000-0000805B0000}"/>
    <cellStyle name="Normal 6 3 2 2" xfId="23797" xr:uid="{00000000-0005-0000-0000-0000815B0000}"/>
    <cellStyle name="Normal 6 3 2 2 2" xfId="24436" xr:uid="{00000000-0005-0000-0000-0000825B0000}"/>
    <cellStyle name="Normal 6 3 2 2 3" xfId="24880" xr:uid="{00000000-0005-0000-0000-0000835B0000}"/>
    <cellStyle name="Normal 6 3 2 2 4" xfId="25243" xr:uid="{00000000-0005-0000-0000-0000845B0000}"/>
    <cellStyle name="Normal 6 3 2 3" xfId="24164" xr:uid="{00000000-0005-0000-0000-0000855B0000}"/>
    <cellStyle name="Normal 6 3 2 4" xfId="24733" xr:uid="{00000000-0005-0000-0000-0000865B0000}"/>
    <cellStyle name="Normal 6 3 2 5" xfId="25049" xr:uid="{00000000-0005-0000-0000-0000875B0000}"/>
    <cellStyle name="Normal 6 3 2 6" xfId="29121" xr:uid="{00000000-0005-0000-0000-0000885B0000}"/>
    <cellStyle name="Normal 6 3 3" xfId="10515" xr:uid="{00000000-0005-0000-0000-0000895B0000}"/>
    <cellStyle name="Normal 6 3 3 2" xfId="21803" xr:uid="{00000000-0005-0000-0000-00008A5B0000}"/>
    <cellStyle name="Normal 6 3 3 3" xfId="24435" xr:uid="{00000000-0005-0000-0000-00008B5B0000}"/>
    <cellStyle name="Normal 6 3 3 4" xfId="24879" xr:uid="{00000000-0005-0000-0000-00008C5B0000}"/>
    <cellStyle name="Normal 6 3 3 5" xfId="25242" xr:uid="{00000000-0005-0000-0000-00008D5B0000}"/>
    <cellStyle name="Normal 6 3 4" xfId="8521" xr:uid="{00000000-0005-0000-0000-00008E5B0000}"/>
    <cellStyle name="Normal 6 3 4 2" xfId="19809" xr:uid="{00000000-0005-0000-0000-00008F5B0000}"/>
    <cellStyle name="Normal 6 3 5" xfId="6527" xr:uid="{00000000-0005-0000-0000-0000905B0000}"/>
    <cellStyle name="Normal 6 3 5 2" xfId="17815" xr:uid="{00000000-0005-0000-0000-0000915B0000}"/>
    <cellStyle name="Normal 6 3 6" xfId="15821" xr:uid="{00000000-0005-0000-0000-0000925B0000}"/>
    <cellStyle name="Normal 6 3 7" xfId="24163" xr:uid="{00000000-0005-0000-0000-0000935B0000}"/>
    <cellStyle name="Normal 6 3 8" xfId="24732" xr:uid="{00000000-0005-0000-0000-0000945B0000}"/>
    <cellStyle name="Normal 6 3 9" xfId="25048" xr:uid="{00000000-0005-0000-0000-0000955B0000}"/>
    <cellStyle name="Normal 6 4" xfId="3295" xr:uid="{00000000-0005-0000-0000-0000965B0000}"/>
    <cellStyle name="Normal 6 4 2" xfId="24437" xr:uid="{00000000-0005-0000-0000-0000975B0000}"/>
    <cellStyle name="Normal 6 4 2 2" xfId="24881" xr:uid="{00000000-0005-0000-0000-0000985B0000}"/>
    <cellStyle name="Normal 6 4 2 3" xfId="25244" xr:uid="{00000000-0005-0000-0000-0000995B0000}"/>
    <cellStyle name="Normal 6 4 2 4" xfId="29122" xr:uid="{00000000-0005-0000-0000-00009A5B0000}"/>
    <cellStyle name="Normal 6 4 3" xfId="24165" xr:uid="{00000000-0005-0000-0000-00009B5B0000}"/>
    <cellStyle name="Normal 6 4 4" xfId="24734" xr:uid="{00000000-0005-0000-0000-00009C5B0000}"/>
    <cellStyle name="Normal 6 4 5" xfId="25050" xr:uid="{00000000-0005-0000-0000-00009D5B0000}"/>
    <cellStyle name="Normal 6 4 6" xfId="26181" xr:uid="{00000000-0005-0000-0000-00009E5B0000}"/>
    <cellStyle name="Normal 6 5" xfId="13615" xr:uid="{00000000-0005-0000-0000-00009F5B0000}"/>
    <cellStyle name="Normal 6 5 2" xfId="24432" xr:uid="{00000000-0005-0000-0000-0000A05B0000}"/>
    <cellStyle name="Normal 6 5 2 2" xfId="29123" xr:uid="{00000000-0005-0000-0000-0000A15B0000}"/>
    <cellStyle name="Normal 6 5 3" xfId="24876" xr:uid="{00000000-0005-0000-0000-0000A25B0000}"/>
    <cellStyle name="Normal 6 5 4" xfId="25239" xr:uid="{00000000-0005-0000-0000-0000A35B0000}"/>
    <cellStyle name="Normal 6 5 5" xfId="28818" xr:uid="{00000000-0005-0000-0000-0000A45B0000}"/>
    <cellStyle name="Normal 6 6" xfId="13508" xr:uid="{00000000-0005-0000-0000-0000A55B0000}"/>
    <cellStyle name="Normal 6 6 2" xfId="29124" xr:uid="{00000000-0005-0000-0000-0000A65B0000}"/>
    <cellStyle name="Normal 6 6 3" xfId="28819" xr:uid="{00000000-0005-0000-0000-0000A75B0000}"/>
    <cellStyle name="Normal 6 7" xfId="24160" xr:uid="{00000000-0005-0000-0000-0000A85B0000}"/>
    <cellStyle name="Normal 6 7 2" xfId="29125" xr:uid="{00000000-0005-0000-0000-0000A95B0000}"/>
    <cellStyle name="Normal 6 7 3" xfId="28820" xr:uid="{00000000-0005-0000-0000-0000AA5B0000}"/>
    <cellStyle name="Normal 6 8" xfId="24729" xr:uid="{00000000-0005-0000-0000-0000AB5B0000}"/>
    <cellStyle name="Normal 6 8 2" xfId="29126" xr:uid="{00000000-0005-0000-0000-0000AC5B0000}"/>
    <cellStyle name="Normal 6 8 3" xfId="28821" xr:uid="{00000000-0005-0000-0000-0000AD5B0000}"/>
    <cellStyle name="Normal 6 9" xfId="25045" xr:uid="{00000000-0005-0000-0000-0000AE5B0000}"/>
    <cellStyle name="Normal 6 9 2" xfId="29127" xr:uid="{00000000-0005-0000-0000-0000AF5B0000}"/>
    <cellStyle name="Normal 6 9 3" xfId="28822" xr:uid="{00000000-0005-0000-0000-0000B05B0000}"/>
    <cellStyle name="Normal 60" xfId="3297" xr:uid="{00000000-0005-0000-0000-0000B15B0000}"/>
    <cellStyle name="Normal 60 2" xfId="3298" xr:uid="{00000000-0005-0000-0000-0000B25B0000}"/>
    <cellStyle name="Normal 60 2 2" xfId="4532" xr:uid="{00000000-0005-0000-0000-0000B35B0000}"/>
    <cellStyle name="Normal 60 2 2 2" xfId="12511" xr:uid="{00000000-0005-0000-0000-0000B45B0000}"/>
    <cellStyle name="Normal 60 2 2 2 2" xfId="23799" xr:uid="{00000000-0005-0000-0000-0000B55B0000}"/>
    <cellStyle name="Normal 60 2 2 3" xfId="10517" xr:uid="{00000000-0005-0000-0000-0000B65B0000}"/>
    <cellStyle name="Normal 60 2 2 3 2" xfId="21805" xr:uid="{00000000-0005-0000-0000-0000B75B0000}"/>
    <cellStyle name="Normal 60 2 2 4" xfId="8523" xr:uid="{00000000-0005-0000-0000-0000B85B0000}"/>
    <cellStyle name="Normal 60 2 2 4 2" xfId="19811" xr:uid="{00000000-0005-0000-0000-0000B95B0000}"/>
    <cellStyle name="Normal 60 2 2 5" xfId="6529" xr:uid="{00000000-0005-0000-0000-0000BA5B0000}"/>
    <cellStyle name="Normal 60 2 2 5 2" xfId="17817" xr:uid="{00000000-0005-0000-0000-0000BB5B0000}"/>
    <cellStyle name="Normal 60 2 2 6" xfId="15823" xr:uid="{00000000-0005-0000-0000-0000BC5B0000}"/>
    <cellStyle name="Normal 60 2 3" xfId="11514" xr:uid="{00000000-0005-0000-0000-0000BD5B0000}"/>
    <cellStyle name="Normal 60 2 3 2" xfId="22802" xr:uid="{00000000-0005-0000-0000-0000BE5B0000}"/>
    <cellStyle name="Normal 60 2 4" xfId="9520" xr:uid="{00000000-0005-0000-0000-0000BF5B0000}"/>
    <cellStyle name="Normal 60 2 4 2" xfId="20808" xr:uid="{00000000-0005-0000-0000-0000C05B0000}"/>
    <cellStyle name="Normal 60 2 5" xfId="7526" xr:uid="{00000000-0005-0000-0000-0000C15B0000}"/>
    <cellStyle name="Normal 60 2 5 2" xfId="18814" xr:uid="{00000000-0005-0000-0000-0000C25B0000}"/>
    <cellStyle name="Normal 60 2 6" xfId="5532" xr:uid="{00000000-0005-0000-0000-0000C35B0000}"/>
    <cellStyle name="Normal 60 2 6 2" xfId="16820" xr:uid="{00000000-0005-0000-0000-0000C45B0000}"/>
    <cellStyle name="Normal 60 2 7" xfId="14826" xr:uid="{00000000-0005-0000-0000-0000C55B0000}"/>
    <cellStyle name="Normal 60 2 8" xfId="13510" xr:uid="{00000000-0005-0000-0000-0000C65B0000}"/>
    <cellStyle name="Normal 60 3" xfId="4531" xr:uid="{00000000-0005-0000-0000-0000C75B0000}"/>
    <cellStyle name="Normal 60 3 2" xfId="12510" xr:uid="{00000000-0005-0000-0000-0000C85B0000}"/>
    <cellStyle name="Normal 60 3 2 2" xfId="23798" xr:uid="{00000000-0005-0000-0000-0000C95B0000}"/>
    <cellStyle name="Normal 60 3 3" xfId="10516" xr:uid="{00000000-0005-0000-0000-0000CA5B0000}"/>
    <cellStyle name="Normal 60 3 3 2" xfId="21804" xr:uid="{00000000-0005-0000-0000-0000CB5B0000}"/>
    <cellStyle name="Normal 60 3 4" xfId="8522" xr:uid="{00000000-0005-0000-0000-0000CC5B0000}"/>
    <cellStyle name="Normal 60 3 4 2" xfId="19810" xr:uid="{00000000-0005-0000-0000-0000CD5B0000}"/>
    <cellStyle name="Normal 60 3 5" xfId="6528" xr:uid="{00000000-0005-0000-0000-0000CE5B0000}"/>
    <cellStyle name="Normal 60 3 5 2" xfId="17816" xr:uid="{00000000-0005-0000-0000-0000CF5B0000}"/>
    <cellStyle name="Normal 60 3 6" xfId="15822" xr:uid="{00000000-0005-0000-0000-0000D05B0000}"/>
    <cellStyle name="Normal 60 4" xfId="11513" xr:uid="{00000000-0005-0000-0000-0000D15B0000}"/>
    <cellStyle name="Normal 60 4 2" xfId="22801" xr:uid="{00000000-0005-0000-0000-0000D25B0000}"/>
    <cellStyle name="Normal 60 5" xfId="9519" xr:uid="{00000000-0005-0000-0000-0000D35B0000}"/>
    <cellStyle name="Normal 60 5 2" xfId="20807" xr:uid="{00000000-0005-0000-0000-0000D45B0000}"/>
    <cellStyle name="Normal 60 6" xfId="7525" xr:uid="{00000000-0005-0000-0000-0000D55B0000}"/>
    <cellStyle name="Normal 60 6 2" xfId="18813" xr:uid="{00000000-0005-0000-0000-0000D65B0000}"/>
    <cellStyle name="Normal 60 7" xfId="5531" xr:uid="{00000000-0005-0000-0000-0000D75B0000}"/>
    <cellStyle name="Normal 60 7 2" xfId="16819" xr:uid="{00000000-0005-0000-0000-0000D85B0000}"/>
    <cellStyle name="Normal 60 8" xfId="14825" xr:uid="{00000000-0005-0000-0000-0000D95B0000}"/>
    <cellStyle name="Normal 60 9" xfId="13509" xr:uid="{00000000-0005-0000-0000-0000DA5B0000}"/>
    <cellStyle name="Normal 604" xfId="25794" xr:uid="{00000000-0005-0000-0000-0000DB5B0000}"/>
    <cellStyle name="Normal 61" xfId="3299" xr:uid="{00000000-0005-0000-0000-0000DC5B0000}"/>
    <cellStyle name="Normal 61 2" xfId="4533" xr:uid="{00000000-0005-0000-0000-0000DD5B0000}"/>
    <cellStyle name="Normal 61 2 2" xfId="12512" xr:uid="{00000000-0005-0000-0000-0000DE5B0000}"/>
    <cellStyle name="Normal 61 2 2 2" xfId="23800" xr:uid="{00000000-0005-0000-0000-0000DF5B0000}"/>
    <cellStyle name="Normal 61 2 3" xfId="10518" xr:uid="{00000000-0005-0000-0000-0000E05B0000}"/>
    <cellStyle name="Normal 61 2 3 2" xfId="21806" xr:uid="{00000000-0005-0000-0000-0000E15B0000}"/>
    <cellStyle name="Normal 61 2 4" xfId="8524" xr:uid="{00000000-0005-0000-0000-0000E25B0000}"/>
    <cellStyle name="Normal 61 2 4 2" xfId="19812" xr:uid="{00000000-0005-0000-0000-0000E35B0000}"/>
    <cellStyle name="Normal 61 2 5" xfId="6530" xr:uid="{00000000-0005-0000-0000-0000E45B0000}"/>
    <cellStyle name="Normal 61 2 5 2" xfId="17818" xr:uid="{00000000-0005-0000-0000-0000E55B0000}"/>
    <cellStyle name="Normal 61 2 6" xfId="15824" xr:uid="{00000000-0005-0000-0000-0000E65B0000}"/>
    <cellStyle name="Normal 61 3" xfId="11515" xr:uid="{00000000-0005-0000-0000-0000E75B0000}"/>
    <cellStyle name="Normal 61 3 2" xfId="22803" xr:uid="{00000000-0005-0000-0000-0000E85B0000}"/>
    <cellStyle name="Normal 61 4" xfId="9521" xr:uid="{00000000-0005-0000-0000-0000E95B0000}"/>
    <cellStyle name="Normal 61 4 2" xfId="20809" xr:uid="{00000000-0005-0000-0000-0000EA5B0000}"/>
    <cellStyle name="Normal 61 5" xfId="7527" xr:uid="{00000000-0005-0000-0000-0000EB5B0000}"/>
    <cellStyle name="Normal 61 5 2" xfId="18815" xr:uid="{00000000-0005-0000-0000-0000EC5B0000}"/>
    <cellStyle name="Normal 61 6" xfId="5533" xr:uid="{00000000-0005-0000-0000-0000ED5B0000}"/>
    <cellStyle name="Normal 61 6 2" xfId="16821" xr:uid="{00000000-0005-0000-0000-0000EE5B0000}"/>
    <cellStyle name="Normal 61 7" xfId="14827" xr:uid="{00000000-0005-0000-0000-0000EF5B0000}"/>
    <cellStyle name="Normal 61 8" xfId="13511" xr:uid="{00000000-0005-0000-0000-0000F05B0000}"/>
    <cellStyle name="Normal 62" xfId="3300" xr:uid="{00000000-0005-0000-0000-0000F15B0000}"/>
    <cellStyle name="Normal 62 2" xfId="4534" xr:uid="{00000000-0005-0000-0000-0000F25B0000}"/>
    <cellStyle name="Normal 62 2 2" xfId="12513" xr:uid="{00000000-0005-0000-0000-0000F35B0000}"/>
    <cellStyle name="Normal 62 2 2 2" xfId="23801" xr:uid="{00000000-0005-0000-0000-0000F45B0000}"/>
    <cellStyle name="Normal 62 2 3" xfId="10519" xr:uid="{00000000-0005-0000-0000-0000F55B0000}"/>
    <cellStyle name="Normal 62 2 3 2" xfId="21807" xr:uid="{00000000-0005-0000-0000-0000F65B0000}"/>
    <cellStyle name="Normal 62 2 4" xfId="8525" xr:uid="{00000000-0005-0000-0000-0000F75B0000}"/>
    <cellStyle name="Normal 62 2 4 2" xfId="19813" xr:uid="{00000000-0005-0000-0000-0000F85B0000}"/>
    <cellStyle name="Normal 62 2 5" xfId="6531" xr:uid="{00000000-0005-0000-0000-0000F95B0000}"/>
    <cellStyle name="Normal 62 2 5 2" xfId="17819" xr:uid="{00000000-0005-0000-0000-0000FA5B0000}"/>
    <cellStyle name="Normal 62 2 6" xfId="15825" xr:uid="{00000000-0005-0000-0000-0000FB5B0000}"/>
    <cellStyle name="Normal 62 3" xfId="11516" xr:uid="{00000000-0005-0000-0000-0000FC5B0000}"/>
    <cellStyle name="Normal 62 3 2" xfId="22804" xr:uid="{00000000-0005-0000-0000-0000FD5B0000}"/>
    <cellStyle name="Normal 62 4" xfId="9522" xr:uid="{00000000-0005-0000-0000-0000FE5B0000}"/>
    <cellStyle name="Normal 62 4 2" xfId="20810" xr:uid="{00000000-0005-0000-0000-0000FF5B0000}"/>
    <cellStyle name="Normal 62 5" xfId="7528" xr:uid="{00000000-0005-0000-0000-0000005C0000}"/>
    <cellStyle name="Normal 62 5 2" xfId="18816" xr:uid="{00000000-0005-0000-0000-0000015C0000}"/>
    <cellStyle name="Normal 62 6" xfId="5534" xr:uid="{00000000-0005-0000-0000-0000025C0000}"/>
    <cellStyle name="Normal 62 6 2" xfId="16822" xr:uid="{00000000-0005-0000-0000-0000035C0000}"/>
    <cellStyle name="Normal 62 7" xfId="14828" xr:uid="{00000000-0005-0000-0000-0000045C0000}"/>
    <cellStyle name="Normal 62 8" xfId="13512" xr:uid="{00000000-0005-0000-0000-0000055C0000}"/>
    <cellStyle name="Normal 63" xfId="3301" xr:uid="{00000000-0005-0000-0000-0000065C0000}"/>
    <cellStyle name="Normal 63 2" xfId="4535" xr:uid="{00000000-0005-0000-0000-0000075C0000}"/>
    <cellStyle name="Normal 63 2 2" xfId="12514" xr:uid="{00000000-0005-0000-0000-0000085C0000}"/>
    <cellStyle name="Normal 63 2 2 2" xfId="23802" xr:uid="{00000000-0005-0000-0000-0000095C0000}"/>
    <cellStyle name="Normal 63 2 3" xfId="10520" xr:uid="{00000000-0005-0000-0000-00000A5C0000}"/>
    <cellStyle name="Normal 63 2 3 2" xfId="21808" xr:uid="{00000000-0005-0000-0000-00000B5C0000}"/>
    <cellStyle name="Normal 63 2 4" xfId="8526" xr:uid="{00000000-0005-0000-0000-00000C5C0000}"/>
    <cellStyle name="Normal 63 2 4 2" xfId="19814" xr:uid="{00000000-0005-0000-0000-00000D5C0000}"/>
    <cellStyle name="Normal 63 2 5" xfId="6532" xr:uid="{00000000-0005-0000-0000-00000E5C0000}"/>
    <cellStyle name="Normal 63 2 5 2" xfId="17820" xr:uid="{00000000-0005-0000-0000-00000F5C0000}"/>
    <cellStyle name="Normal 63 2 6" xfId="15826" xr:uid="{00000000-0005-0000-0000-0000105C0000}"/>
    <cellStyle name="Normal 63 3" xfId="11517" xr:uid="{00000000-0005-0000-0000-0000115C0000}"/>
    <cellStyle name="Normal 63 3 2" xfId="22805" xr:uid="{00000000-0005-0000-0000-0000125C0000}"/>
    <cellStyle name="Normal 63 4" xfId="9523" xr:uid="{00000000-0005-0000-0000-0000135C0000}"/>
    <cellStyle name="Normal 63 4 2" xfId="20811" xr:uid="{00000000-0005-0000-0000-0000145C0000}"/>
    <cellStyle name="Normal 63 5" xfId="7529" xr:uid="{00000000-0005-0000-0000-0000155C0000}"/>
    <cellStyle name="Normal 63 5 2" xfId="18817" xr:uid="{00000000-0005-0000-0000-0000165C0000}"/>
    <cellStyle name="Normal 63 6" xfId="5535" xr:uid="{00000000-0005-0000-0000-0000175C0000}"/>
    <cellStyle name="Normal 63 6 2" xfId="16823" xr:uid="{00000000-0005-0000-0000-0000185C0000}"/>
    <cellStyle name="Normal 63 7" xfId="14829" xr:uid="{00000000-0005-0000-0000-0000195C0000}"/>
    <cellStyle name="Normal 63 8" xfId="13513" xr:uid="{00000000-0005-0000-0000-00001A5C0000}"/>
    <cellStyle name="Normal 64" xfId="3302" xr:uid="{00000000-0005-0000-0000-00001B5C0000}"/>
    <cellStyle name="Normal 64 2" xfId="4536" xr:uid="{00000000-0005-0000-0000-00001C5C0000}"/>
    <cellStyle name="Normal 64 2 2" xfId="12515" xr:uid="{00000000-0005-0000-0000-00001D5C0000}"/>
    <cellStyle name="Normal 64 2 2 2" xfId="23803" xr:uid="{00000000-0005-0000-0000-00001E5C0000}"/>
    <cellStyle name="Normal 64 2 3" xfId="10521" xr:uid="{00000000-0005-0000-0000-00001F5C0000}"/>
    <cellStyle name="Normal 64 2 3 2" xfId="21809" xr:uid="{00000000-0005-0000-0000-0000205C0000}"/>
    <cellStyle name="Normal 64 2 4" xfId="8527" xr:uid="{00000000-0005-0000-0000-0000215C0000}"/>
    <cellStyle name="Normal 64 2 4 2" xfId="19815" xr:uid="{00000000-0005-0000-0000-0000225C0000}"/>
    <cellStyle name="Normal 64 2 5" xfId="6533" xr:uid="{00000000-0005-0000-0000-0000235C0000}"/>
    <cellStyle name="Normal 64 2 5 2" xfId="17821" xr:uid="{00000000-0005-0000-0000-0000245C0000}"/>
    <cellStyle name="Normal 64 2 6" xfId="15827" xr:uid="{00000000-0005-0000-0000-0000255C0000}"/>
    <cellStyle name="Normal 64 3" xfId="11518" xr:uid="{00000000-0005-0000-0000-0000265C0000}"/>
    <cellStyle name="Normal 64 3 2" xfId="22806" xr:uid="{00000000-0005-0000-0000-0000275C0000}"/>
    <cellStyle name="Normal 64 4" xfId="9524" xr:uid="{00000000-0005-0000-0000-0000285C0000}"/>
    <cellStyle name="Normal 64 4 2" xfId="20812" xr:uid="{00000000-0005-0000-0000-0000295C0000}"/>
    <cellStyle name="Normal 64 5" xfId="7530" xr:uid="{00000000-0005-0000-0000-00002A5C0000}"/>
    <cellStyle name="Normal 64 5 2" xfId="18818" xr:uid="{00000000-0005-0000-0000-00002B5C0000}"/>
    <cellStyle name="Normal 64 6" xfId="5536" xr:uid="{00000000-0005-0000-0000-00002C5C0000}"/>
    <cellStyle name="Normal 64 6 2" xfId="16824" xr:uid="{00000000-0005-0000-0000-00002D5C0000}"/>
    <cellStyle name="Normal 64 7" xfId="14830" xr:uid="{00000000-0005-0000-0000-00002E5C0000}"/>
    <cellStyle name="Normal 64 8" xfId="13514" xr:uid="{00000000-0005-0000-0000-00002F5C0000}"/>
    <cellStyle name="Normal 65" xfId="3303" xr:uid="{00000000-0005-0000-0000-0000305C0000}"/>
    <cellStyle name="Normal 65 2" xfId="4537" xr:uid="{00000000-0005-0000-0000-0000315C0000}"/>
    <cellStyle name="Normal 65 2 2" xfId="12516" xr:uid="{00000000-0005-0000-0000-0000325C0000}"/>
    <cellStyle name="Normal 65 2 2 2" xfId="23804" xr:uid="{00000000-0005-0000-0000-0000335C0000}"/>
    <cellStyle name="Normal 65 2 3" xfId="10522" xr:uid="{00000000-0005-0000-0000-0000345C0000}"/>
    <cellStyle name="Normal 65 2 3 2" xfId="21810" xr:uid="{00000000-0005-0000-0000-0000355C0000}"/>
    <cellStyle name="Normal 65 2 4" xfId="8528" xr:uid="{00000000-0005-0000-0000-0000365C0000}"/>
    <cellStyle name="Normal 65 2 4 2" xfId="19816" xr:uid="{00000000-0005-0000-0000-0000375C0000}"/>
    <cellStyle name="Normal 65 2 5" xfId="6534" xr:uid="{00000000-0005-0000-0000-0000385C0000}"/>
    <cellStyle name="Normal 65 2 5 2" xfId="17822" xr:uid="{00000000-0005-0000-0000-0000395C0000}"/>
    <cellStyle name="Normal 65 2 6" xfId="15828" xr:uid="{00000000-0005-0000-0000-00003A5C0000}"/>
    <cellStyle name="Normal 65 3" xfId="11519" xr:uid="{00000000-0005-0000-0000-00003B5C0000}"/>
    <cellStyle name="Normal 65 3 2" xfId="22807" xr:uid="{00000000-0005-0000-0000-00003C5C0000}"/>
    <cellStyle name="Normal 65 4" xfId="9525" xr:uid="{00000000-0005-0000-0000-00003D5C0000}"/>
    <cellStyle name="Normal 65 4 2" xfId="20813" xr:uid="{00000000-0005-0000-0000-00003E5C0000}"/>
    <cellStyle name="Normal 65 5" xfId="7531" xr:uid="{00000000-0005-0000-0000-00003F5C0000}"/>
    <cellStyle name="Normal 65 5 2" xfId="18819" xr:uid="{00000000-0005-0000-0000-0000405C0000}"/>
    <cellStyle name="Normal 65 6" xfId="5537" xr:uid="{00000000-0005-0000-0000-0000415C0000}"/>
    <cellStyle name="Normal 65 6 2" xfId="16825" xr:uid="{00000000-0005-0000-0000-0000425C0000}"/>
    <cellStyle name="Normal 65 7" xfId="14831" xr:uid="{00000000-0005-0000-0000-0000435C0000}"/>
    <cellStyle name="Normal 65 8" xfId="13515" xr:uid="{00000000-0005-0000-0000-0000445C0000}"/>
    <cellStyle name="Normal 66" xfId="3304" xr:uid="{00000000-0005-0000-0000-0000455C0000}"/>
    <cellStyle name="Normal 66 2" xfId="3305" xr:uid="{00000000-0005-0000-0000-0000465C0000}"/>
    <cellStyle name="Normal 66 2 2" xfId="4539" xr:uid="{00000000-0005-0000-0000-0000475C0000}"/>
    <cellStyle name="Normal 66 2 2 2" xfId="12518" xr:uid="{00000000-0005-0000-0000-0000485C0000}"/>
    <cellStyle name="Normal 66 2 2 2 2" xfId="23806" xr:uid="{00000000-0005-0000-0000-0000495C0000}"/>
    <cellStyle name="Normal 66 2 2 3" xfId="10524" xr:uid="{00000000-0005-0000-0000-00004A5C0000}"/>
    <cellStyle name="Normal 66 2 2 3 2" xfId="21812" xr:uid="{00000000-0005-0000-0000-00004B5C0000}"/>
    <cellStyle name="Normal 66 2 2 4" xfId="8530" xr:uid="{00000000-0005-0000-0000-00004C5C0000}"/>
    <cellStyle name="Normal 66 2 2 4 2" xfId="19818" xr:uid="{00000000-0005-0000-0000-00004D5C0000}"/>
    <cellStyle name="Normal 66 2 2 5" xfId="6536" xr:uid="{00000000-0005-0000-0000-00004E5C0000}"/>
    <cellStyle name="Normal 66 2 2 5 2" xfId="17824" xr:uid="{00000000-0005-0000-0000-00004F5C0000}"/>
    <cellStyle name="Normal 66 2 2 6" xfId="15830" xr:uid="{00000000-0005-0000-0000-0000505C0000}"/>
    <cellStyle name="Normal 66 2 3" xfId="11521" xr:uid="{00000000-0005-0000-0000-0000515C0000}"/>
    <cellStyle name="Normal 66 2 3 2" xfId="22809" xr:uid="{00000000-0005-0000-0000-0000525C0000}"/>
    <cellStyle name="Normal 66 2 4" xfId="9527" xr:uid="{00000000-0005-0000-0000-0000535C0000}"/>
    <cellStyle name="Normal 66 2 4 2" xfId="20815" xr:uid="{00000000-0005-0000-0000-0000545C0000}"/>
    <cellStyle name="Normal 66 2 5" xfId="7533" xr:uid="{00000000-0005-0000-0000-0000555C0000}"/>
    <cellStyle name="Normal 66 2 5 2" xfId="18821" xr:uid="{00000000-0005-0000-0000-0000565C0000}"/>
    <cellStyle name="Normal 66 2 6" xfId="5539" xr:uid="{00000000-0005-0000-0000-0000575C0000}"/>
    <cellStyle name="Normal 66 2 6 2" xfId="16827" xr:uid="{00000000-0005-0000-0000-0000585C0000}"/>
    <cellStyle name="Normal 66 2 7" xfId="14833" xr:uid="{00000000-0005-0000-0000-0000595C0000}"/>
    <cellStyle name="Normal 66 2 8" xfId="13517" xr:uid="{00000000-0005-0000-0000-00005A5C0000}"/>
    <cellStyle name="Normal 66 3" xfId="4538" xr:uid="{00000000-0005-0000-0000-00005B5C0000}"/>
    <cellStyle name="Normal 66 3 2" xfId="12517" xr:uid="{00000000-0005-0000-0000-00005C5C0000}"/>
    <cellStyle name="Normal 66 3 2 2" xfId="23805" xr:uid="{00000000-0005-0000-0000-00005D5C0000}"/>
    <cellStyle name="Normal 66 3 3" xfId="10523" xr:uid="{00000000-0005-0000-0000-00005E5C0000}"/>
    <cellStyle name="Normal 66 3 3 2" xfId="21811" xr:uid="{00000000-0005-0000-0000-00005F5C0000}"/>
    <cellStyle name="Normal 66 3 4" xfId="8529" xr:uid="{00000000-0005-0000-0000-0000605C0000}"/>
    <cellStyle name="Normal 66 3 4 2" xfId="19817" xr:uid="{00000000-0005-0000-0000-0000615C0000}"/>
    <cellStyle name="Normal 66 3 5" xfId="6535" xr:uid="{00000000-0005-0000-0000-0000625C0000}"/>
    <cellStyle name="Normal 66 3 5 2" xfId="17823" xr:uid="{00000000-0005-0000-0000-0000635C0000}"/>
    <cellStyle name="Normal 66 3 6" xfId="15829" xr:uid="{00000000-0005-0000-0000-0000645C0000}"/>
    <cellStyle name="Normal 66 4" xfId="11520" xr:uid="{00000000-0005-0000-0000-0000655C0000}"/>
    <cellStyle name="Normal 66 4 2" xfId="22808" xr:uid="{00000000-0005-0000-0000-0000665C0000}"/>
    <cellStyle name="Normal 66 5" xfId="9526" xr:uid="{00000000-0005-0000-0000-0000675C0000}"/>
    <cellStyle name="Normal 66 5 2" xfId="20814" xr:uid="{00000000-0005-0000-0000-0000685C0000}"/>
    <cellStyle name="Normal 66 6" xfId="7532" xr:uid="{00000000-0005-0000-0000-0000695C0000}"/>
    <cellStyle name="Normal 66 6 2" xfId="18820" xr:uid="{00000000-0005-0000-0000-00006A5C0000}"/>
    <cellStyle name="Normal 66 7" xfId="5538" xr:uid="{00000000-0005-0000-0000-00006B5C0000}"/>
    <cellStyle name="Normal 66 7 2" xfId="16826" xr:uid="{00000000-0005-0000-0000-00006C5C0000}"/>
    <cellStyle name="Normal 66 8" xfId="14832" xr:uid="{00000000-0005-0000-0000-00006D5C0000}"/>
    <cellStyle name="Normal 66 9" xfId="13516" xr:uid="{00000000-0005-0000-0000-00006E5C0000}"/>
    <cellStyle name="Normal 67" xfId="3306" xr:uid="{00000000-0005-0000-0000-00006F5C0000}"/>
    <cellStyle name="Normal 67 2" xfId="4540" xr:uid="{00000000-0005-0000-0000-0000705C0000}"/>
    <cellStyle name="Normal 67 2 2" xfId="12519" xr:uid="{00000000-0005-0000-0000-0000715C0000}"/>
    <cellStyle name="Normal 67 2 2 2" xfId="23807" xr:uid="{00000000-0005-0000-0000-0000725C0000}"/>
    <cellStyle name="Normal 67 2 3" xfId="10525" xr:uid="{00000000-0005-0000-0000-0000735C0000}"/>
    <cellStyle name="Normal 67 2 3 2" xfId="21813" xr:uid="{00000000-0005-0000-0000-0000745C0000}"/>
    <cellStyle name="Normal 67 2 4" xfId="8531" xr:uid="{00000000-0005-0000-0000-0000755C0000}"/>
    <cellStyle name="Normal 67 2 4 2" xfId="19819" xr:uid="{00000000-0005-0000-0000-0000765C0000}"/>
    <cellStyle name="Normal 67 2 5" xfId="6537" xr:uid="{00000000-0005-0000-0000-0000775C0000}"/>
    <cellStyle name="Normal 67 2 5 2" xfId="17825" xr:uid="{00000000-0005-0000-0000-0000785C0000}"/>
    <cellStyle name="Normal 67 2 6" xfId="15831" xr:uid="{00000000-0005-0000-0000-0000795C0000}"/>
    <cellStyle name="Normal 67 3" xfId="11522" xr:uid="{00000000-0005-0000-0000-00007A5C0000}"/>
    <cellStyle name="Normal 67 3 2" xfId="22810" xr:uid="{00000000-0005-0000-0000-00007B5C0000}"/>
    <cellStyle name="Normal 67 4" xfId="9528" xr:uid="{00000000-0005-0000-0000-00007C5C0000}"/>
    <cellStyle name="Normal 67 4 2" xfId="20816" xr:uid="{00000000-0005-0000-0000-00007D5C0000}"/>
    <cellStyle name="Normal 67 5" xfId="7534" xr:uid="{00000000-0005-0000-0000-00007E5C0000}"/>
    <cellStyle name="Normal 67 5 2" xfId="18822" xr:uid="{00000000-0005-0000-0000-00007F5C0000}"/>
    <cellStyle name="Normal 67 6" xfId="5540" xr:uid="{00000000-0005-0000-0000-0000805C0000}"/>
    <cellStyle name="Normal 67 6 2" xfId="16828" xr:uid="{00000000-0005-0000-0000-0000815C0000}"/>
    <cellStyle name="Normal 67 7" xfId="14834" xr:uid="{00000000-0005-0000-0000-0000825C0000}"/>
    <cellStyle name="Normal 67 8" xfId="13518" xr:uid="{00000000-0005-0000-0000-0000835C0000}"/>
    <cellStyle name="Normal 68" xfId="3307" xr:uid="{00000000-0005-0000-0000-0000845C0000}"/>
    <cellStyle name="Normal 68 2" xfId="4541" xr:uid="{00000000-0005-0000-0000-0000855C0000}"/>
    <cellStyle name="Normal 68 2 2" xfId="12520" xr:uid="{00000000-0005-0000-0000-0000865C0000}"/>
    <cellStyle name="Normal 68 2 2 2" xfId="23808" xr:uid="{00000000-0005-0000-0000-0000875C0000}"/>
    <cellStyle name="Normal 68 2 3" xfId="10526" xr:uid="{00000000-0005-0000-0000-0000885C0000}"/>
    <cellStyle name="Normal 68 2 3 2" xfId="21814" xr:uid="{00000000-0005-0000-0000-0000895C0000}"/>
    <cellStyle name="Normal 68 2 4" xfId="8532" xr:uid="{00000000-0005-0000-0000-00008A5C0000}"/>
    <cellStyle name="Normal 68 2 4 2" xfId="19820" xr:uid="{00000000-0005-0000-0000-00008B5C0000}"/>
    <cellStyle name="Normal 68 2 5" xfId="6538" xr:uid="{00000000-0005-0000-0000-00008C5C0000}"/>
    <cellStyle name="Normal 68 2 5 2" xfId="17826" xr:uid="{00000000-0005-0000-0000-00008D5C0000}"/>
    <cellStyle name="Normal 68 2 6" xfId="15832" xr:uid="{00000000-0005-0000-0000-00008E5C0000}"/>
    <cellStyle name="Normal 68 3" xfId="11523" xr:uid="{00000000-0005-0000-0000-00008F5C0000}"/>
    <cellStyle name="Normal 68 3 2" xfId="22811" xr:uid="{00000000-0005-0000-0000-0000905C0000}"/>
    <cellStyle name="Normal 68 4" xfId="9529" xr:uid="{00000000-0005-0000-0000-0000915C0000}"/>
    <cellStyle name="Normal 68 4 2" xfId="20817" xr:uid="{00000000-0005-0000-0000-0000925C0000}"/>
    <cellStyle name="Normal 68 5" xfId="7535" xr:uid="{00000000-0005-0000-0000-0000935C0000}"/>
    <cellStyle name="Normal 68 5 2" xfId="18823" xr:uid="{00000000-0005-0000-0000-0000945C0000}"/>
    <cellStyle name="Normal 68 6" xfId="5541" xr:uid="{00000000-0005-0000-0000-0000955C0000}"/>
    <cellStyle name="Normal 68 6 2" xfId="16829" xr:uid="{00000000-0005-0000-0000-0000965C0000}"/>
    <cellStyle name="Normal 68 7" xfId="14835" xr:uid="{00000000-0005-0000-0000-0000975C0000}"/>
    <cellStyle name="Normal 68 8" xfId="13519" xr:uid="{00000000-0005-0000-0000-0000985C0000}"/>
    <cellStyle name="Normal 69" xfId="3308" xr:uid="{00000000-0005-0000-0000-0000995C0000}"/>
    <cellStyle name="Normal 69 2" xfId="4542" xr:uid="{00000000-0005-0000-0000-00009A5C0000}"/>
    <cellStyle name="Normal 69 2 2" xfId="12521" xr:uid="{00000000-0005-0000-0000-00009B5C0000}"/>
    <cellStyle name="Normal 69 2 2 2" xfId="23809" xr:uid="{00000000-0005-0000-0000-00009C5C0000}"/>
    <cellStyle name="Normal 69 2 3" xfId="10527" xr:uid="{00000000-0005-0000-0000-00009D5C0000}"/>
    <cellStyle name="Normal 69 2 3 2" xfId="21815" xr:uid="{00000000-0005-0000-0000-00009E5C0000}"/>
    <cellStyle name="Normal 69 2 4" xfId="8533" xr:uid="{00000000-0005-0000-0000-00009F5C0000}"/>
    <cellStyle name="Normal 69 2 4 2" xfId="19821" xr:uid="{00000000-0005-0000-0000-0000A05C0000}"/>
    <cellStyle name="Normal 69 2 5" xfId="6539" xr:uid="{00000000-0005-0000-0000-0000A15C0000}"/>
    <cellStyle name="Normal 69 2 5 2" xfId="17827" xr:uid="{00000000-0005-0000-0000-0000A25C0000}"/>
    <cellStyle name="Normal 69 2 6" xfId="15833" xr:uid="{00000000-0005-0000-0000-0000A35C0000}"/>
    <cellStyle name="Normal 69 3" xfId="11524" xr:uid="{00000000-0005-0000-0000-0000A45C0000}"/>
    <cellStyle name="Normal 69 3 2" xfId="22812" xr:uid="{00000000-0005-0000-0000-0000A55C0000}"/>
    <cellStyle name="Normal 69 4" xfId="9530" xr:uid="{00000000-0005-0000-0000-0000A65C0000}"/>
    <cellStyle name="Normal 69 4 2" xfId="20818" xr:uid="{00000000-0005-0000-0000-0000A75C0000}"/>
    <cellStyle name="Normal 69 5" xfId="7536" xr:uid="{00000000-0005-0000-0000-0000A85C0000}"/>
    <cellStyle name="Normal 69 5 2" xfId="18824" xr:uid="{00000000-0005-0000-0000-0000A95C0000}"/>
    <cellStyle name="Normal 69 6" xfId="5542" xr:uid="{00000000-0005-0000-0000-0000AA5C0000}"/>
    <cellStyle name="Normal 69 6 2" xfId="16830" xr:uid="{00000000-0005-0000-0000-0000AB5C0000}"/>
    <cellStyle name="Normal 69 7" xfId="14836" xr:uid="{00000000-0005-0000-0000-0000AC5C0000}"/>
    <cellStyle name="Normal 69 8" xfId="13520" xr:uid="{00000000-0005-0000-0000-0000AD5C0000}"/>
    <cellStyle name="Normal 7" xfId="58" xr:uid="{00000000-0005-0000-0000-0000AE5C0000}"/>
    <cellStyle name="Normal 7 10" xfId="24166" xr:uid="{00000000-0005-0000-0000-0000AF5C0000}"/>
    <cellStyle name="Normal 7 10 2" xfId="29128" xr:uid="{00000000-0005-0000-0000-0000B05C0000}"/>
    <cellStyle name="Normal 7 10 3" xfId="28823" xr:uid="{00000000-0005-0000-0000-0000B15C0000}"/>
    <cellStyle name="Normal 7 11" xfId="24735" xr:uid="{00000000-0005-0000-0000-0000B25C0000}"/>
    <cellStyle name="Normal 7 11 2" xfId="29129" xr:uid="{00000000-0005-0000-0000-0000B35C0000}"/>
    <cellStyle name="Normal 7 11 3" xfId="28824" xr:uid="{00000000-0005-0000-0000-0000B45C0000}"/>
    <cellStyle name="Normal 7 12" xfId="25051" xr:uid="{00000000-0005-0000-0000-0000B55C0000}"/>
    <cellStyle name="Normal 7 12 2" xfId="29130" xr:uid="{00000000-0005-0000-0000-0000B65C0000}"/>
    <cellStyle name="Normal 7 12 3" xfId="28825" xr:uid="{00000000-0005-0000-0000-0000B75C0000}"/>
    <cellStyle name="Normal 7 13" xfId="25775" xr:uid="{00000000-0005-0000-0000-0000B85C0000}"/>
    <cellStyle name="Normal 7 13 2" xfId="29131" xr:uid="{00000000-0005-0000-0000-0000B95C0000}"/>
    <cellStyle name="Normal 7 14" xfId="29167" xr:uid="{00000000-0005-0000-0000-0000BA5C0000}"/>
    <cellStyle name="Normal 7 2" xfId="4543" xr:uid="{00000000-0005-0000-0000-0000BB5C0000}"/>
    <cellStyle name="Normal 7 2 10" xfId="28826" xr:uid="{00000000-0005-0000-0000-0000BC5C0000}"/>
    <cellStyle name="Normal 7 2 2" xfId="12522" xr:uid="{00000000-0005-0000-0000-0000BD5C0000}"/>
    <cellStyle name="Normal 7 2 2 2" xfId="23810" xr:uid="{00000000-0005-0000-0000-0000BE5C0000}"/>
    <cellStyle name="Normal 7 2 2 2 2" xfId="24440" xr:uid="{00000000-0005-0000-0000-0000BF5C0000}"/>
    <cellStyle name="Normal 7 2 2 2 3" xfId="24884" xr:uid="{00000000-0005-0000-0000-0000C05C0000}"/>
    <cellStyle name="Normal 7 2 2 2 4" xfId="25247" xr:uid="{00000000-0005-0000-0000-0000C15C0000}"/>
    <cellStyle name="Normal 7 2 2 3" xfId="24168" xr:uid="{00000000-0005-0000-0000-0000C25C0000}"/>
    <cellStyle name="Normal 7 2 2 4" xfId="24737" xr:uid="{00000000-0005-0000-0000-0000C35C0000}"/>
    <cellStyle name="Normal 7 2 2 5" xfId="25053" xr:uid="{00000000-0005-0000-0000-0000C45C0000}"/>
    <cellStyle name="Normal 7 2 2 6" xfId="29132" xr:uid="{00000000-0005-0000-0000-0000C55C0000}"/>
    <cellStyle name="Normal 7 2 3" xfId="10528" xr:uid="{00000000-0005-0000-0000-0000C65C0000}"/>
    <cellStyle name="Normal 7 2 3 2" xfId="21816" xr:uid="{00000000-0005-0000-0000-0000C75C0000}"/>
    <cellStyle name="Normal 7 2 3 3" xfId="24439" xr:uid="{00000000-0005-0000-0000-0000C85C0000}"/>
    <cellStyle name="Normal 7 2 3 4" xfId="24883" xr:uid="{00000000-0005-0000-0000-0000C95C0000}"/>
    <cellStyle name="Normal 7 2 3 5" xfId="25246" xr:uid="{00000000-0005-0000-0000-0000CA5C0000}"/>
    <cellStyle name="Normal 7 2 4" xfId="8534" xr:uid="{00000000-0005-0000-0000-0000CB5C0000}"/>
    <cellStyle name="Normal 7 2 4 2" xfId="19822" xr:uid="{00000000-0005-0000-0000-0000CC5C0000}"/>
    <cellStyle name="Normal 7 2 5" xfId="6540" xr:uid="{00000000-0005-0000-0000-0000CD5C0000}"/>
    <cellStyle name="Normal 7 2 5 2" xfId="17828" xr:uid="{00000000-0005-0000-0000-0000CE5C0000}"/>
    <cellStyle name="Normal 7 2 6" xfId="15834" xr:uid="{00000000-0005-0000-0000-0000CF5C0000}"/>
    <cellStyle name="Normal 7 2 7" xfId="24167" xr:uid="{00000000-0005-0000-0000-0000D05C0000}"/>
    <cellStyle name="Normal 7 2 8" xfId="24736" xr:uid="{00000000-0005-0000-0000-0000D15C0000}"/>
    <cellStyle name="Normal 7 2 9" xfId="25052" xr:uid="{00000000-0005-0000-0000-0000D25C0000}"/>
    <cellStyle name="Normal 7 3" xfId="11525" xr:uid="{00000000-0005-0000-0000-0000D35C0000}"/>
    <cellStyle name="Normal 7 3 2" xfId="22813" xr:uid="{00000000-0005-0000-0000-0000D45C0000}"/>
    <cellStyle name="Normal 7 3 2 2" xfId="24442" xr:uid="{00000000-0005-0000-0000-0000D55C0000}"/>
    <cellStyle name="Normal 7 3 2 2 2" xfId="24886" xr:uid="{00000000-0005-0000-0000-0000D65C0000}"/>
    <cellStyle name="Normal 7 3 2 2 3" xfId="25249" xr:uid="{00000000-0005-0000-0000-0000D75C0000}"/>
    <cellStyle name="Normal 7 3 2 3" xfId="24170" xr:uid="{00000000-0005-0000-0000-0000D85C0000}"/>
    <cellStyle name="Normal 7 3 2 4" xfId="24739" xr:uid="{00000000-0005-0000-0000-0000D95C0000}"/>
    <cellStyle name="Normal 7 3 2 5" xfId="25055" xr:uid="{00000000-0005-0000-0000-0000DA5C0000}"/>
    <cellStyle name="Normal 7 3 2 6" xfId="29133" xr:uid="{00000000-0005-0000-0000-0000DB5C0000}"/>
    <cellStyle name="Normal 7 3 3" xfId="24441" xr:uid="{00000000-0005-0000-0000-0000DC5C0000}"/>
    <cellStyle name="Normal 7 3 3 2" xfId="24885" xr:uid="{00000000-0005-0000-0000-0000DD5C0000}"/>
    <cellStyle name="Normal 7 3 3 3" xfId="25248" xr:uid="{00000000-0005-0000-0000-0000DE5C0000}"/>
    <cellStyle name="Normal 7 3 4" xfId="24169" xr:uid="{00000000-0005-0000-0000-0000DF5C0000}"/>
    <cellStyle name="Normal 7 3 5" xfId="24738" xr:uid="{00000000-0005-0000-0000-0000E05C0000}"/>
    <cellStyle name="Normal 7 3 6" xfId="25054" xr:uid="{00000000-0005-0000-0000-0000E15C0000}"/>
    <cellStyle name="Normal 7 3 7" xfId="28827" xr:uid="{00000000-0005-0000-0000-0000E25C0000}"/>
    <cellStyle name="Normal 7 4" xfId="9531" xr:uid="{00000000-0005-0000-0000-0000E35C0000}"/>
    <cellStyle name="Normal 7 4 2" xfId="20819" xr:uid="{00000000-0005-0000-0000-0000E45C0000}"/>
    <cellStyle name="Normal 7 4 2 2" xfId="24443" xr:uid="{00000000-0005-0000-0000-0000E55C0000}"/>
    <cellStyle name="Normal 7 4 2 3" xfId="24887" xr:uid="{00000000-0005-0000-0000-0000E65C0000}"/>
    <cellStyle name="Normal 7 4 2 4" xfId="25250" xr:uid="{00000000-0005-0000-0000-0000E75C0000}"/>
    <cellStyle name="Normal 7 4 2 5" xfId="29134" xr:uid="{00000000-0005-0000-0000-0000E85C0000}"/>
    <cellStyle name="Normal 7 4 3" xfId="24171" xr:uid="{00000000-0005-0000-0000-0000E95C0000}"/>
    <cellStyle name="Normal 7 4 4" xfId="24740" xr:uid="{00000000-0005-0000-0000-0000EA5C0000}"/>
    <cellStyle name="Normal 7 4 5" xfId="25056" xr:uid="{00000000-0005-0000-0000-0000EB5C0000}"/>
    <cellStyle name="Normal 7 4 6" xfId="28828" xr:uid="{00000000-0005-0000-0000-0000EC5C0000}"/>
    <cellStyle name="Normal 7 5" xfId="7537" xr:uid="{00000000-0005-0000-0000-0000ED5C0000}"/>
    <cellStyle name="Normal 7 5 2" xfId="18825" xr:uid="{00000000-0005-0000-0000-0000EE5C0000}"/>
    <cellStyle name="Normal 7 5 2 2" xfId="29135" xr:uid="{00000000-0005-0000-0000-0000EF5C0000}"/>
    <cellStyle name="Normal 7 5 3" xfId="24438" xr:uid="{00000000-0005-0000-0000-0000F05C0000}"/>
    <cellStyle name="Normal 7 5 4" xfId="24882" xr:uid="{00000000-0005-0000-0000-0000F15C0000}"/>
    <cellStyle name="Normal 7 5 5" xfId="25245" xr:uid="{00000000-0005-0000-0000-0000F25C0000}"/>
    <cellStyle name="Normal 7 5 6" xfId="28829" xr:uid="{00000000-0005-0000-0000-0000F35C0000}"/>
    <cellStyle name="Normal 7 6" xfId="5543" xr:uid="{00000000-0005-0000-0000-0000F45C0000}"/>
    <cellStyle name="Normal 7 6 2" xfId="16831" xr:uid="{00000000-0005-0000-0000-0000F55C0000}"/>
    <cellStyle name="Normal 7 6 2 2" xfId="29136" xr:uid="{00000000-0005-0000-0000-0000F65C0000}"/>
    <cellStyle name="Normal 7 6 3" xfId="28830" xr:uid="{00000000-0005-0000-0000-0000F75C0000}"/>
    <cellStyle name="Normal 7 7" xfId="3309" xr:uid="{00000000-0005-0000-0000-0000F85C0000}"/>
    <cellStyle name="Normal 7 7 2" xfId="14837" xr:uid="{00000000-0005-0000-0000-0000F95C0000}"/>
    <cellStyle name="Normal 7 7 2 2" xfId="29137" xr:uid="{00000000-0005-0000-0000-0000FA5C0000}"/>
    <cellStyle name="Normal 7 7 3" xfId="28831" xr:uid="{00000000-0005-0000-0000-0000FB5C0000}"/>
    <cellStyle name="Normal 7 8" xfId="13616" xr:uid="{00000000-0005-0000-0000-0000FC5C0000}"/>
    <cellStyle name="Normal 7 8 2" xfId="29138" xr:uid="{00000000-0005-0000-0000-0000FD5C0000}"/>
    <cellStyle name="Normal 7 8 3" xfId="28832" xr:uid="{00000000-0005-0000-0000-0000FE5C0000}"/>
    <cellStyle name="Normal 7 9" xfId="13521" xr:uid="{00000000-0005-0000-0000-0000FF5C0000}"/>
    <cellStyle name="Normal 7 9 2" xfId="29139" xr:uid="{00000000-0005-0000-0000-0000005D0000}"/>
    <cellStyle name="Normal 7 9 3" xfId="28833" xr:uid="{00000000-0005-0000-0000-0000015D0000}"/>
    <cellStyle name="Normal 70" xfId="3310" xr:uid="{00000000-0005-0000-0000-0000025D0000}"/>
    <cellStyle name="Normal 70 2" xfId="4544" xr:uid="{00000000-0005-0000-0000-0000035D0000}"/>
    <cellStyle name="Normal 70 2 2" xfId="12523" xr:uid="{00000000-0005-0000-0000-0000045D0000}"/>
    <cellStyle name="Normal 70 2 2 2" xfId="23811" xr:uid="{00000000-0005-0000-0000-0000055D0000}"/>
    <cellStyle name="Normal 70 2 3" xfId="10529" xr:uid="{00000000-0005-0000-0000-0000065D0000}"/>
    <cellStyle name="Normal 70 2 3 2" xfId="21817" xr:uid="{00000000-0005-0000-0000-0000075D0000}"/>
    <cellStyle name="Normal 70 2 4" xfId="8535" xr:uid="{00000000-0005-0000-0000-0000085D0000}"/>
    <cellStyle name="Normal 70 2 4 2" xfId="19823" xr:uid="{00000000-0005-0000-0000-0000095D0000}"/>
    <cellStyle name="Normal 70 2 5" xfId="6541" xr:uid="{00000000-0005-0000-0000-00000A5D0000}"/>
    <cellStyle name="Normal 70 2 5 2" xfId="17829" xr:uid="{00000000-0005-0000-0000-00000B5D0000}"/>
    <cellStyle name="Normal 70 2 6" xfId="15835" xr:uid="{00000000-0005-0000-0000-00000C5D0000}"/>
    <cellStyle name="Normal 70 3" xfId="11526" xr:uid="{00000000-0005-0000-0000-00000D5D0000}"/>
    <cellStyle name="Normal 70 3 2" xfId="22814" xr:uid="{00000000-0005-0000-0000-00000E5D0000}"/>
    <cellStyle name="Normal 70 4" xfId="9532" xr:uid="{00000000-0005-0000-0000-00000F5D0000}"/>
    <cellStyle name="Normal 70 4 2" xfId="20820" xr:uid="{00000000-0005-0000-0000-0000105D0000}"/>
    <cellStyle name="Normal 70 5" xfId="7538" xr:uid="{00000000-0005-0000-0000-0000115D0000}"/>
    <cellStyle name="Normal 70 5 2" xfId="18826" xr:uid="{00000000-0005-0000-0000-0000125D0000}"/>
    <cellStyle name="Normal 70 6" xfId="5544" xr:uid="{00000000-0005-0000-0000-0000135D0000}"/>
    <cellStyle name="Normal 70 6 2" xfId="16832" xr:uid="{00000000-0005-0000-0000-0000145D0000}"/>
    <cellStyle name="Normal 70 7" xfId="14838" xr:uid="{00000000-0005-0000-0000-0000155D0000}"/>
    <cellStyle name="Normal 70 8" xfId="13522" xr:uid="{00000000-0005-0000-0000-0000165D0000}"/>
    <cellStyle name="Normal 71" xfId="3311" xr:uid="{00000000-0005-0000-0000-0000175D0000}"/>
    <cellStyle name="Normal 71 2" xfId="4545" xr:uid="{00000000-0005-0000-0000-0000185D0000}"/>
    <cellStyle name="Normal 71 2 2" xfId="12524" xr:uid="{00000000-0005-0000-0000-0000195D0000}"/>
    <cellStyle name="Normal 71 2 2 2" xfId="23812" xr:uid="{00000000-0005-0000-0000-00001A5D0000}"/>
    <cellStyle name="Normal 71 2 3" xfId="10530" xr:uid="{00000000-0005-0000-0000-00001B5D0000}"/>
    <cellStyle name="Normal 71 2 3 2" xfId="21818" xr:uid="{00000000-0005-0000-0000-00001C5D0000}"/>
    <cellStyle name="Normal 71 2 4" xfId="8536" xr:uid="{00000000-0005-0000-0000-00001D5D0000}"/>
    <cellStyle name="Normal 71 2 4 2" xfId="19824" xr:uid="{00000000-0005-0000-0000-00001E5D0000}"/>
    <cellStyle name="Normal 71 2 5" xfId="6542" xr:uid="{00000000-0005-0000-0000-00001F5D0000}"/>
    <cellStyle name="Normal 71 2 5 2" xfId="17830" xr:uid="{00000000-0005-0000-0000-0000205D0000}"/>
    <cellStyle name="Normal 71 2 6" xfId="15836" xr:uid="{00000000-0005-0000-0000-0000215D0000}"/>
    <cellStyle name="Normal 71 3" xfId="11527" xr:uid="{00000000-0005-0000-0000-0000225D0000}"/>
    <cellStyle name="Normal 71 3 2" xfId="22815" xr:uid="{00000000-0005-0000-0000-0000235D0000}"/>
    <cellStyle name="Normal 71 4" xfId="9533" xr:uid="{00000000-0005-0000-0000-0000245D0000}"/>
    <cellStyle name="Normal 71 4 2" xfId="20821" xr:uid="{00000000-0005-0000-0000-0000255D0000}"/>
    <cellStyle name="Normal 71 5" xfId="7539" xr:uid="{00000000-0005-0000-0000-0000265D0000}"/>
    <cellStyle name="Normal 71 5 2" xfId="18827" xr:uid="{00000000-0005-0000-0000-0000275D0000}"/>
    <cellStyle name="Normal 71 6" xfId="5545" xr:uid="{00000000-0005-0000-0000-0000285D0000}"/>
    <cellStyle name="Normal 71 6 2" xfId="16833" xr:uid="{00000000-0005-0000-0000-0000295D0000}"/>
    <cellStyle name="Normal 71 7" xfId="14839" xr:uid="{00000000-0005-0000-0000-00002A5D0000}"/>
    <cellStyle name="Normal 71 8" xfId="13523" xr:uid="{00000000-0005-0000-0000-00002B5D0000}"/>
    <cellStyle name="Normal 72" xfId="665" xr:uid="{00000000-0005-0000-0000-00002C5D0000}"/>
    <cellStyle name="Normal 72 2" xfId="13915" xr:uid="{00000000-0005-0000-0000-00002D5D0000}"/>
    <cellStyle name="Normal 72 2 2" xfId="26684" xr:uid="{00000000-0005-0000-0000-00002E5D0000}"/>
    <cellStyle name="Normal 72 3" xfId="13597" xr:uid="{00000000-0005-0000-0000-00002F5D0000}"/>
    <cellStyle name="Normal 72 4" xfId="26054" xr:uid="{00000000-0005-0000-0000-0000305D0000}"/>
    <cellStyle name="Normal 73" xfId="23888" xr:uid="{00000000-0005-0000-0000-0000315D0000}"/>
    <cellStyle name="Normal 74" xfId="23893" xr:uid="{00000000-0005-0000-0000-0000325D0000}"/>
    <cellStyle name="Normal 75" xfId="12598" xr:uid="{00000000-0005-0000-0000-0000335D0000}"/>
    <cellStyle name="Normal 75 2" xfId="26519" xr:uid="{00000000-0005-0000-0000-0000345D0000}"/>
    <cellStyle name="Normal 76" xfId="23900" xr:uid="{00000000-0005-0000-0000-0000355D0000}"/>
    <cellStyle name="Normal 76 2" xfId="27029" xr:uid="{00000000-0005-0000-0000-0000365D0000}"/>
    <cellStyle name="Normal 77" xfId="23901" xr:uid="{00000000-0005-0000-0000-0000375D0000}"/>
    <cellStyle name="Normal 77 2" xfId="27030" xr:uid="{00000000-0005-0000-0000-0000385D0000}"/>
    <cellStyle name="Normal 78" xfId="23902" xr:uid="{00000000-0005-0000-0000-0000395D0000}"/>
    <cellStyle name="Normal 78 2" xfId="27031" xr:uid="{00000000-0005-0000-0000-00003A5D0000}"/>
    <cellStyle name="Normal 79" xfId="24543" xr:uid="{00000000-0005-0000-0000-00003B5D0000}"/>
    <cellStyle name="Normal 79 2" xfId="27217" xr:uid="{00000000-0005-0000-0000-00003C5D0000}"/>
    <cellStyle name="Normal 8" xfId="59" xr:uid="{00000000-0005-0000-0000-00003D5D0000}"/>
    <cellStyle name="Normal 8 10" xfId="24172" xr:uid="{00000000-0005-0000-0000-00003E5D0000}"/>
    <cellStyle name="Normal 8 10 2" xfId="29140" xr:uid="{00000000-0005-0000-0000-00003F5D0000}"/>
    <cellStyle name="Normal 8 10 3" xfId="28834" xr:uid="{00000000-0005-0000-0000-0000405D0000}"/>
    <cellStyle name="Normal 8 11" xfId="24741" xr:uid="{00000000-0005-0000-0000-0000415D0000}"/>
    <cellStyle name="Normal 8 11 2" xfId="29141" xr:uid="{00000000-0005-0000-0000-0000425D0000}"/>
    <cellStyle name="Normal 8 11 3" xfId="28835" xr:uid="{00000000-0005-0000-0000-0000435D0000}"/>
    <cellStyle name="Normal 8 12" xfId="25057" xr:uid="{00000000-0005-0000-0000-0000445D0000}"/>
    <cellStyle name="Normal 8 12 2" xfId="29142" xr:uid="{00000000-0005-0000-0000-0000455D0000}"/>
    <cellStyle name="Normal 8 12 3" xfId="28836" xr:uid="{00000000-0005-0000-0000-0000465D0000}"/>
    <cellStyle name="Normal 8 13" xfId="25776" xr:uid="{00000000-0005-0000-0000-0000475D0000}"/>
    <cellStyle name="Normal 8 13 2" xfId="29143" xr:uid="{00000000-0005-0000-0000-0000485D0000}"/>
    <cellStyle name="Normal 8 14" xfId="29168" xr:uid="{00000000-0005-0000-0000-0000495D0000}"/>
    <cellStyle name="Normal 8 2" xfId="4546" xr:uid="{00000000-0005-0000-0000-00004A5D0000}"/>
    <cellStyle name="Normal 8 2 10" xfId="28837" xr:uid="{00000000-0005-0000-0000-00004B5D0000}"/>
    <cellStyle name="Normal 8 2 2" xfId="12525" xr:uid="{00000000-0005-0000-0000-00004C5D0000}"/>
    <cellStyle name="Normal 8 2 2 2" xfId="23813" xr:uid="{00000000-0005-0000-0000-00004D5D0000}"/>
    <cellStyle name="Normal 8 2 2 2 2" xfId="24446" xr:uid="{00000000-0005-0000-0000-00004E5D0000}"/>
    <cellStyle name="Normal 8 2 2 2 3" xfId="24890" xr:uid="{00000000-0005-0000-0000-00004F5D0000}"/>
    <cellStyle name="Normal 8 2 2 2 4" xfId="25253" xr:uid="{00000000-0005-0000-0000-0000505D0000}"/>
    <cellStyle name="Normal 8 2 2 3" xfId="24174" xr:uid="{00000000-0005-0000-0000-0000515D0000}"/>
    <cellStyle name="Normal 8 2 2 4" xfId="24743" xr:uid="{00000000-0005-0000-0000-0000525D0000}"/>
    <cellStyle name="Normal 8 2 2 5" xfId="25059" xr:uid="{00000000-0005-0000-0000-0000535D0000}"/>
    <cellStyle name="Normal 8 2 2 6" xfId="29144" xr:uid="{00000000-0005-0000-0000-0000545D0000}"/>
    <cellStyle name="Normal 8 2 3" xfId="10531" xr:uid="{00000000-0005-0000-0000-0000555D0000}"/>
    <cellStyle name="Normal 8 2 3 2" xfId="21819" xr:uid="{00000000-0005-0000-0000-0000565D0000}"/>
    <cellStyle name="Normal 8 2 3 3" xfId="24445" xr:uid="{00000000-0005-0000-0000-0000575D0000}"/>
    <cellStyle name="Normal 8 2 3 4" xfId="24889" xr:uid="{00000000-0005-0000-0000-0000585D0000}"/>
    <cellStyle name="Normal 8 2 3 5" xfId="25252" xr:uid="{00000000-0005-0000-0000-0000595D0000}"/>
    <cellStyle name="Normal 8 2 4" xfId="8537" xr:uid="{00000000-0005-0000-0000-00005A5D0000}"/>
    <cellStyle name="Normal 8 2 4 2" xfId="19825" xr:uid="{00000000-0005-0000-0000-00005B5D0000}"/>
    <cellStyle name="Normal 8 2 5" xfId="6543" xr:uid="{00000000-0005-0000-0000-00005C5D0000}"/>
    <cellStyle name="Normal 8 2 5 2" xfId="17831" xr:uid="{00000000-0005-0000-0000-00005D5D0000}"/>
    <cellStyle name="Normal 8 2 6" xfId="15837" xr:uid="{00000000-0005-0000-0000-00005E5D0000}"/>
    <cellStyle name="Normal 8 2 7" xfId="24173" xr:uid="{00000000-0005-0000-0000-00005F5D0000}"/>
    <cellStyle name="Normal 8 2 8" xfId="24742" xr:uid="{00000000-0005-0000-0000-0000605D0000}"/>
    <cellStyle name="Normal 8 2 9" xfId="25058" xr:uid="{00000000-0005-0000-0000-0000615D0000}"/>
    <cellStyle name="Normal 8 3" xfId="11528" xr:uid="{00000000-0005-0000-0000-0000625D0000}"/>
    <cellStyle name="Normal 8 3 2" xfId="22816" xr:uid="{00000000-0005-0000-0000-0000635D0000}"/>
    <cellStyle name="Normal 8 3 2 2" xfId="24448" xr:uid="{00000000-0005-0000-0000-0000645D0000}"/>
    <cellStyle name="Normal 8 3 2 2 2" xfId="24892" xr:uid="{00000000-0005-0000-0000-0000655D0000}"/>
    <cellStyle name="Normal 8 3 2 2 3" xfId="25255" xr:uid="{00000000-0005-0000-0000-0000665D0000}"/>
    <cellStyle name="Normal 8 3 2 3" xfId="24176" xr:uid="{00000000-0005-0000-0000-0000675D0000}"/>
    <cellStyle name="Normal 8 3 2 4" xfId="24745" xr:uid="{00000000-0005-0000-0000-0000685D0000}"/>
    <cellStyle name="Normal 8 3 2 5" xfId="25061" xr:uid="{00000000-0005-0000-0000-0000695D0000}"/>
    <cellStyle name="Normal 8 3 2 6" xfId="29145" xr:uid="{00000000-0005-0000-0000-00006A5D0000}"/>
    <cellStyle name="Normal 8 3 3" xfId="24447" xr:uid="{00000000-0005-0000-0000-00006B5D0000}"/>
    <cellStyle name="Normal 8 3 3 2" xfId="24891" xr:uid="{00000000-0005-0000-0000-00006C5D0000}"/>
    <cellStyle name="Normal 8 3 3 3" xfId="25254" xr:uid="{00000000-0005-0000-0000-00006D5D0000}"/>
    <cellStyle name="Normal 8 3 4" xfId="24175" xr:uid="{00000000-0005-0000-0000-00006E5D0000}"/>
    <cellStyle name="Normal 8 3 5" xfId="24744" xr:uid="{00000000-0005-0000-0000-00006F5D0000}"/>
    <cellStyle name="Normal 8 3 6" xfId="25060" xr:uid="{00000000-0005-0000-0000-0000705D0000}"/>
    <cellStyle name="Normal 8 3 7" xfId="28838" xr:uid="{00000000-0005-0000-0000-0000715D0000}"/>
    <cellStyle name="Normal 8 4" xfId="9534" xr:uid="{00000000-0005-0000-0000-0000725D0000}"/>
    <cellStyle name="Normal 8 4 2" xfId="20822" xr:uid="{00000000-0005-0000-0000-0000735D0000}"/>
    <cellStyle name="Normal 8 4 2 2" xfId="24449" xr:uid="{00000000-0005-0000-0000-0000745D0000}"/>
    <cellStyle name="Normal 8 4 2 3" xfId="24893" xr:uid="{00000000-0005-0000-0000-0000755D0000}"/>
    <cellStyle name="Normal 8 4 2 4" xfId="25256" xr:uid="{00000000-0005-0000-0000-0000765D0000}"/>
    <cellStyle name="Normal 8 4 2 5" xfId="29146" xr:uid="{00000000-0005-0000-0000-0000775D0000}"/>
    <cellStyle name="Normal 8 4 3" xfId="24177" xr:uid="{00000000-0005-0000-0000-0000785D0000}"/>
    <cellStyle name="Normal 8 4 4" xfId="24746" xr:uid="{00000000-0005-0000-0000-0000795D0000}"/>
    <cellStyle name="Normal 8 4 5" xfId="25062" xr:uid="{00000000-0005-0000-0000-00007A5D0000}"/>
    <cellStyle name="Normal 8 4 6" xfId="28839" xr:uid="{00000000-0005-0000-0000-00007B5D0000}"/>
    <cellStyle name="Normal 8 5" xfId="7540" xr:uid="{00000000-0005-0000-0000-00007C5D0000}"/>
    <cellStyle name="Normal 8 5 2" xfId="18828" xr:uid="{00000000-0005-0000-0000-00007D5D0000}"/>
    <cellStyle name="Normal 8 5 2 2" xfId="29147" xr:uid="{00000000-0005-0000-0000-00007E5D0000}"/>
    <cellStyle name="Normal 8 5 3" xfId="24444" xr:uid="{00000000-0005-0000-0000-00007F5D0000}"/>
    <cellStyle name="Normal 8 5 4" xfId="24888" xr:uid="{00000000-0005-0000-0000-0000805D0000}"/>
    <cellStyle name="Normal 8 5 5" xfId="25251" xr:uid="{00000000-0005-0000-0000-0000815D0000}"/>
    <cellStyle name="Normal 8 5 6" xfId="28840" xr:uid="{00000000-0005-0000-0000-0000825D0000}"/>
    <cellStyle name="Normal 8 6" xfId="5546" xr:uid="{00000000-0005-0000-0000-0000835D0000}"/>
    <cellStyle name="Normal 8 6 2" xfId="16834" xr:uid="{00000000-0005-0000-0000-0000845D0000}"/>
    <cellStyle name="Normal 8 6 2 2" xfId="29148" xr:uid="{00000000-0005-0000-0000-0000855D0000}"/>
    <cellStyle name="Normal 8 6 3" xfId="28841" xr:uid="{00000000-0005-0000-0000-0000865D0000}"/>
    <cellStyle name="Normal 8 7" xfId="3312" xr:uid="{00000000-0005-0000-0000-0000875D0000}"/>
    <cellStyle name="Normal 8 7 2" xfId="14840" xr:uid="{00000000-0005-0000-0000-0000885D0000}"/>
    <cellStyle name="Normal 8 7 2 2" xfId="29149" xr:uid="{00000000-0005-0000-0000-0000895D0000}"/>
    <cellStyle name="Normal 8 7 3" xfId="28842" xr:uid="{00000000-0005-0000-0000-00008A5D0000}"/>
    <cellStyle name="Normal 8 8" xfId="13617" xr:uid="{00000000-0005-0000-0000-00008B5D0000}"/>
    <cellStyle name="Normal 8 8 2" xfId="26560" xr:uid="{00000000-0005-0000-0000-00008C5D0000}"/>
    <cellStyle name="Normal 8 8 2 2" xfId="29150" xr:uid="{00000000-0005-0000-0000-00008D5D0000}"/>
    <cellStyle name="Normal 8 9" xfId="13524" xr:uid="{00000000-0005-0000-0000-00008E5D0000}"/>
    <cellStyle name="Normal 8 9 2" xfId="29151" xr:uid="{00000000-0005-0000-0000-00008F5D0000}"/>
    <cellStyle name="Normal 8 9 3" xfId="28844" xr:uid="{00000000-0005-0000-0000-0000905D0000}"/>
    <cellStyle name="Normal 80" xfId="24554" xr:uid="{00000000-0005-0000-0000-0000915D0000}"/>
    <cellStyle name="Normal 80 2" xfId="27222" xr:uid="{00000000-0005-0000-0000-0000925D0000}"/>
    <cellStyle name="Normal 81" xfId="24767" xr:uid="{00000000-0005-0000-0000-0000935D0000}"/>
    <cellStyle name="Normal 81 2" xfId="27309" xr:uid="{00000000-0005-0000-0000-0000945D0000}"/>
    <cellStyle name="Normal 82" xfId="24903" xr:uid="{00000000-0005-0000-0000-0000955D0000}"/>
    <cellStyle name="Normal 82 2" xfId="27325" xr:uid="{00000000-0005-0000-0000-0000965D0000}"/>
    <cellStyle name="Normal 83" xfId="24935" xr:uid="{00000000-0005-0000-0000-0000975D0000}"/>
    <cellStyle name="Normal 83 2" xfId="27342" xr:uid="{00000000-0005-0000-0000-0000985D0000}"/>
    <cellStyle name="Normal 84" xfId="24705" xr:uid="{00000000-0005-0000-0000-0000995D0000}"/>
    <cellStyle name="Normal 84 2" xfId="27292" xr:uid="{00000000-0005-0000-0000-00009A5D0000}"/>
    <cellStyle name="Normal 85" xfId="24926" xr:uid="{00000000-0005-0000-0000-00009B5D0000}"/>
    <cellStyle name="Normal 85 2" xfId="27335" xr:uid="{00000000-0005-0000-0000-00009C5D0000}"/>
    <cellStyle name="Normal 86" xfId="24768" xr:uid="{00000000-0005-0000-0000-00009D5D0000}"/>
    <cellStyle name="Normal 86 2" xfId="27310" xr:uid="{00000000-0005-0000-0000-00009E5D0000}"/>
    <cellStyle name="Normal 87" xfId="24933" xr:uid="{00000000-0005-0000-0000-00009F5D0000}"/>
    <cellStyle name="Normal 87 2" xfId="27340" xr:uid="{00000000-0005-0000-0000-0000A05D0000}"/>
    <cellStyle name="Normal 88" xfId="24689" xr:uid="{00000000-0005-0000-0000-0000A15D0000}"/>
    <cellStyle name="Normal 88 2" xfId="27279" xr:uid="{00000000-0005-0000-0000-0000A25D0000}"/>
    <cellStyle name="Normal 89" xfId="24690" xr:uid="{00000000-0005-0000-0000-0000A35D0000}"/>
    <cellStyle name="Normal 89 2" xfId="27280" xr:uid="{00000000-0005-0000-0000-0000A45D0000}"/>
    <cellStyle name="Normal 9" xfId="60" xr:uid="{00000000-0005-0000-0000-0000A55D0000}"/>
    <cellStyle name="Normal 9 10" xfId="24178" xr:uid="{00000000-0005-0000-0000-0000A65D0000}"/>
    <cellStyle name="Normal 9 10 2" xfId="29152" xr:uid="{00000000-0005-0000-0000-0000A75D0000}"/>
    <cellStyle name="Normal 9 10 3" xfId="28845" xr:uid="{00000000-0005-0000-0000-0000A85D0000}"/>
    <cellStyle name="Normal 9 11" xfId="24747" xr:uid="{00000000-0005-0000-0000-0000A95D0000}"/>
    <cellStyle name="Normal 9 11 2" xfId="29153" xr:uid="{00000000-0005-0000-0000-0000AA5D0000}"/>
    <cellStyle name="Normal 9 11 3" xfId="28846" xr:uid="{00000000-0005-0000-0000-0000AB5D0000}"/>
    <cellStyle name="Normal 9 12" xfId="25063" xr:uid="{00000000-0005-0000-0000-0000AC5D0000}"/>
    <cellStyle name="Normal 9 12 2" xfId="29154" xr:uid="{00000000-0005-0000-0000-0000AD5D0000}"/>
    <cellStyle name="Normal 9 12 3" xfId="28847" xr:uid="{00000000-0005-0000-0000-0000AE5D0000}"/>
    <cellStyle name="Normal 9 13" xfId="25812" xr:uid="{00000000-0005-0000-0000-0000AF5D0000}"/>
    <cellStyle name="Normal 9 13 2" xfId="29155" xr:uid="{00000000-0005-0000-0000-0000B05D0000}"/>
    <cellStyle name="Normal 9 14" xfId="25765" xr:uid="{00000000-0005-0000-0000-0000B15D0000}"/>
    <cellStyle name="Normal 9 2" xfId="4547" xr:uid="{00000000-0005-0000-0000-0000B25D0000}"/>
    <cellStyle name="Normal 9 2 10" xfId="28848" xr:uid="{00000000-0005-0000-0000-0000B35D0000}"/>
    <cellStyle name="Normal 9 2 2" xfId="12526" xr:uid="{00000000-0005-0000-0000-0000B45D0000}"/>
    <cellStyle name="Normal 9 2 2 2" xfId="23814" xr:uid="{00000000-0005-0000-0000-0000B55D0000}"/>
    <cellStyle name="Normal 9 2 2 2 2" xfId="24452" xr:uid="{00000000-0005-0000-0000-0000B65D0000}"/>
    <cellStyle name="Normal 9 2 2 2 3" xfId="24896" xr:uid="{00000000-0005-0000-0000-0000B75D0000}"/>
    <cellStyle name="Normal 9 2 2 2 4" xfId="25259" xr:uid="{00000000-0005-0000-0000-0000B85D0000}"/>
    <cellStyle name="Normal 9 2 2 3" xfId="24180" xr:uid="{00000000-0005-0000-0000-0000B95D0000}"/>
    <cellStyle name="Normal 9 2 2 4" xfId="24749" xr:uid="{00000000-0005-0000-0000-0000BA5D0000}"/>
    <cellStyle name="Normal 9 2 2 5" xfId="25065" xr:uid="{00000000-0005-0000-0000-0000BB5D0000}"/>
    <cellStyle name="Normal 9 2 2 6" xfId="29156" xr:uid="{00000000-0005-0000-0000-0000BC5D0000}"/>
    <cellStyle name="Normal 9 2 3" xfId="10532" xr:uid="{00000000-0005-0000-0000-0000BD5D0000}"/>
    <cellStyle name="Normal 9 2 3 2" xfId="21820" xr:uid="{00000000-0005-0000-0000-0000BE5D0000}"/>
    <cellStyle name="Normal 9 2 3 3" xfId="24451" xr:uid="{00000000-0005-0000-0000-0000BF5D0000}"/>
    <cellStyle name="Normal 9 2 3 4" xfId="24895" xr:uid="{00000000-0005-0000-0000-0000C05D0000}"/>
    <cellStyle name="Normal 9 2 3 5" xfId="25258" xr:uid="{00000000-0005-0000-0000-0000C15D0000}"/>
    <cellStyle name="Normal 9 2 4" xfId="8538" xr:uid="{00000000-0005-0000-0000-0000C25D0000}"/>
    <cellStyle name="Normal 9 2 4 2" xfId="19826" xr:uid="{00000000-0005-0000-0000-0000C35D0000}"/>
    <cellStyle name="Normal 9 2 5" xfId="6544" xr:uid="{00000000-0005-0000-0000-0000C45D0000}"/>
    <cellStyle name="Normal 9 2 5 2" xfId="17832" xr:uid="{00000000-0005-0000-0000-0000C55D0000}"/>
    <cellStyle name="Normal 9 2 6" xfId="15838" xr:uid="{00000000-0005-0000-0000-0000C65D0000}"/>
    <cellStyle name="Normal 9 2 7" xfId="24179" xr:uid="{00000000-0005-0000-0000-0000C75D0000}"/>
    <cellStyle name="Normal 9 2 8" xfId="24748" xr:uid="{00000000-0005-0000-0000-0000C85D0000}"/>
    <cellStyle name="Normal 9 2 9" xfId="25064" xr:uid="{00000000-0005-0000-0000-0000C95D0000}"/>
    <cellStyle name="Normal 9 3" xfId="11529" xr:uid="{00000000-0005-0000-0000-0000CA5D0000}"/>
    <cellStyle name="Normal 9 3 2" xfId="22817" xr:uid="{00000000-0005-0000-0000-0000CB5D0000}"/>
    <cellStyle name="Normal 9 3 2 2" xfId="24454" xr:uid="{00000000-0005-0000-0000-0000CC5D0000}"/>
    <cellStyle name="Normal 9 3 2 2 2" xfId="24898" xr:uid="{00000000-0005-0000-0000-0000CD5D0000}"/>
    <cellStyle name="Normal 9 3 2 2 3" xfId="25261" xr:uid="{00000000-0005-0000-0000-0000CE5D0000}"/>
    <cellStyle name="Normal 9 3 2 3" xfId="24182" xr:uid="{00000000-0005-0000-0000-0000CF5D0000}"/>
    <cellStyle name="Normal 9 3 2 4" xfId="24751" xr:uid="{00000000-0005-0000-0000-0000D05D0000}"/>
    <cellStyle name="Normal 9 3 2 5" xfId="25067" xr:uid="{00000000-0005-0000-0000-0000D15D0000}"/>
    <cellStyle name="Normal 9 3 2 6" xfId="29157" xr:uid="{00000000-0005-0000-0000-0000D25D0000}"/>
    <cellStyle name="Normal 9 3 3" xfId="24453" xr:uid="{00000000-0005-0000-0000-0000D35D0000}"/>
    <cellStyle name="Normal 9 3 3 2" xfId="24897" xr:uid="{00000000-0005-0000-0000-0000D45D0000}"/>
    <cellStyle name="Normal 9 3 3 3" xfId="25260" xr:uid="{00000000-0005-0000-0000-0000D55D0000}"/>
    <cellStyle name="Normal 9 3 4" xfId="24181" xr:uid="{00000000-0005-0000-0000-0000D65D0000}"/>
    <cellStyle name="Normal 9 3 5" xfId="24750" xr:uid="{00000000-0005-0000-0000-0000D75D0000}"/>
    <cellStyle name="Normal 9 3 6" xfId="25066" xr:uid="{00000000-0005-0000-0000-0000D85D0000}"/>
    <cellStyle name="Normal 9 3 7" xfId="28849" xr:uid="{00000000-0005-0000-0000-0000D95D0000}"/>
    <cellStyle name="Normal 9 4" xfId="9535" xr:uid="{00000000-0005-0000-0000-0000DA5D0000}"/>
    <cellStyle name="Normal 9 4 2" xfId="20823" xr:uid="{00000000-0005-0000-0000-0000DB5D0000}"/>
    <cellStyle name="Normal 9 4 2 2" xfId="24455" xr:uid="{00000000-0005-0000-0000-0000DC5D0000}"/>
    <cellStyle name="Normal 9 4 2 3" xfId="24899" xr:uid="{00000000-0005-0000-0000-0000DD5D0000}"/>
    <cellStyle name="Normal 9 4 2 4" xfId="25262" xr:uid="{00000000-0005-0000-0000-0000DE5D0000}"/>
    <cellStyle name="Normal 9 4 2 5" xfId="29158" xr:uid="{00000000-0005-0000-0000-0000DF5D0000}"/>
    <cellStyle name="Normal 9 4 3" xfId="24183" xr:uid="{00000000-0005-0000-0000-0000E05D0000}"/>
    <cellStyle name="Normal 9 4 4" xfId="24752" xr:uid="{00000000-0005-0000-0000-0000E15D0000}"/>
    <cellStyle name="Normal 9 4 5" xfId="25068" xr:uid="{00000000-0005-0000-0000-0000E25D0000}"/>
    <cellStyle name="Normal 9 4 6" xfId="28850" xr:uid="{00000000-0005-0000-0000-0000E35D0000}"/>
    <cellStyle name="Normal 9 5" xfId="7541" xr:uid="{00000000-0005-0000-0000-0000E45D0000}"/>
    <cellStyle name="Normal 9 5 2" xfId="18829" xr:uid="{00000000-0005-0000-0000-0000E55D0000}"/>
    <cellStyle name="Normal 9 5 2 2" xfId="29159" xr:uid="{00000000-0005-0000-0000-0000E65D0000}"/>
    <cellStyle name="Normal 9 5 3" xfId="24450" xr:uid="{00000000-0005-0000-0000-0000E75D0000}"/>
    <cellStyle name="Normal 9 5 4" xfId="24894" xr:uid="{00000000-0005-0000-0000-0000E85D0000}"/>
    <cellStyle name="Normal 9 5 5" xfId="25257" xr:uid="{00000000-0005-0000-0000-0000E95D0000}"/>
    <cellStyle name="Normal 9 5 6" xfId="28851" xr:uid="{00000000-0005-0000-0000-0000EA5D0000}"/>
    <cellStyle name="Normal 9 6" xfId="5547" xr:uid="{00000000-0005-0000-0000-0000EB5D0000}"/>
    <cellStyle name="Normal 9 6 2" xfId="16835" xr:uid="{00000000-0005-0000-0000-0000EC5D0000}"/>
    <cellStyle name="Normal 9 6 2 2" xfId="29160" xr:uid="{00000000-0005-0000-0000-0000ED5D0000}"/>
    <cellStyle name="Normal 9 6 3" xfId="28852" xr:uid="{00000000-0005-0000-0000-0000EE5D0000}"/>
    <cellStyle name="Normal 9 7" xfId="3313" xr:uid="{00000000-0005-0000-0000-0000EF5D0000}"/>
    <cellStyle name="Normal 9 7 2" xfId="14841" xr:uid="{00000000-0005-0000-0000-0000F05D0000}"/>
    <cellStyle name="Normal 9 7 2 2" xfId="29161" xr:uid="{00000000-0005-0000-0000-0000F15D0000}"/>
    <cellStyle name="Normal 9 7 3" xfId="28853" xr:uid="{00000000-0005-0000-0000-0000F25D0000}"/>
    <cellStyle name="Normal 9 8" xfId="13618" xr:uid="{00000000-0005-0000-0000-0000F35D0000}"/>
    <cellStyle name="Normal 9 8 2" xfId="26561" xr:uid="{00000000-0005-0000-0000-0000F45D0000}"/>
    <cellStyle name="Normal 9 8 2 2" xfId="29162" xr:uid="{00000000-0005-0000-0000-0000F55D0000}"/>
    <cellStyle name="Normal 9 9" xfId="13525" xr:uid="{00000000-0005-0000-0000-0000F65D0000}"/>
    <cellStyle name="Normal 9 9 2" xfId="29163" xr:uid="{00000000-0005-0000-0000-0000F75D0000}"/>
    <cellStyle name="Normal 9 9 3" xfId="28854" xr:uid="{00000000-0005-0000-0000-0000F85D0000}"/>
    <cellStyle name="Normal 90" xfId="24941" xr:uid="{00000000-0005-0000-0000-0000F95D0000}"/>
    <cellStyle name="Normal 90 2" xfId="27345" xr:uid="{00000000-0005-0000-0000-0000FA5D0000}"/>
    <cellStyle name="Normal 91" xfId="24545" xr:uid="{00000000-0005-0000-0000-0000FB5D0000}"/>
    <cellStyle name="Normal 91 2" xfId="27218" xr:uid="{00000000-0005-0000-0000-0000FC5D0000}"/>
    <cellStyle name="Normal 92" xfId="1" xr:uid="{00000000-0005-0000-0000-0000FD5D0000}"/>
    <cellStyle name="Normal 93" xfId="25276" xr:uid="{00000000-0005-0000-0000-0000FE5D0000}"/>
    <cellStyle name="Normal 94" xfId="25295" xr:uid="{00000000-0005-0000-0000-0000FF5D0000}"/>
    <cellStyle name="Normal 95" xfId="25455" xr:uid="{00000000-0005-0000-0000-0000005E0000}"/>
    <cellStyle name="Normal 96" xfId="25746" xr:uid="{00000000-0005-0000-0000-0000015E0000}"/>
    <cellStyle name="Normal 96 2" xfId="27895" xr:uid="{00000000-0005-0000-0000-0000025E0000}"/>
    <cellStyle name="Normal 97" xfId="25752" xr:uid="{00000000-0005-0000-0000-0000035E0000}"/>
    <cellStyle name="Normal 97 2" xfId="27896" xr:uid="{00000000-0005-0000-0000-0000045E0000}"/>
    <cellStyle name="Normal 98" xfId="25755" xr:uid="{00000000-0005-0000-0000-0000055E0000}"/>
    <cellStyle name="Normal 98 2" xfId="27897" xr:uid="{00000000-0005-0000-0000-0000065E0000}"/>
    <cellStyle name="Normal 99" xfId="25757" xr:uid="{00000000-0005-0000-0000-0000075E0000}"/>
    <cellStyle name="Normal 99 2" xfId="27898" xr:uid="{00000000-0005-0000-0000-0000085E0000}"/>
    <cellStyle name="Normal(0)" xfId="61" xr:uid="{00000000-0005-0000-0000-0000095E0000}"/>
    <cellStyle name="Normal_Jan 08" xfId="25743" xr:uid="{00000000-0005-0000-0000-00000A5E0000}"/>
    <cellStyle name="Normal_vcap1299" xfId="25741" xr:uid="{00000000-0005-0000-0000-00000B5E0000}"/>
    <cellStyle name="NormalHelv" xfId="577" xr:uid="{00000000-0005-0000-0000-00000C5E0000}"/>
    <cellStyle name="Note 10" xfId="3314" xr:uid="{00000000-0005-0000-0000-00000D5E0000}"/>
    <cellStyle name="Note 10 10" xfId="24753" xr:uid="{00000000-0005-0000-0000-00000E5E0000}"/>
    <cellStyle name="Note 10 11" xfId="25069" xr:uid="{00000000-0005-0000-0000-00000F5E0000}"/>
    <cellStyle name="Note 10 2" xfId="4548" xr:uid="{00000000-0005-0000-0000-0000105E0000}"/>
    <cellStyle name="Note 10 2 2" xfId="12527" xr:uid="{00000000-0005-0000-0000-0000115E0000}"/>
    <cellStyle name="Note 10 2 2 2" xfId="23815" xr:uid="{00000000-0005-0000-0000-0000125E0000}"/>
    <cellStyle name="Note 10 2 3" xfId="10533" xr:uid="{00000000-0005-0000-0000-0000135E0000}"/>
    <cellStyle name="Note 10 2 3 2" xfId="21821" xr:uid="{00000000-0005-0000-0000-0000145E0000}"/>
    <cellStyle name="Note 10 2 4" xfId="8539" xr:uid="{00000000-0005-0000-0000-0000155E0000}"/>
    <cellStyle name="Note 10 2 4 2" xfId="19827" xr:uid="{00000000-0005-0000-0000-0000165E0000}"/>
    <cellStyle name="Note 10 2 5" xfId="6545" xr:uid="{00000000-0005-0000-0000-0000175E0000}"/>
    <cellStyle name="Note 10 2 5 2" xfId="17833" xr:uid="{00000000-0005-0000-0000-0000185E0000}"/>
    <cellStyle name="Note 10 2 6" xfId="15839" xr:uid="{00000000-0005-0000-0000-0000195E0000}"/>
    <cellStyle name="Note 10 2 7" xfId="24456" xr:uid="{00000000-0005-0000-0000-00001A5E0000}"/>
    <cellStyle name="Note 10 2 8" xfId="24900" xr:uid="{00000000-0005-0000-0000-00001B5E0000}"/>
    <cellStyle name="Note 10 2 9" xfId="25263" xr:uid="{00000000-0005-0000-0000-00001C5E0000}"/>
    <cellStyle name="Note 10 3" xfId="11530" xr:uid="{00000000-0005-0000-0000-00001D5E0000}"/>
    <cellStyle name="Note 10 3 2" xfId="22818" xr:uid="{00000000-0005-0000-0000-00001E5E0000}"/>
    <cellStyle name="Note 10 4" xfId="9536" xr:uid="{00000000-0005-0000-0000-00001F5E0000}"/>
    <cellStyle name="Note 10 4 2" xfId="20824" xr:uid="{00000000-0005-0000-0000-0000205E0000}"/>
    <cellStyle name="Note 10 5" xfId="7542" xr:uid="{00000000-0005-0000-0000-0000215E0000}"/>
    <cellStyle name="Note 10 5 2" xfId="18830" xr:uid="{00000000-0005-0000-0000-0000225E0000}"/>
    <cellStyle name="Note 10 6" xfId="5548" xr:uid="{00000000-0005-0000-0000-0000235E0000}"/>
    <cellStyle name="Note 10 6 2" xfId="16836" xr:uid="{00000000-0005-0000-0000-0000245E0000}"/>
    <cellStyle name="Note 10 7" xfId="14842" xr:uid="{00000000-0005-0000-0000-0000255E0000}"/>
    <cellStyle name="Note 10 8" xfId="13526" xr:uid="{00000000-0005-0000-0000-0000265E0000}"/>
    <cellStyle name="Note 10 9" xfId="24185" xr:uid="{00000000-0005-0000-0000-0000275E0000}"/>
    <cellStyle name="Note 11" xfId="3315" xr:uid="{00000000-0005-0000-0000-0000285E0000}"/>
    <cellStyle name="Note 11 10" xfId="24754" xr:uid="{00000000-0005-0000-0000-0000295E0000}"/>
    <cellStyle name="Note 11 11" xfId="25070" xr:uid="{00000000-0005-0000-0000-00002A5E0000}"/>
    <cellStyle name="Note 11 2" xfId="4549" xr:uid="{00000000-0005-0000-0000-00002B5E0000}"/>
    <cellStyle name="Note 11 2 2" xfId="12528" xr:uid="{00000000-0005-0000-0000-00002C5E0000}"/>
    <cellStyle name="Note 11 2 2 2" xfId="23816" xr:uid="{00000000-0005-0000-0000-00002D5E0000}"/>
    <cellStyle name="Note 11 2 3" xfId="10534" xr:uid="{00000000-0005-0000-0000-00002E5E0000}"/>
    <cellStyle name="Note 11 2 3 2" xfId="21822" xr:uid="{00000000-0005-0000-0000-00002F5E0000}"/>
    <cellStyle name="Note 11 2 4" xfId="8540" xr:uid="{00000000-0005-0000-0000-0000305E0000}"/>
    <cellStyle name="Note 11 2 4 2" xfId="19828" xr:uid="{00000000-0005-0000-0000-0000315E0000}"/>
    <cellStyle name="Note 11 2 5" xfId="6546" xr:uid="{00000000-0005-0000-0000-0000325E0000}"/>
    <cellStyle name="Note 11 2 5 2" xfId="17834" xr:uid="{00000000-0005-0000-0000-0000335E0000}"/>
    <cellStyle name="Note 11 2 6" xfId="15840" xr:uid="{00000000-0005-0000-0000-0000345E0000}"/>
    <cellStyle name="Note 11 2 7" xfId="24457" xr:uid="{00000000-0005-0000-0000-0000355E0000}"/>
    <cellStyle name="Note 11 2 8" xfId="24901" xr:uid="{00000000-0005-0000-0000-0000365E0000}"/>
    <cellStyle name="Note 11 2 9" xfId="25264" xr:uid="{00000000-0005-0000-0000-0000375E0000}"/>
    <cellStyle name="Note 11 3" xfId="11531" xr:uid="{00000000-0005-0000-0000-0000385E0000}"/>
    <cellStyle name="Note 11 3 2" xfId="22819" xr:uid="{00000000-0005-0000-0000-0000395E0000}"/>
    <cellStyle name="Note 11 4" xfId="9537" xr:uid="{00000000-0005-0000-0000-00003A5E0000}"/>
    <cellStyle name="Note 11 4 2" xfId="20825" xr:uid="{00000000-0005-0000-0000-00003B5E0000}"/>
    <cellStyle name="Note 11 5" xfId="7543" xr:uid="{00000000-0005-0000-0000-00003C5E0000}"/>
    <cellStyle name="Note 11 5 2" xfId="18831" xr:uid="{00000000-0005-0000-0000-00003D5E0000}"/>
    <cellStyle name="Note 11 6" xfId="5549" xr:uid="{00000000-0005-0000-0000-00003E5E0000}"/>
    <cellStyle name="Note 11 6 2" xfId="16837" xr:uid="{00000000-0005-0000-0000-00003F5E0000}"/>
    <cellStyle name="Note 11 7" xfId="14843" xr:uid="{00000000-0005-0000-0000-0000405E0000}"/>
    <cellStyle name="Note 11 8" xfId="13527" xr:uid="{00000000-0005-0000-0000-0000415E0000}"/>
    <cellStyle name="Note 11 9" xfId="24186" xr:uid="{00000000-0005-0000-0000-0000425E0000}"/>
    <cellStyle name="Note 12" xfId="3316" xr:uid="{00000000-0005-0000-0000-0000435E0000}"/>
    <cellStyle name="Note 12 10" xfId="24755" xr:uid="{00000000-0005-0000-0000-0000445E0000}"/>
    <cellStyle name="Note 12 11" xfId="25071" xr:uid="{00000000-0005-0000-0000-0000455E0000}"/>
    <cellStyle name="Note 12 2" xfId="4550" xr:uid="{00000000-0005-0000-0000-0000465E0000}"/>
    <cellStyle name="Note 12 2 2" xfId="12529" xr:uid="{00000000-0005-0000-0000-0000475E0000}"/>
    <cellStyle name="Note 12 2 2 2" xfId="23817" xr:uid="{00000000-0005-0000-0000-0000485E0000}"/>
    <cellStyle name="Note 12 2 3" xfId="10535" xr:uid="{00000000-0005-0000-0000-0000495E0000}"/>
    <cellStyle name="Note 12 2 3 2" xfId="21823" xr:uid="{00000000-0005-0000-0000-00004A5E0000}"/>
    <cellStyle name="Note 12 2 4" xfId="8541" xr:uid="{00000000-0005-0000-0000-00004B5E0000}"/>
    <cellStyle name="Note 12 2 4 2" xfId="19829" xr:uid="{00000000-0005-0000-0000-00004C5E0000}"/>
    <cellStyle name="Note 12 2 5" xfId="6547" xr:uid="{00000000-0005-0000-0000-00004D5E0000}"/>
    <cellStyle name="Note 12 2 5 2" xfId="17835" xr:uid="{00000000-0005-0000-0000-00004E5E0000}"/>
    <cellStyle name="Note 12 2 6" xfId="15841" xr:uid="{00000000-0005-0000-0000-00004F5E0000}"/>
    <cellStyle name="Note 12 2 7" xfId="24458" xr:uid="{00000000-0005-0000-0000-0000505E0000}"/>
    <cellStyle name="Note 12 2 8" xfId="24902" xr:uid="{00000000-0005-0000-0000-0000515E0000}"/>
    <cellStyle name="Note 12 2 9" xfId="25265" xr:uid="{00000000-0005-0000-0000-0000525E0000}"/>
    <cellStyle name="Note 12 3" xfId="11532" xr:uid="{00000000-0005-0000-0000-0000535E0000}"/>
    <cellStyle name="Note 12 3 2" xfId="22820" xr:uid="{00000000-0005-0000-0000-0000545E0000}"/>
    <cellStyle name="Note 12 4" xfId="9538" xr:uid="{00000000-0005-0000-0000-0000555E0000}"/>
    <cellStyle name="Note 12 4 2" xfId="20826" xr:uid="{00000000-0005-0000-0000-0000565E0000}"/>
    <cellStyle name="Note 12 5" xfId="7544" xr:uid="{00000000-0005-0000-0000-0000575E0000}"/>
    <cellStyle name="Note 12 5 2" xfId="18832" xr:uid="{00000000-0005-0000-0000-0000585E0000}"/>
    <cellStyle name="Note 12 6" xfId="5550" xr:uid="{00000000-0005-0000-0000-0000595E0000}"/>
    <cellStyle name="Note 12 6 2" xfId="16838" xr:uid="{00000000-0005-0000-0000-00005A5E0000}"/>
    <cellStyle name="Note 12 7" xfId="14844" xr:uid="{00000000-0005-0000-0000-00005B5E0000}"/>
    <cellStyle name="Note 12 8" xfId="13528" xr:uid="{00000000-0005-0000-0000-00005C5E0000}"/>
    <cellStyle name="Note 12 9" xfId="24187" xr:uid="{00000000-0005-0000-0000-00005D5E0000}"/>
    <cellStyle name="Note 13" xfId="3317" xr:uid="{00000000-0005-0000-0000-00005E5E0000}"/>
    <cellStyle name="Note 13 2" xfId="4551" xr:uid="{00000000-0005-0000-0000-00005F5E0000}"/>
    <cellStyle name="Note 13 2 2" xfId="12530" xr:uid="{00000000-0005-0000-0000-0000605E0000}"/>
    <cellStyle name="Note 13 2 2 2" xfId="23818" xr:uid="{00000000-0005-0000-0000-0000615E0000}"/>
    <cellStyle name="Note 13 2 3" xfId="10536" xr:uid="{00000000-0005-0000-0000-0000625E0000}"/>
    <cellStyle name="Note 13 2 3 2" xfId="21824" xr:uid="{00000000-0005-0000-0000-0000635E0000}"/>
    <cellStyle name="Note 13 2 4" xfId="8542" xr:uid="{00000000-0005-0000-0000-0000645E0000}"/>
    <cellStyle name="Note 13 2 4 2" xfId="19830" xr:uid="{00000000-0005-0000-0000-0000655E0000}"/>
    <cellStyle name="Note 13 2 5" xfId="6548" xr:uid="{00000000-0005-0000-0000-0000665E0000}"/>
    <cellStyle name="Note 13 2 5 2" xfId="17836" xr:uid="{00000000-0005-0000-0000-0000675E0000}"/>
    <cellStyle name="Note 13 2 6" xfId="15842" xr:uid="{00000000-0005-0000-0000-0000685E0000}"/>
    <cellStyle name="Note 13 3" xfId="11533" xr:uid="{00000000-0005-0000-0000-0000695E0000}"/>
    <cellStyle name="Note 13 3 2" xfId="22821" xr:uid="{00000000-0005-0000-0000-00006A5E0000}"/>
    <cellStyle name="Note 13 4" xfId="9539" xr:uid="{00000000-0005-0000-0000-00006B5E0000}"/>
    <cellStyle name="Note 13 4 2" xfId="20827" xr:uid="{00000000-0005-0000-0000-00006C5E0000}"/>
    <cellStyle name="Note 13 5" xfId="7545" xr:uid="{00000000-0005-0000-0000-00006D5E0000}"/>
    <cellStyle name="Note 13 5 2" xfId="18833" xr:uid="{00000000-0005-0000-0000-00006E5E0000}"/>
    <cellStyle name="Note 13 6" xfId="5551" xr:uid="{00000000-0005-0000-0000-00006F5E0000}"/>
    <cellStyle name="Note 13 6 2" xfId="16839" xr:uid="{00000000-0005-0000-0000-0000705E0000}"/>
    <cellStyle name="Note 13 7" xfId="14845" xr:uid="{00000000-0005-0000-0000-0000715E0000}"/>
    <cellStyle name="Note 13 8" xfId="13529" xr:uid="{00000000-0005-0000-0000-0000725E0000}"/>
    <cellStyle name="Note 14" xfId="3318" xr:uid="{00000000-0005-0000-0000-0000735E0000}"/>
    <cellStyle name="Note 14 2" xfId="4552" xr:uid="{00000000-0005-0000-0000-0000745E0000}"/>
    <cellStyle name="Note 14 2 2" xfId="12531" xr:uid="{00000000-0005-0000-0000-0000755E0000}"/>
    <cellStyle name="Note 14 2 2 2" xfId="23819" xr:uid="{00000000-0005-0000-0000-0000765E0000}"/>
    <cellStyle name="Note 14 2 3" xfId="10537" xr:uid="{00000000-0005-0000-0000-0000775E0000}"/>
    <cellStyle name="Note 14 2 3 2" xfId="21825" xr:uid="{00000000-0005-0000-0000-0000785E0000}"/>
    <cellStyle name="Note 14 2 4" xfId="8543" xr:uid="{00000000-0005-0000-0000-0000795E0000}"/>
    <cellStyle name="Note 14 2 4 2" xfId="19831" xr:uid="{00000000-0005-0000-0000-00007A5E0000}"/>
    <cellStyle name="Note 14 2 5" xfId="6549" xr:uid="{00000000-0005-0000-0000-00007B5E0000}"/>
    <cellStyle name="Note 14 2 5 2" xfId="17837" xr:uid="{00000000-0005-0000-0000-00007C5E0000}"/>
    <cellStyle name="Note 14 2 6" xfId="15843" xr:uid="{00000000-0005-0000-0000-00007D5E0000}"/>
    <cellStyle name="Note 14 3" xfId="11534" xr:uid="{00000000-0005-0000-0000-00007E5E0000}"/>
    <cellStyle name="Note 14 3 2" xfId="22822" xr:uid="{00000000-0005-0000-0000-00007F5E0000}"/>
    <cellStyle name="Note 14 4" xfId="9540" xr:uid="{00000000-0005-0000-0000-0000805E0000}"/>
    <cellStyle name="Note 14 4 2" xfId="20828" xr:uid="{00000000-0005-0000-0000-0000815E0000}"/>
    <cellStyle name="Note 14 5" xfId="7546" xr:uid="{00000000-0005-0000-0000-0000825E0000}"/>
    <cellStyle name="Note 14 5 2" xfId="18834" xr:uid="{00000000-0005-0000-0000-0000835E0000}"/>
    <cellStyle name="Note 14 6" xfId="5552" xr:uid="{00000000-0005-0000-0000-0000845E0000}"/>
    <cellStyle name="Note 14 6 2" xfId="16840" xr:uid="{00000000-0005-0000-0000-0000855E0000}"/>
    <cellStyle name="Note 14 7" xfId="14846" xr:uid="{00000000-0005-0000-0000-0000865E0000}"/>
    <cellStyle name="Note 14 8" xfId="13530" xr:uid="{00000000-0005-0000-0000-0000875E0000}"/>
    <cellStyle name="Note 15" xfId="3319" xr:uid="{00000000-0005-0000-0000-0000885E0000}"/>
    <cellStyle name="Note 15 2" xfId="4553" xr:uid="{00000000-0005-0000-0000-0000895E0000}"/>
    <cellStyle name="Note 15 2 2" xfId="12532" xr:uid="{00000000-0005-0000-0000-00008A5E0000}"/>
    <cellStyle name="Note 15 2 2 2" xfId="23820" xr:uid="{00000000-0005-0000-0000-00008B5E0000}"/>
    <cellStyle name="Note 15 2 3" xfId="10538" xr:uid="{00000000-0005-0000-0000-00008C5E0000}"/>
    <cellStyle name="Note 15 2 3 2" xfId="21826" xr:uid="{00000000-0005-0000-0000-00008D5E0000}"/>
    <cellStyle name="Note 15 2 4" xfId="8544" xr:uid="{00000000-0005-0000-0000-00008E5E0000}"/>
    <cellStyle name="Note 15 2 4 2" xfId="19832" xr:uid="{00000000-0005-0000-0000-00008F5E0000}"/>
    <cellStyle name="Note 15 2 5" xfId="6550" xr:uid="{00000000-0005-0000-0000-0000905E0000}"/>
    <cellStyle name="Note 15 2 5 2" xfId="17838" xr:uid="{00000000-0005-0000-0000-0000915E0000}"/>
    <cellStyle name="Note 15 2 6" xfId="15844" xr:uid="{00000000-0005-0000-0000-0000925E0000}"/>
    <cellStyle name="Note 15 3" xfId="11535" xr:uid="{00000000-0005-0000-0000-0000935E0000}"/>
    <cellStyle name="Note 15 3 2" xfId="22823" xr:uid="{00000000-0005-0000-0000-0000945E0000}"/>
    <cellStyle name="Note 15 4" xfId="9541" xr:uid="{00000000-0005-0000-0000-0000955E0000}"/>
    <cellStyle name="Note 15 4 2" xfId="20829" xr:uid="{00000000-0005-0000-0000-0000965E0000}"/>
    <cellStyle name="Note 15 5" xfId="7547" xr:uid="{00000000-0005-0000-0000-0000975E0000}"/>
    <cellStyle name="Note 15 5 2" xfId="18835" xr:uid="{00000000-0005-0000-0000-0000985E0000}"/>
    <cellStyle name="Note 15 6" xfId="5553" xr:uid="{00000000-0005-0000-0000-0000995E0000}"/>
    <cellStyle name="Note 15 6 2" xfId="16841" xr:uid="{00000000-0005-0000-0000-00009A5E0000}"/>
    <cellStyle name="Note 15 7" xfId="14847" xr:uid="{00000000-0005-0000-0000-00009B5E0000}"/>
    <cellStyle name="Note 15 8" xfId="13531" xr:uid="{00000000-0005-0000-0000-00009C5E0000}"/>
    <cellStyle name="Note 16" xfId="3320" xr:uid="{00000000-0005-0000-0000-00009D5E0000}"/>
    <cellStyle name="Note 16 2" xfId="4554" xr:uid="{00000000-0005-0000-0000-00009E5E0000}"/>
    <cellStyle name="Note 16 2 2" xfId="12533" xr:uid="{00000000-0005-0000-0000-00009F5E0000}"/>
    <cellStyle name="Note 16 2 2 2" xfId="23821" xr:uid="{00000000-0005-0000-0000-0000A05E0000}"/>
    <cellStyle name="Note 16 2 3" xfId="10539" xr:uid="{00000000-0005-0000-0000-0000A15E0000}"/>
    <cellStyle name="Note 16 2 3 2" xfId="21827" xr:uid="{00000000-0005-0000-0000-0000A25E0000}"/>
    <cellStyle name="Note 16 2 4" xfId="8545" xr:uid="{00000000-0005-0000-0000-0000A35E0000}"/>
    <cellStyle name="Note 16 2 4 2" xfId="19833" xr:uid="{00000000-0005-0000-0000-0000A45E0000}"/>
    <cellStyle name="Note 16 2 5" xfId="6551" xr:uid="{00000000-0005-0000-0000-0000A55E0000}"/>
    <cellStyle name="Note 16 2 5 2" xfId="17839" xr:uid="{00000000-0005-0000-0000-0000A65E0000}"/>
    <cellStyle name="Note 16 2 6" xfId="15845" xr:uid="{00000000-0005-0000-0000-0000A75E0000}"/>
    <cellStyle name="Note 16 3" xfId="11536" xr:uid="{00000000-0005-0000-0000-0000A85E0000}"/>
    <cellStyle name="Note 16 3 2" xfId="22824" xr:uid="{00000000-0005-0000-0000-0000A95E0000}"/>
    <cellStyle name="Note 16 4" xfId="9542" xr:uid="{00000000-0005-0000-0000-0000AA5E0000}"/>
    <cellStyle name="Note 16 4 2" xfId="20830" xr:uid="{00000000-0005-0000-0000-0000AB5E0000}"/>
    <cellStyle name="Note 16 5" xfId="7548" xr:uid="{00000000-0005-0000-0000-0000AC5E0000}"/>
    <cellStyle name="Note 16 5 2" xfId="18836" xr:uid="{00000000-0005-0000-0000-0000AD5E0000}"/>
    <cellStyle name="Note 16 6" xfId="5554" xr:uid="{00000000-0005-0000-0000-0000AE5E0000}"/>
    <cellStyle name="Note 16 6 2" xfId="16842" xr:uid="{00000000-0005-0000-0000-0000AF5E0000}"/>
    <cellStyle name="Note 16 7" xfId="14848" xr:uid="{00000000-0005-0000-0000-0000B05E0000}"/>
    <cellStyle name="Note 16 8" xfId="13532" xr:uid="{00000000-0005-0000-0000-0000B15E0000}"/>
    <cellStyle name="Note 17" xfId="3321" xr:uid="{00000000-0005-0000-0000-0000B25E0000}"/>
    <cellStyle name="Note 17 2" xfId="4555" xr:uid="{00000000-0005-0000-0000-0000B35E0000}"/>
    <cellStyle name="Note 17 2 2" xfId="12534" xr:uid="{00000000-0005-0000-0000-0000B45E0000}"/>
    <cellStyle name="Note 17 2 2 2" xfId="23822" xr:uid="{00000000-0005-0000-0000-0000B55E0000}"/>
    <cellStyle name="Note 17 2 3" xfId="10540" xr:uid="{00000000-0005-0000-0000-0000B65E0000}"/>
    <cellStyle name="Note 17 2 3 2" xfId="21828" xr:uid="{00000000-0005-0000-0000-0000B75E0000}"/>
    <cellStyle name="Note 17 2 4" xfId="8546" xr:uid="{00000000-0005-0000-0000-0000B85E0000}"/>
    <cellStyle name="Note 17 2 4 2" xfId="19834" xr:uid="{00000000-0005-0000-0000-0000B95E0000}"/>
    <cellStyle name="Note 17 2 5" xfId="6552" xr:uid="{00000000-0005-0000-0000-0000BA5E0000}"/>
    <cellStyle name="Note 17 2 5 2" xfId="17840" xr:uid="{00000000-0005-0000-0000-0000BB5E0000}"/>
    <cellStyle name="Note 17 2 6" xfId="15846" xr:uid="{00000000-0005-0000-0000-0000BC5E0000}"/>
    <cellStyle name="Note 17 3" xfId="11537" xr:uid="{00000000-0005-0000-0000-0000BD5E0000}"/>
    <cellStyle name="Note 17 3 2" xfId="22825" xr:uid="{00000000-0005-0000-0000-0000BE5E0000}"/>
    <cellStyle name="Note 17 4" xfId="9543" xr:uid="{00000000-0005-0000-0000-0000BF5E0000}"/>
    <cellStyle name="Note 17 4 2" xfId="20831" xr:uid="{00000000-0005-0000-0000-0000C05E0000}"/>
    <cellStyle name="Note 17 5" xfId="7549" xr:uid="{00000000-0005-0000-0000-0000C15E0000}"/>
    <cellStyle name="Note 17 5 2" xfId="18837" xr:uid="{00000000-0005-0000-0000-0000C25E0000}"/>
    <cellStyle name="Note 17 6" xfId="5555" xr:uid="{00000000-0005-0000-0000-0000C35E0000}"/>
    <cellStyle name="Note 17 6 2" xfId="16843" xr:uid="{00000000-0005-0000-0000-0000C45E0000}"/>
    <cellStyle name="Note 17 7" xfId="14849" xr:uid="{00000000-0005-0000-0000-0000C55E0000}"/>
    <cellStyle name="Note 17 8" xfId="13533" xr:uid="{00000000-0005-0000-0000-0000C65E0000}"/>
    <cellStyle name="Note 18" xfId="3322" xr:uid="{00000000-0005-0000-0000-0000C75E0000}"/>
    <cellStyle name="Note 18 2" xfId="4556" xr:uid="{00000000-0005-0000-0000-0000C85E0000}"/>
    <cellStyle name="Note 18 2 2" xfId="12535" xr:uid="{00000000-0005-0000-0000-0000C95E0000}"/>
    <cellStyle name="Note 18 2 2 2" xfId="23823" xr:uid="{00000000-0005-0000-0000-0000CA5E0000}"/>
    <cellStyle name="Note 18 2 3" xfId="10541" xr:uid="{00000000-0005-0000-0000-0000CB5E0000}"/>
    <cellStyle name="Note 18 2 3 2" xfId="21829" xr:uid="{00000000-0005-0000-0000-0000CC5E0000}"/>
    <cellStyle name="Note 18 2 4" xfId="8547" xr:uid="{00000000-0005-0000-0000-0000CD5E0000}"/>
    <cellStyle name="Note 18 2 4 2" xfId="19835" xr:uid="{00000000-0005-0000-0000-0000CE5E0000}"/>
    <cellStyle name="Note 18 2 5" xfId="6553" xr:uid="{00000000-0005-0000-0000-0000CF5E0000}"/>
    <cellStyle name="Note 18 2 5 2" xfId="17841" xr:uid="{00000000-0005-0000-0000-0000D05E0000}"/>
    <cellStyle name="Note 18 2 6" xfId="15847" xr:uid="{00000000-0005-0000-0000-0000D15E0000}"/>
    <cellStyle name="Note 18 3" xfId="11538" xr:uid="{00000000-0005-0000-0000-0000D25E0000}"/>
    <cellStyle name="Note 18 3 2" xfId="22826" xr:uid="{00000000-0005-0000-0000-0000D35E0000}"/>
    <cellStyle name="Note 18 4" xfId="9544" xr:uid="{00000000-0005-0000-0000-0000D45E0000}"/>
    <cellStyle name="Note 18 4 2" xfId="20832" xr:uid="{00000000-0005-0000-0000-0000D55E0000}"/>
    <cellStyle name="Note 18 5" xfId="7550" xr:uid="{00000000-0005-0000-0000-0000D65E0000}"/>
    <cellStyle name="Note 18 5 2" xfId="18838" xr:uid="{00000000-0005-0000-0000-0000D75E0000}"/>
    <cellStyle name="Note 18 6" xfId="5556" xr:uid="{00000000-0005-0000-0000-0000D85E0000}"/>
    <cellStyle name="Note 18 6 2" xfId="16844" xr:uid="{00000000-0005-0000-0000-0000D95E0000}"/>
    <cellStyle name="Note 18 7" xfId="14850" xr:uid="{00000000-0005-0000-0000-0000DA5E0000}"/>
    <cellStyle name="Note 18 8" xfId="13534" xr:uid="{00000000-0005-0000-0000-0000DB5E0000}"/>
    <cellStyle name="Note 19" xfId="3323" xr:uid="{00000000-0005-0000-0000-0000DC5E0000}"/>
    <cellStyle name="Note 19 2" xfId="4557" xr:uid="{00000000-0005-0000-0000-0000DD5E0000}"/>
    <cellStyle name="Note 19 2 2" xfId="12536" xr:uid="{00000000-0005-0000-0000-0000DE5E0000}"/>
    <cellStyle name="Note 19 2 2 2" xfId="23824" xr:uid="{00000000-0005-0000-0000-0000DF5E0000}"/>
    <cellStyle name="Note 19 2 3" xfId="10542" xr:uid="{00000000-0005-0000-0000-0000E05E0000}"/>
    <cellStyle name="Note 19 2 3 2" xfId="21830" xr:uid="{00000000-0005-0000-0000-0000E15E0000}"/>
    <cellStyle name="Note 19 2 4" xfId="8548" xr:uid="{00000000-0005-0000-0000-0000E25E0000}"/>
    <cellStyle name="Note 19 2 4 2" xfId="19836" xr:uid="{00000000-0005-0000-0000-0000E35E0000}"/>
    <cellStyle name="Note 19 2 5" xfId="6554" xr:uid="{00000000-0005-0000-0000-0000E45E0000}"/>
    <cellStyle name="Note 19 2 5 2" xfId="17842" xr:uid="{00000000-0005-0000-0000-0000E55E0000}"/>
    <cellStyle name="Note 19 2 6" xfId="15848" xr:uid="{00000000-0005-0000-0000-0000E65E0000}"/>
    <cellStyle name="Note 19 3" xfId="11539" xr:uid="{00000000-0005-0000-0000-0000E75E0000}"/>
    <cellStyle name="Note 19 3 2" xfId="22827" xr:uid="{00000000-0005-0000-0000-0000E85E0000}"/>
    <cellStyle name="Note 19 4" xfId="9545" xr:uid="{00000000-0005-0000-0000-0000E95E0000}"/>
    <cellStyle name="Note 19 4 2" xfId="20833" xr:uid="{00000000-0005-0000-0000-0000EA5E0000}"/>
    <cellStyle name="Note 19 5" xfId="7551" xr:uid="{00000000-0005-0000-0000-0000EB5E0000}"/>
    <cellStyle name="Note 19 5 2" xfId="18839" xr:uid="{00000000-0005-0000-0000-0000EC5E0000}"/>
    <cellStyle name="Note 19 6" xfId="5557" xr:uid="{00000000-0005-0000-0000-0000ED5E0000}"/>
    <cellStyle name="Note 19 6 2" xfId="16845" xr:uid="{00000000-0005-0000-0000-0000EE5E0000}"/>
    <cellStyle name="Note 19 7" xfId="14851" xr:uid="{00000000-0005-0000-0000-0000EF5E0000}"/>
    <cellStyle name="Note 19 8" xfId="13535" xr:uid="{00000000-0005-0000-0000-0000F05E0000}"/>
    <cellStyle name="Note 2" xfId="3324" xr:uid="{00000000-0005-0000-0000-0000F15E0000}"/>
    <cellStyle name="Note 2 10" xfId="25072" xr:uid="{00000000-0005-0000-0000-0000F25E0000}"/>
    <cellStyle name="Note 2 10 2" xfId="25396" xr:uid="{00000000-0005-0000-0000-0000F35E0000}"/>
    <cellStyle name="Note 2 10 2 2" xfId="27550" xr:uid="{00000000-0005-0000-0000-0000F45E0000}"/>
    <cellStyle name="Note 2 10 2 2 2" xfId="32141" xr:uid="{ED795074-B4B2-4DEB-9864-3BEC659C2323}"/>
    <cellStyle name="Note 2 10 2 3" xfId="26995" xr:uid="{00000000-0005-0000-0000-0000F55E0000}"/>
    <cellStyle name="Note 2 10 2 3 2" xfId="31756" xr:uid="{E3ED3DC2-EA43-4EDA-B768-D85FFEA8460A}"/>
    <cellStyle name="Note 2 10 2 4" xfId="27022" xr:uid="{00000000-0005-0000-0000-0000F65E0000}"/>
    <cellStyle name="Note 2 10 2 4 2" xfId="31782" xr:uid="{95DD3BD0-AADC-42A6-8647-9EE1F767CE7A}"/>
    <cellStyle name="Note 2 10 2 5" xfId="29314" xr:uid="{00000000-0005-0000-0000-0000F75E0000}"/>
    <cellStyle name="Note 2 10 2 5 2" xfId="33279" xr:uid="{12A2F255-3763-427C-B3D1-D51101DB3453}"/>
    <cellStyle name="Note 2 10 2 6" xfId="30554" xr:uid="{DB5B7E35-8A43-4EB6-8AC8-D2C86280612A}"/>
    <cellStyle name="Note 2 10 3" xfId="25676" xr:uid="{00000000-0005-0000-0000-0000F85E0000}"/>
    <cellStyle name="Note 2 10 3 2" xfId="27829" xr:uid="{00000000-0005-0000-0000-0000F95E0000}"/>
    <cellStyle name="Note 2 10 3 2 2" xfId="32416" xr:uid="{803D59E6-E361-4913-97AB-1E2382A01DEC}"/>
    <cellStyle name="Note 2 10 3 3" xfId="26488" xr:uid="{00000000-0005-0000-0000-0000FA5E0000}"/>
    <cellStyle name="Note 2 10 3 3 2" xfId="31276" xr:uid="{E7654906-ECE5-41D5-B07C-7C34E53F33AB}"/>
    <cellStyle name="Note 2 10 3 4" xfId="26208" xr:uid="{00000000-0005-0000-0000-0000FB5E0000}"/>
    <cellStyle name="Note 2 10 3 4 2" xfId="30996" xr:uid="{BE4F8778-6736-43B5-9773-1266BE68FD56}"/>
    <cellStyle name="Note 2 10 3 5" xfId="29313" xr:uid="{00000000-0005-0000-0000-0000FC5E0000}"/>
    <cellStyle name="Note 2 10 3 5 2" xfId="33278" xr:uid="{AE71FB73-1C04-4406-9E95-AC8B3CC87E05}"/>
    <cellStyle name="Note 2 10 3 6" xfId="30670" xr:uid="{2A5ECE81-5927-460E-B513-2404887CCA4E}"/>
    <cellStyle name="Note 2 10 4" xfId="27363" xr:uid="{00000000-0005-0000-0000-0000FD5E0000}"/>
    <cellStyle name="Note 2 10 4 2" xfId="31961" xr:uid="{65D60B22-CBB4-400A-AC3A-2DED091C8A2B}"/>
    <cellStyle name="Note 2 10 5" xfId="26412" xr:uid="{00000000-0005-0000-0000-0000FE5E0000}"/>
    <cellStyle name="Note 2 10 5 2" xfId="31200" xr:uid="{23F341C7-712E-4D2C-AE5B-DE6A4243D440}"/>
    <cellStyle name="Note 2 10 6" xfId="26234" xr:uid="{00000000-0005-0000-0000-0000FF5E0000}"/>
    <cellStyle name="Note 2 10 6 2" xfId="31022" xr:uid="{95B47169-799D-4793-816C-844DDB67347E}"/>
    <cellStyle name="Note 2 10 7" xfId="29315" xr:uid="{00000000-0005-0000-0000-0000005F0000}"/>
    <cellStyle name="Note 2 10 7 2" xfId="33280" xr:uid="{E52D3C94-8A03-47EC-B69C-65D064DE55EF}"/>
    <cellStyle name="Note 2 10 8" xfId="30378" xr:uid="{67981270-B86C-4BCD-A34E-12A5DE36C781}"/>
    <cellStyle name="Note 2 2" xfId="4558" xr:uid="{00000000-0005-0000-0000-0000015F0000}"/>
    <cellStyle name="Note 2 2 2" xfId="12537" xr:uid="{00000000-0005-0000-0000-0000025F0000}"/>
    <cellStyle name="Note 2 2 2 2" xfId="23825" xr:uid="{00000000-0005-0000-0000-0000035F0000}"/>
    <cellStyle name="Note 2 2 3" xfId="10543" xr:uid="{00000000-0005-0000-0000-0000045F0000}"/>
    <cellStyle name="Note 2 2 3 2" xfId="21831" xr:uid="{00000000-0005-0000-0000-0000055F0000}"/>
    <cellStyle name="Note 2 2 4" xfId="8549" xr:uid="{00000000-0005-0000-0000-0000065F0000}"/>
    <cellStyle name="Note 2 2 4 2" xfId="19837" xr:uid="{00000000-0005-0000-0000-0000075F0000}"/>
    <cellStyle name="Note 2 2 5" xfId="6555" xr:uid="{00000000-0005-0000-0000-0000085F0000}"/>
    <cellStyle name="Note 2 2 5 2" xfId="17843" xr:uid="{00000000-0005-0000-0000-0000095F0000}"/>
    <cellStyle name="Note 2 2 6" xfId="15849" xr:uid="{00000000-0005-0000-0000-00000A5F0000}"/>
    <cellStyle name="Note 2 2 7" xfId="24189" xr:uid="{00000000-0005-0000-0000-00000B5F0000}"/>
    <cellStyle name="Note 2 2 7 2" xfId="25413" xr:uid="{00000000-0005-0000-0000-00000C5F0000}"/>
    <cellStyle name="Note 2 2 7 2 2" xfId="27567" xr:uid="{00000000-0005-0000-0000-00000D5F0000}"/>
    <cellStyle name="Note 2 2 7 2 2 2" xfId="32158" xr:uid="{169D7C43-7A16-489C-9055-F5928126142E}"/>
    <cellStyle name="Note 2 2 7 2 3" xfId="26449" xr:uid="{00000000-0005-0000-0000-00000E5F0000}"/>
    <cellStyle name="Note 2 2 7 2 3 2" xfId="31237" xr:uid="{7A97FE70-2EF5-4225-BBF2-314E19A2FB53}"/>
    <cellStyle name="Note 2 2 7 2 4" xfId="26692" xr:uid="{00000000-0005-0000-0000-00000F5F0000}"/>
    <cellStyle name="Note 2 2 7 2 4 2" xfId="31454" xr:uid="{EC1FEF2A-F609-4CC8-B19E-2820CFD460B4}"/>
    <cellStyle name="Note 2 2 7 2 5" xfId="29311" xr:uid="{00000000-0005-0000-0000-0000105F0000}"/>
    <cellStyle name="Note 2 2 7 2 5 2" xfId="33276" xr:uid="{0BEE830D-C87E-43CF-A79B-1800BE0F3648}"/>
    <cellStyle name="Note 2 2 7 2 6" xfId="30571" xr:uid="{E4C56B17-1813-48AC-BEE6-9B19141E1375}"/>
    <cellStyle name="Note 2 2 7 3" xfId="25564" xr:uid="{00000000-0005-0000-0000-0000115F0000}"/>
    <cellStyle name="Note 2 2 7 3 2" xfId="27717" xr:uid="{00000000-0005-0000-0000-0000125F0000}"/>
    <cellStyle name="Note 2 2 7 3 2 2" xfId="32304" xr:uid="{432BFCAB-7922-44BD-938F-95BBE0249034}"/>
    <cellStyle name="Note 2 2 7 3 3" xfId="26725" xr:uid="{00000000-0005-0000-0000-0000135F0000}"/>
    <cellStyle name="Note 2 2 7 3 3 2" xfId="31486" xr:uid="{F163B9E1-29DA-4E41-81D9-C9582A11C23A}"/>
    <cellStyle name="Note 2 2 7 3 4" xfId="26483" xr:uid="{00000000-0005-0000-0000-0000145F0000}"/>
    <cellStyle name="Note 2 2 7 3 4 2" xfId="31271" xr:uid="{2648E547-47F7-4FE0-AB43-3B4CB4A483E4}"/>
    <cellStyle name="Note 2 2 7 3 5" xfId="29310" xr:uid="{00000000-0005-0000-0000-0000155F0000}"/>
    <cellStyle name="Note 2 2 7 3 5 2" xfId="33275" xr:uid="{1F0ED3A2-0841-4A8B-AFE0-122FA7EAB477}"/>
    <cellStyle name="Note 2 2 7 3 6" xfId="30621" xr:uid="{B54B5947-01C3-4320-827A-4170B89D4A2E}"/>
    <cellStyle name="Note 2 2 7 4" xfId="27089" xr:uid="{00000000-0005-0000-0000-0000165F0000}"/>
    <cellStyle name="Note 2 2 7 4 2" xfId="31813" xr:uid="{3C2F7081-3DAC-452E-B2C9-67543035D0DE}"/>
    <cellStyle name="Note 2 2 7 5" xfId="26967" xr:uid="{00000000-0005-0000-0000-0000175F0000}"/>
    <cellStyle name="Note 2 2 7 5 2" xfId="31728" xr:uid="{7A6AC54E-225A-456C-A992-255426DC1D3A}"/>
    <cellStyle name="Note 2 2 7 6" xfId="26787" xr:uid="{00000000-0005-0000-0000-0000185F0000}"/>
    <cellStyle name="Note 2 2 7 6 2" xfId="31548" xr:uid="{7368A84E-74F8-42A5-866A-141DCF4E1C55}"/>
    <cellStyle name="Note 2 2 7 7" xfId="29312" xr:uid="{00000000-0005-0000-0000-0000195F0000}"/>
    <cellStyle name="Note 2 2 7 7 2" xfId="33277" xr:uid="{4A48E003-899A-4635-A0EE-908E495A489C}"/>
    <cellStyle name="Note 2 2 7 8" xfId="30266" xr:uid="{A8C89ABE-37AC-43B4-A160-C6171A84BDCD}"/>
    <cellStyle name="Note 2 2 8" xfId="25073" xr:uid="{00000000-0005-0000-0000-00001A5F0000}"/>
    <cellStyle name="Note 2 2 8 2" xfId="25305" xr:uid="{00000000-0005-0000-0000-00001B5F0000}"/>
    <cellStyle name="Note 2 2 8 2 2" xfId="27459" xr:uid="{00000000-0005-0000-0000-00001C5F0000}"/>
    <cellStyle name="Note 2 2 8 2 2 2" xfId="32051" xr:uid="{7E7D7BC4-4FF5-4124-A7EB-41943EB6FC6F}"/>
    <cellStyle name="Note 2 2 8 2 3" xfId="26276" xr:uid="{00000000-0005-0000-0000-00001D5F0000}"/>
    <cellStyle name="Note 2 2 8 2 3 2" xfId="31064" xr:uid="{E2F65BB5-69C2-43D6-93D5-FBFE9ECA6728}"/>
    <cellStyle name="Note 2 2 8 2 4" xfId="26501" xr:uid="{00000000-0005-0000-0000-00001E5F0000}"/>
    <cellStyle name="Note 2 2 8 2 4 2" xfId="31289" xr:uid="{E8F2CDAF-71DF-41A5-AA52-50FAD1FA1604}"/>
    <cellStyle name="Note 2 2 8 2 5" xfId="29308" xr:uid="{00000000-0005-0000-0000-00001F5F0000}"/>
    <cellStyle name="Note 2 2 8 2 5 2" xfId="33273" xr:uid="{9502271A-FC77-450B-8BC6-57FECE1FD012}"/>
    <cellStyle name="Note 2 2 8 2 6" xfId="30464" xr:uid="{ED1A8589-C2DD-4525-ABA0-58B9E98F5659}"/>
    <cellStyle name="Note 2 2 8 3" xfId="25677" xr:uid="{00000000-0005-0000-0000-0000205F0000}"/>
    <cellStyle name="Note 2 2 8 3 2" xfId="27830" xr:uid="{00000000-0005-0000-0000-0000215F0000}"/>
    <cellStyle name="Note 2 2 8 3 2 2" xfId="32417" xr:uid="{660D9830-CD92-42FD-8F1B-3A0F9D88FEBD}"/>
    <cellStyle name="Note 2 2 8 3 3" xfId="26871" xr:uid="{00000000-0005-0000-0000-0000225F0000}"/>
    <cellStyle name="Note 2 2 8 3 3 2" xfId="31632" xr:uid="{F444B97D-740D-4D3D-BFA5-35257F062E93}"/>
    <cellStyle name="Note 2 2 8 3 4" xfId="26439" xr:uid="{00000000-0005-0000-0000-0000235F0000}"/>
    <cellStyle name="Note 2 2 8 3 4 2" xfId="31227" xr:uid="{9E32C757-93CD-45CF-805A-EF9C37E64678}"/>
    <cellStyle name="Note 2 2 8 3 5" xfId="29307" xr:uid="{00000000-0005-0000-0000-0000245F0000}"/>
    <cellStyle name="Note 2 2 8 3 5 2" xfId="33272" xr:uid="{BC2B08EC-FC95-4850-953F-262B9AF9911F}"/>
    <cellStyle name="Note 2 2 8 3 6" xfId="30671" xr:uid="{1AEB03C2-F7E1-41A8-B6CD-D9D9FE73473C}"/>
    <cellStyle name="Note 2 2 8 4" xfId="27364" xr:uid="{00000000-0005-0000-0000-0000255F0000}"/>
    <cellStyle name="Note 2 2 8 4 2" xfId="31962" xr:uid="{11C8F833-72BE-4190-A28D-D7173BBC7D9C}"/>
    <cellStyle name="Note 2 2 8 5" xfId="26802" xr:uid="{00000000-0005-0000-0000-0000265F0000}"/>
    <cellStyle name="Note 2 2 8 5 2" xfId="31563" xr:uid="{158345EE-2391-4F34-8E83-E268C7A71CD1}"/>
    <cellStyle name="Note 2 2 8 6" xfId="26854" xr:uid="{00000000-0005-0000-0000-0000275F0000}"/>
    <cellStyle name="Note 2 2 8 6 2" xfId="31615" xr:uid="{A56DD33B-52FF-4AD4-9133-822FED9FF235}"/>
    <cellStyle name="Note 2 2 8 7" xfId="29309" xr:uid="{00000000-0005-0000-0000-0000285F0000}"/>
    <cellStyle name="Note 2 2 8 7 2" xfId="33274" xr:uid="{12E43B7D-1D4F-490D-B6A0-773843719E12}"/>
    <cellStyle name="Note 2 2 8 8" xfId="30379" xr:uid="{018F3373-B5F4-4D1B-AEF7-889B9FC86EA8}"/>
    <cellStyle name="Note 2 3" xfId="11540" xr:uid="{00000000-0005-0000-0000-0000295F0000}"/>
    <cellStyle name="Note 2 3 2" xfId="22828" xr:uid="{00000000-0005-0000-0000-00002A5F0000}"/>
    <cellStyle name="Note 2 4" xfId="9546" xr:uid="{00000000-0005-0000-0000-00002B5F0000}"/>
    <cellStyle name="Note 2 4 2" xfId="20834" xr:uid="{00000000-0005-0000-0000-00002C5F0000}"/>
    <cellStyle name="Note 2 5" xfId="7552" xr:uid="{00000000-0005-0000-0000-00002D5F0000}"/>
    <cellStyle name="Note 2 5 2" xfId="18840" xr:uid="{00000000-0005-0000-0000-00002E5F0000}"/>
    <cellStyle name="Note 2 6" xfId="5558" xr:uid="{00000000-0005-0000-0000-00002F5F0000}"/>
    <cellStyle name="Note 2 6 2" xfId="16846" xr:uid="{00000000-0005-0000-0000-0000305F0000}"/>
    <cellStyle name="Note 2 7" xfId="14852" xr:uid="{00000000-0005-0000-0000-0000315F0000}"/>
    <cellStyle name="Note 2 8" xfId="13536" xr:uid="{00000000-0005-0000-0000-0000325F0000}"/>
    <cellStyle name="Note 2 9" xfId="24188" xr:uid="{00000000-0005-0000-0000-0000335F0000}"/>
    <cellStyle name="Note 2 9 2" xfId="25311" xr:uid="{00000000-0005-0000-0000-0000345F0000}"/>
    <cellStyle name="Note 2 9 2 2" xfId="27465" xr:uid="{00000000-0005-0000-0000-0000355F0000}"/>
    <cellStyle name="Note 2 9 2 2 2" xfId="32057" xr:uid="{75138C7E-A1CF-4881-A064-E8B5D64E8FAA}"/>
    <cellStyle name="Note 2 9 2 3" xfId="26837" xr:uid="{00000000-0005-0000-0000-0000365F0000}"/>
    <cellStyle name="Note 2 9 2 3 2" xfId="31598" xr:uid="{3D56A009-D419-402E-81FD-EC1F04BBE60A}"/>
    <cellStyle name="Note 2 9 2 4" xfId="26293" xr:uid="{00000000-0005-0000-0000-0000375F0000}"/>
    <cellStyle name="Note 2 9 2 4 2" xfId="31081" xr:uid="{55896BA1-B9F8-41FB-B1D7-1F6E32C4E237}"/>
    <cellStyle name="Note 2 9 2 5" xfId="29305" xr:uid="{00000000-0005-0000-0000-0000385F0000}"/>
    <cellStyle name="Note 2 9 2 5 2" xfId="33270" xr:uid="{6938A78F-400E-4825-8311-48C0CB394A15}"/>
    <cellStyle name="Note 2 9 2 6" xfId="30470" xr:uid="{4572FE7E-DF9D-4393-9A56-2C5BEFF59353}"/>
    <cellStyle name="Note 2 9 3" xfId="25563" xr:uid="{00000000-0005-0000-0000-0000395F0000}"/>
    <cellStyle name="Note 2 9 3 2" xfId="27716" xr:uid="{00000000-0005-0000-0000-00003A5F0000}"/>
    <cellStyle name="Note 2 9 3 2 2" xfId="32303" xr:uid="{8239A794-E344-4343-A163-EEF6AB8FA92C}"/>
    <cellStyle name="Note 2 9 3 3" xfId="26310" xr:uid="{00000000-0005-0000-0000-00003B5F0000}"/>
    <cellStyle name="Note 2 9 3 3 2" xfId="31098" xr:uid="{CC66EC9F-1811-42EF-82D3-C9F0568470E9}"/>
    <cellStyle name="Note 2 9 3 4" xfId="26463" xr:uid="{00000000-0005-0000-0000-00003C5F0000}"/>
    <cellStyle name="Note 2 9 3 4 2" xfId="31251" xr:uid="{DF6CBA9F-FD3E-440E-A9C7-59B340C8F2FE}"/>
    <cellStyle name="Note 2 9 3 5" xfId="29304" xr:uid="{00000000-0005-0000-0000-00003D5F0000}"/>
    <cellStyle name="Note 2 9 3 5 2" xfId="33269" xr:uid="{3B2C4CC9-886B-4FAC-9C32-AFA20D0CA4ED}"/>
    <cellStyle name="Note 2 9 3 6" xfId="30620" xr:uid="{F66AB64F-E090-4EB6-AA97-C7972D739FDA}"/>
    <cellStyle name="Note 2 9 4" xfId="27088" xr:uid="{00000000-0005-0000-0000-00003E5F0000}"/>
    <cellStyle name="Note 2 9 4 2" xfId="31812" xr:uid="{7E355FD8-1B45-4CB2-A37C-2AF3611778D5}"/>
    <cellStyle name="Note 2 9 5" xfId="26236" xr:uid="{00000000-0005-0000-0000-00003F5F0000}"/>
    <cellStyle name="Note 2 9 5 2" xfId="31024" xr:uid="{8DAA8540-B2FD-4BD6-B7C7-215B2DE70E36}"/>
    <cellStyle name="Note 2 9 6" xfId="26328" xr:uid="{00000000-0005-0000-0000-0000405F0000}"/>
    <cellStyle name="Note 2 9 6 2" xfId="31116" xr:uid="{9C6DF302-F321-49B8-B606-9806BF2E6D01}"/>
    <cellStyle name="Note 2 9 7" xfId="29306" xr:uid="{00000000-0005-0000-0000-0000415F0000}"/>
    <cellStyle name="Note 2 9 7 2" xfId="33271" xr:uid="{8107E51A-3AC4-4C7C-A01C-75FBB883564B}"/>
    <cellStyle name="Note 2 9 8" xfId="30265" xr:uid="{E0763D03-A217-4FF4-8735-C4249CDD5A2E}"/>
    <cellStyle name="Note 20" xfId="3325" xr:uid="{00000000-0005-0000-0000-0000425F0000}"/>
    <cellStyle name="Note 20 2" xfId="4559" xr:uid="{00000000-0005-0000-0000-0000435F0000}"/>
    <cellStyle name="Note 20 2 2" xfId="12538" xr:uid="{00000000-0005-0000-0000-0000445F0000}"/>
    <cellStyle name="Note 20 2 2 2" xfId="23826" xr:uid="{00000000-0005-0000-0000-0000455F0000}"/>
    <cellStyle name="Note 20 2 3" xfId="10544" xr:uid="{00000000-0005-0000-0000-0000465F0000}"/>
    <cellStyle name="Note 20 2 3 2" xfId="21832" xr:uid="{00000000-0005-0000-0000-0000475F0000}"/>
    <cellStyle name="Note 20 2 4" xfId="8550" xr:uid="{00000000-0005-0000-0000-0000485F0000}"/>
    <cellStyle name="Note 20 2 4 2" xfId="19838" xr:uid="{00000000-0005-0000-0000-0000495F0000}"/>
    <cellStyle name="Note 20 2 5" xfId="6556" xr:uid="{00000000-0005-0000-0000-00004A5F0000}"/>
    <cellStyle name="Note 20 2 5 2" xfId="17844" xr:uid="{00000000-0005-0000-0000-00004B5F0000}"/>
    <cellStyle name="Note 20 2 6" xfId="15850" xr:uid="{00000000-0005-0000-0000-00004C5F0000}"/>
    <cellStyle name="Note 20 3" xfId="11541" xr:uid="{00000000-0005-0000-0000-00004D5F0000}"/>
    <cellStyle name="Note 20 3 2" xfId="22829" xr:uid="{00000000-0005-0000-0000-00004E5F0000}"/>
    <cellStyle name="Note 20 4" xfId="9547" xr:uid="{00000000-0005-0000-0000-00004F5F0000}"/>
    <cellStyle name="Note 20 4 2" xfId="20835" xr:uid="{00000000-0005-0000-0000-0000505F0000}"/>
    <cellStyle name="Note 20 5" xfId="7553" xr:uid="{00000000-0005-0000-0000-0000515F0000}"/>
    <cellStyle name="Note 20 5 2" xfId="18841" xr:uid="{00000000-0005-0000-0000-0000525F0000}"/>
    <cellStyle name="Note 20 6" xfId="5559" xr:uid="{00000000-0005-0000-0000-0000535F0000}"/>
    <cellStyle name="Note 20 6 2" xfId="16847" xr:uid="{00000000-0005-0000-0000-0000545F0000}"/>
    <cellStyle name="Note 20 7" xfId="14853" xr:uid="{00000000-0005-0000-0000-0000555F0000}"/>
    <cellStyle name="Note 20 8" xfId="13537" xr:uid="{00000000-0005-0000-0000-0000565F0000}"/>
    <cellStyle name="Note 21" xfId="3326" xr:uid="{00000000-0005-0000-0000-0000575F0000}"/>
    <cellStyle name="Note 21 2" xfId="4560" xr:uid="{00000000-0005-0000-0000-0000585F0000}"/>
    <cellStyle name="Note 21 2 2" xfId="12539" xr:uid="{00000000-0005-0000-0000-0000595F0000}"/>
    <cellStyle name="Note 21 2 2 2" xfId="23827" xr:uid="{00000000-0005-0000-0000-00005A5F0000}"/>
    <cellStyle name="Note 21 2 3" xfId="10545" xr:uid="{00000000-0005-0000-0000-00005B5F0000}"/>
    <cellStyle name="Note 21 2 3 2" xfId="21833" xr:uid="{00000000-0005-0000-0000-00005C5F0000}"/>
    <cellStyle name="Note 21 2 4" xfId="8551" xr:uid="{00000000-0005-0000-0000-00005D5F0000}"/>
    <cellStyle name="Note 21 2 4 2" xfId="19839" xr:uid="{00000000-0005-0000-0000-00005E5F0000}"/>
    <cellStyle name="Note 21 2 5" xfId="6557" xr:uid="{00000000-0005-0000-0000-00005F5F0000}"/>
    <cellStyle name="Note 21 2 5 2" xfId="17845" xr:uid="{00000000-0005-0000-0000-0000605F0000}"/>
    <cellStyle name="Note 21 2 6" xfId="15851" xr:uid="{00000000-0005-0000-0000-0000615F0000}"/>
    <cellStyle name="Note 21 3" xfId="11542" xr:uid="{00000000-0005-0000-0000-0000625F0000}"/>
    <cellStyle name="Note 21 3 2" xfId="22830" xr:uid="{00000000-0005-0000-0000-0000635F0000}"/>
    <cellStyle name="Note 21 4" xfId="9548" xr:uid="{00000000-0005-0000-0000-0000645F0000}"/>
    <cellStyle name="Note 21 4 2" xfId="20836" xr:uid="{00000000-0005-0000-0000-0000655F0000}"/>
    <cellStyle name="Note 21 5" xfId="7554" xr:uid="{00000000-0005-0000-0000-0000665F0000}"/>
    <cellStyle name="Note 21 5 2" xfId="18842" xr:uid="{00000000-0005-0000-0000-0000675F0000}"/>
    <cellStyle name="Note 21 6" xfId="5560" xr:uid="{00000000-0005-0000-0000-0000685F0000}"/>
    <cellStyle name="Note 21 6 2" xfId="16848" xr:uid="{00000000-0005-0000-0000-0000695F0000}"/>
    <cellStyle name="Note 21 7" xfId="14854" xr:uid="{00000000-0005-0000-0000-00006A5F0000}"/>
    <cellStyle name="Note 21 8" xfId="13538" xr:uid="{00000000-0005-0000-0000-00006B5F0000}"/>
    <cellStyle name="Note 22" xfId="3327" xr:uid="{00000000-0005-0000-0000-00006C5F0000}"/>
    <cellStyle name="Note 22 2" xfId="4561" xr:uid="{00000000-0005-0000-0000-00006D5F0000}"/>
    <cellStyle name="Note 22 2 2" xfId="12540" xr:uid="{00000000-0005-0000-0000-00006E5F0000}"/>
    <cellStyle name="Note 22 2 2 2" xfId="23828" xr:uid="{00000000-0005-0000-0000-00006F5F0000}"/>
    <cellStyle name="Note 22 2 3" xfId="10546" xr:uid="{00000000-0005-0000-0000-0000705F0000}"/>
    <cellStyle name="Note 22 2 3 2" xfId="21834" xr:uid="{00000000-0005-0000-0000-0000715F0000}"/>
    <cellStyle name="Note 22 2 4" xfId="8552" xr:uid="{00000000-0005-0000-0000-0000725F0000}"/>
    <cellStyle name="Note 22 2 4 2" xfId="19840" xr:uid="{00000000-0005-0000-0000-0000735F0000}"/>
    <cellStyle name="Note 22 2 5" xfId="6558" xr:uid="{00000000-0005-0000-0000-0000745F0000}"/>
    <cellStyle name="Note 22 2 5 2" xfId="17846" xr:uid="{00000000-0005-0000-0000-0000755F0000}"/>
    <cellStyle name="Note 22 2 6" xfId="15852" xr:uid="{00000000-0005-0000-0000-0000765F0000}"/>
    <cellStyle name="Note 22 3" xfId="11543" xr:uid="{00000000-0005-0000-0000-0000775F0000}"/>
    <cellStyle name="Note 22 3 2" xfId="22831" xr:uid="{00000000-0005-0000-0000-0000785F0000}"/>
    <cellStyle name="Note 22 4" xfId="9549" xr:uid="{00000000-0005-0000-0000-0000795F0000}"/>
    <cellStyle name="Note 22 4 2" xfId="20837" xr:uid="{00000000-0005-0000-0000-00007A5F0000}"/>
    <cellStyle name="Note 22 5" xfId="7555" xr:uid="{00000000-0005-0000-0000-00007B5F0000}"/>
    <cellStyle name="Note 22 5 2" xfId="18843" xr:uid="{00000000-0005-0000-0000-00007C5F0000}"/>
    <cellStyle name="Note 22 6" xfId="5561" xr:uid="{00000000-0005-0000-0000-00007D5F0000}"/>
    <cellStyle name="Note 22 6 2" xfId="16849" xr:uid="{00000000-0005-0000-0000-00007E5F0000}"/>
    <cellStyle name="Note 22 7" xfId="14855" xr:uid="{00000000-0005-0000-0000-00007F5F0000}"/>
    <cellStyle name="Note 22 8" xfId="13539" xr:uid="{00000000-0005-0000-0000-0000805F0000}"/>
    <cellStyle name="Note 23" xfId="3328" xr:uid="{00000000-0005-0000-0000-0000815F0000}"/>
    <cellStyle name="Note 23 2" xfId="4562" xr:uid="{00000000-0005-0000-0000-0000825F0000}"/>
    <cellStyle name="Note 23 2 2" xfId="12541" xr:uid="{00000000-0005-0000-0000-0000835F0000}"/>
    <cellStyle name="Note 23 2 2 2" xfId="23829" xr:uid="{00000000-0005-0000-0000-0000845F0000}"/>
    <cellStyle name="Note 23 2 3" xfId="10547" xr:uid="{00000000-0005-0000-0000-0000855F0000}"/>
    <cellStyle name="Note 23 2 3 2" xfId="21835" xr:uid="{00000000-0005-0000-0000-0000865F0000}"/>
    <cellStyle name="Note 23 2 4" xfId="8553" xr:uid="{00000000-0005-0000-0000-0000875F0000}"/>
    <cellStyle name="Note 23 2 4 2" xfId="19841" xr:uid="{00000000-0005-0000-0000-0000885F0000}"/>
    <cellStyle name="Note 23 2 5" xfId="6559" xr:uid="{00000000-0005-0000-0000-0000895F0000}"/>
    <cellStyle name="Note 23 2 5 2" xfId="17847" xr:uid="{00000000-0005-0000-0000-00008A5F0000}"/>
    <cellStyle name="Note 23 2 6" xfId="15853" xr:uid="{00000000-0005-0000-0000-00008B5F0000}"/>
    <cellStyle name="Note 23 3" xfId="11544" xr:uid="{00000000-0005-0000-0000-00008C5F0000}"/>
    <cellStyle name="Note 23 3 2" xfId="22832" xr:uid="{00000000-0005-0000-0000-00008D5F0000}"/>
    <cellStyle name="Note 23 4" xfId="9550" xr:uid="{00000000-0005-0000-0000-00008E5F0000}"/>
    <cellStyle name="Note 23 4 2" xfId="20838" xr:uid="{00000000-0005-0000-0000-00008F5F0000}"/>
    <cellStyle name="Note 23 5" xfId="7556" xr:uid="{00000000-0005-0000-0000-0000905F0000}"/>
    <cellStyle name="Note 23 5 2" xfId="18844" xr:uid="{00000000-0005-0000-0000-0000915F0000}"/>
    <cellStyle name="Note 23 6" xfId="5562" xr:uid="{00000000-0005-0000-0000-0000925F0000}"/>
    <cellStyle name="Note 23 6 2" xfId="16850" xr:uid="{00000000-0005-0000-0000-0000935F0000}"/>
    <cellStyle name="Note 23 7" xfId="14856" xr:uid="{00000000-0005-0000-0000-0000945F0000}"/>
    <cellStyle name="Note 23 8" xfId="13540" xr:uid="{00000000-0005-0000-0000-0000955F0000}"/>
    <cellStyle name="Note 24" xfId="3329" xr:uid="{00000000-0005-0000-0000-0000965F0000}"/>
    <cellStyle name="Note 24 2" xfId="4563" xr:uid="{00000000-0005-0000-0000-0000975F0000}"/>
    <cellStyle name="Note 24 2 2" xfId="12542" xr:uid="{00000000-0005-0000-0000-0000985F0000}"/>
    <cellStyle name="Note 24 2 2 2" xfId="23830" xr:uid="{00000000-0005-0000-0000-0000995F0000}"/>
    <cellStyle name="Note 24 2 3" xfId="10548" xr:uid="{00000000-0005-0000-0000-00009A5F0000}"/>
    <cellStyle name="Note 24 2 3 2" xfId="21836" xr:uid="{00000000-0005-0000-0000-00009B5F0000}"/>
    <cellStyle name="Note 24 2 4" xfId="8554" xr:uid="{00000000-0005-0000-0000-00009C5F0000}"/>
    <cellStyle name="Note 24 2 4 2" xfId="19842" xr:uid="{00000000-0005-0000-0000-00009D5F0000}"/>
    <cellStyle name="Note 24 2 5" xfId="6560" xr:uid="{00000000-0005-0000-0000-00009E5F0000}"/>
    <cellStyle name="Note 24 2 5 2" xfId="17848" xr:uid="{00000000-0005-0000-0000-00009F5F0000}"/>
    <cellStyle name="Note 24 2 6" xfId="15854" xr:uid="{00000000-0005-0000-0000-0000A05F0000}"/>
    <cellStyle name="Note 24 3" xfId="11545" xr:uid="{00000000-0005-0000-0000-0000A15F0000}"/>
    <cellStyle name="Note 24 3 2" xfId="22833" xr:uid="{00000000-0005-0000-0000-0000A25F0000}"/>
    <cellStyle name="Note 24 4" xfId="9551" xr:uid="{00000000-0005-0000-0000-0000A35F0000}"/>
    <cellStyle name="Note 24 4 2" xfId="20839" xr:uid="{00000000-0005-0000-0000-0000A45F0000}"/>
    <cellStyle name="Note 24 5" xfId="7557" xr:uid="{00000000-0005-0000-0000-0000A55F0000}"/>
    <cellStyle name="Note 24 5 2" xfId="18845" xr:uid="{00000000-0005-0000-0000-0000A65F0000}"/>
    <cellStyle name="Note 24 6" xfId="5563" xr:uid="{00000000-0005-0000-0000-0000A75F0000}"/>
    <cellStyle name="Note 24 6 2" xfId="16851" xr:uid="{00000000-0005-0000-0000-0000A85F0000}"/>
    <cellStyle name="Note 24 7" xfId="14857" xr:uid="{00000000-0005-0000-0000-0000A95F0000}"/>
    <cellStyle name="Note 24 8" xfId="13541" xr:uid="{00000000-0005-0000-0000-0000AA5F0000}"/>
    <cellStyle name="Note 25" xfId="3330" xr:uid="{00000000-0005-0000-0000-0000AB5F0000}"/>
    <cellStyle name="Note 25 2" xfId="4564" xr:uid="{00000000-0005-0000-0000-0000AC5F0000}"/>
    <cellStyle name="Note 25 2 2" xfId="12543" xr:uid="{00000000-0005-0000-0000-0000AD5F0000}"/>
    <cellStyle name="Note 25 2 2 2" xfId="23831" xr:uid="{00000000-0005-0000-0000-0000AE5F0000}"/>
    <cellStyle name="Note 25 2 3" xfId="10549" xr:uid="{00000000-0005-0000-0000-0000AF5F0000}"/>
    <cellStyle name="Note 25 2 3 2" xfId="21837" xr:uid="{00000000-0005-0000-0000-0000B05F0000}"/>
    <cellStyle name="Note 25 2 4" xfId="8555" xr:uid="{00000000-0005-0000-0000-0000B15F0000}"/>
    <cellStyle name="Note 25 2 4 2" xfId="19843" xr:uid="{00000000-0005-0000-0000-0000B25F0000}"/>
    <cellStyle name="Note 25 2 5" xfId="6561" xr:uid="{00000000-0005-0000-0000-0000B35F0000}"/>
    <cellStyle name="Note 25 2 5 2" xfId="17849" xr:uid="{00000000-0005-0000-0000-0000B45F0000}"/>
    <cellStyle name="Note 25 2 6" xfId="15855" xr:uid="{00000000-0005-0000-0000-0000B55F0000}"/>
    <cellStyle name="Note 25 3" xfId="11546" xr:uid="{00000000-0005-0000-0000-0000B65F0000}"/>
    <cellStyle name="Note 25 3 2" xfId="22834" xr:uid="{00000000-0005-0000-0000-0000B75F0000}"/>
    <cellStyle name="Note 25 4" xfId="9552" xr:uid="{00000000-0005-0000-0000-0000B85F0000}"/>
    <cellStyle name="Note 25 4 2" xfId="20840" xr:uid="{00000000-0005-0000-0000-0000B95F0000}"/>
    <cellStyle name="Note 25 5" xfId="7558" xr:uid="{00000000-0005-0000-0000-0000BA5F0000}"/>
    <cellStyle name="Note 25 5 2" xfId="18846" xr:uid="{00000000-0005-0000-0000-0000BB5F0000}"/>
    <cellStyle name="Note 25 6" xfId="5564" xr:uid="{00000000-0005-0000-0000-0000BC5F0000}"/>
    <cellStyle name="Note 25 6 2" xfId="16852" xr:uid="{00000000-0005-0000-0000-0000BD5F0000}"/>
    <cellStyle name="Note 25 7" xfId="14858" xr:uid="{00000000-0005-0000-0000-0000BE5F0000}"/>
    <cellStyle name="Note 25 8" xfId="13542" xr:uid="{00000000-0005-0000-0000-0000BF5F0000}"/>
    <cellStyle name="Note 26" xfId="3331" xr:uid="{00000000-0005-0000-0000-0000C05F0000}"/>
    <cellStyle name="Note 26 2" xfId="4565" xr:uid="{00000000-0005-0000-0000-0000C15F0000}"/>
    <cellStyle name="Note 26 2 2" xfId="12544" xr:uid="{00000000-0005-0000-0000-0000C25F0000}"/>
    <cellStyle name="Note 26 2 2 2" xfId="23832" xr:uid="{00000000-0005-0000-0000-0000C35F0000}"/>
    <cellStyle name="Note 26 2 3" xfId="10550" xr:uid="{00000000-0005-0000-0000-0000C45F0000}"/>
    <cellStyle name="Note 26 2 3 2" xfId="21838" xr:uid="{00000000-0005-0000-0000-0000C55F0000}"/>
    <cellStyle name="Note 26 2 4" xfId="8556" xr:uid="{00000000-0005-0000-0000-0000C65F0000}"/>
    <cellStyle name="Note 26 2 4 2" xfId="19844" xr:uid="{00000000-0005-0000-0000-0000C75F0000}"/>
    <cellStyle name="Note 26 2 5" xfId="6562" xr:uid="{00000000-0005-0000-0000-0000C85F0000}"/>
    <cellStyle name="Note 26 2 5 2" xfId="17850" xr:uid="{00000000-0005-0000-0000-0000C95F0000}"/>
    <cellStyle name="Note 26 2 6" xfId="15856" xr:uid="{00000000-0005-0000-0000-0000CA5F0000}"/>
    <cellStyle name="Note 26 3" xfId="11547" xr:uid="{00000000-0005-0000-0000-0000CB5F0000}"/>
    <cellStyle name="Note 26 3 2" xfId="22835" xr:uid="{00000000-0005-0000-0000-0000CC5F0000}"/>
    <cellStyle name="Note 26 4" xfId="9553" xr:uid="{00000000-0005-0000-0000-0000CD5F0000}"/>
    <cellStyle name="Note 26 4 2" xfId="20841" xr:uid="{00000000-0005-0000-0000-0000CE5F0000}"/>
    <cellStyle name="Note 26 5" xfId="7559" xr:uid="{00000000-0005-0000-0000-0000CF5F0000}"/>
    <cellStyle name="Note 26 5 2" xfId="18847" xr:uid="{00000000-0005-0000-0000-0000D05F0000}"/>
    <cellStyle name="Note 26 6" xfId="5565" xr:uid="{00000000-0005-0000-0000-0000D15F0000}"/>
    <cellStyle name="Note 26 6 2" xfId="16853" xr:uid="{00000000-0005-0000-0000-0000D25F0000}"/>
    <cellStyle name="Note 26 7" xfId="14859" xr:uid="{00000000-0005-0000-0000-0000D35F0000}"/>
    <cellStyle name="Note 26 8" xfId="13543" xr:uid="{00000000-0005-0000-0000-0000D45F0000}"/>
    <cellStyle name="Note 27" xfId="3332" xr:uid="{00000000-0005-0000-0000-0000D55F0000}"/>
    <cellStyle name="Note 27 2" xfId="4566" xr:uid="{00000000-0005-0000-0000-0000D65F0000}"/>
    <cellStyle name="Note 27 2 2" xfId="12545" xr:uid="{00000000-0005-0000-0000-0000D75F0000}"/>
    <cellStyle name="Note 27 2 2 2" xfId="23833" xr:uid="{00000000-0005-0000-0000-0000D85F0000}"/>
    <cellStyle name="Note 27 2 3" xfId="10551" xr:uid="{00000000-0005-0000-0000-0000D95F0000}"/>
    <cellStyle name="Note 27 2 3 2" xfId="21839" xr:uid="{00000000-0005-0000-0000-0000DA5F0000}"/>
    <cellStyle name="Note 27 2 4" xfId="8557" xr:uid="{00000000-0005-0000-0000-0000DB5F0000}"/>
    <cellStyle name="Note 27 2 4 2" xfId="19845" xr:uid="{00000000-0005-0000-0000-0000DC5F0000}"/>
    <cellStyle name="Note 27 2 5" xfId="6563" xr:uid="{00000000-0005-0000-0000-0000DD5F0000}"/>
    <cellStyle name="Note 27 2 5 2" xfId="17851" xr:uid="{00000000-0005-0000-0000-0000DE5F0000}"/>
    <cellStyle name="Note 27 2 6" xfId="15857" xr:uid="{00000000-0005-0000-0000-0000DF5F0000}"/>
    <cellStyle name="Note 27 3" xfId="11548" xr:uid="{00000000-0005-0000-0000-0000E05F0000}"/>
    <cellStyle name="Note 27 3 2" xfId="22836" xr:uid="{00000000-0005-0000-0000-0000E15F0000}"/>
    <cellStyle name="Note 27 4" xfId="9554" xr:uid="{00000000-0005-0000-0000-0000E25F0000}"/>
    <cellStyle name="Note 27 4 2" xfId="20842" xr:uid="{00000000-0005-0000-0000-0000E35F0000}"/>
    <cellStyle name="Note 27 5" xfId="7560" xr:uid="{00000000-0005-0000-0000-0000E45F0000}"/>
    <cellStyle name="Note 27 5 2" xfId="18848" xr:uid="{00000000-0005-0000-0000-0000E55F0000}"/>
    <cellStyle name="Note 27 6" xfId="5566" xr:uid="{00000000-0005-0000-0000-0000E65F0000}"/>
    <cellStyle name="Note 27 6 2" xfId="16854" xr:uid="{00000000-0005-0000-0000-0000E75F0000}"/>
    <cellStyle name="Note 27 7" xfId="14860" xr:uid="{00000000-0005-0000-0000-0000E85F0000}"/>
    <cellStyle name="Note 27 8" xfId="13544" xr:uid="{00000000-0005-0000-0000-0000E95F0000}"/>
    <cellStyle name="Note 28" xfId="3333" xr:uid="{00000000-0005-0000-0000-0000EA5F0000}"/>
    <cellStyle name="Note 28 2" xfId="4567" xr:uid="{00000000-0005-0000-0000-0000EB5F0000}"/>
    <cellStyle name="Note 28 2 2" xfId="12546" xr:uid="{00000000-0005-0000-0000-0000EC5F0000}"/>
    <cellStyle name="Note 28 2 2 2" xfId="23834" xr:uid="{00000000-0005-0000-0000-0000ED5F0000}"/>
    <cellStyle name="Note 28 2 3" xfId="10552" xr:uid="{00000000-0005-0000-0000-0000EE5F0000}"/>
    <cellStyle name="Note 28 2 3 2" xfId="21840" xr:uid="{00000000-0005-0000-0000-0000EF5F0000}"/>
    <cellStyle name="Note 28 2 4" xfId="8558" xr:uid="{00000000-0005-0000-0000-0000F05F0000}"/>
    <cellStyle name="Note 28 2 4 2" xfId="19846" xr:uid="{00000000-0005-0000-0000-0000F15F0000}"/>
    <cellStyle name="Note 28 2 5" xfId="6564" xr:uid="{00000000-0005-0000-0000-0000F25F0000}"/>
    <cellStyle name="Note 28 2 5 2" xfId="17852" xr:uid="{00000000-0005-0000-0000-0000F35F0000}"/>
    <cellStyle name="Note 28 2 6" xfId="15858" xr:uid="{00000000-0005-0000-0000-0000F45F0000}"/>
    <cellStyle name="Note 28 3" xfId="11549" xr:uid="{00000000-0005-0000-0000-0000F55F0000}"/>
    <cellStyle name="Note 28 3 2" xfId="22837" xr:uid="{00000000-0005-0000-0000-0000F65F0000}"/>
    <cellStyle name="Note 28 4" xfId="9555" xr:uid="{00000000-0005-0000-0000-0000F75F0000}"/>
    <cellStyle name="Note 28 4 2" xfId="20843" xr:uid="{00000000-0005-0000-0000-0000F85F0000}"/>
    <cellStyle name="Note 28 5" xfId="7561" xr:uid="{00000000-0005-0000-0000-0000F95F0000}"/>
    <cellStyle name="Note 28 5 2" xfId="18849" xr:uid="{00000000-0005-0000-0000-0000FA5F0000}"/>
    <cellStyle name="Note 28 6" xfId="5567" xr:uid="{00000000-0005-0000-0000-0000FB5F0000}"/>
    <cellStyle name="Note 28 6 2" xfId="16855" xr:uid="{00000000-0005-0000-0000-0000FC5F0000}"/>
    <cellStyle name="Note 28 7" xfId="14861" xr:uid="{00000000-0005-0000-0000-0000FD5F0000}"/>
    <cellStyle name="Note 28 8" xfId="13545" xr:uid="{00000000-0005-0000-0000-0000FE5F0000}"/>
    <cellStyle name="Note 29" xfId="3334" xr:uid="{00000000-0005-0000-0000-0000FF5F0000}"/>
    <cellStyle name="Note 29 2" xfId="4568" xr:uid="{00000000-0005-0000-0000-000000600000}"/>
    <cellStyle name="Note 29 2 2" xfId="12547" xr:uid="{00000000-0005-0000-0000-000001600000}"/>
    <cellStyle name="Note 29 2 2 2" xfId="23835" xr:uid="{00000000-0005-0000-0000-000002600000}"/>
    <cellStyle name="Note 29 2 3" xfId="10553" xr:uid="{00000000-0005-0000-0000-000003600000}"/>
    <cellStyle name="Note 29 2 3 2" xfId="21841" xr:uid="{00000000-0005-0000-0000-000004600000}"/>
    <cellStyle name="Note 29 2 4" xfId="8559" xr:uid="{00000000-0005-0000-0000-000005600000}"/>
    <cellStyle name="Note 29 2 4 2" xfId="19847" xr:uid="{00000000-0005-0000-0000-000006600000}"/>
    <cellStyle name="Note 29 2 5" xfId="6565" xr:uid="{00000000-0005-0000-0000-000007600000}"/>
    <cellStyle name="Note 29 2 5 2" xfId="17853" xr:uid="{00000000-0005-0000-0000-000008600000}"/>
    <cellStyle name="Note 29 2 6" xfId="15859" xr:uid="{00000000-0005-0000-0000-000009600000}"/>
    <cellStyle name="Note 29 3" xfId="11550" xr:uid="{00000000-0005-0000-0000-00000A600000}"/>
    <cellStyle name="Note 29 3 2" xfId="22838" xr:uid="{00000000-0005-0000-0000-00000B600000}"/>
    <cellStyle name="Note 29 4" xfId="9556" xr:uid="{00000000-0005-0000-0000-00000C600000}"/>
    <cellStyle name="Note 29 4 2" xfId="20844" xr:uid="{00000000-0005-0000-0000-00000D600000}"/>
    <cellStyle name="Note 29 5" xfId="7562" xr:uid="{00000000-0005-0000-0000-00000E600000}"/>
    <cellStyle name="Note 29 5 2" xfId="18850" xr:uid="{00000000-0005-0000-0000-00000F600000}"/>
    <cellStyle name="Note 29 6" xfId="5568" xr:uid="{00000000-0005-0000-0000-000010600000}"/>
    <cellStyle name="Note 29 6 2" xfId="16856" xr:uid="{00000000-0005-0000-0000-000011600000}"/>
    <cellStyle name="Note 29 7" xfId="14862" xr:uid="{00000000-0005-0000-0000-000012600000}"/>
    <cellStyle name="Note 29 8" xfId="13546" xr:uid="{00000000-0005-0000-0000-000013600000}"/>
    <cellStyle name="Note 3" xfId="3335" xr:uid="{00000000-0005-0000-0000-000014600000}"/>
    <cellStyle name="Note 3 10" xfId="25074" xr:uid="{00000000-0005-0000-0000-000015600000}"/>
    <cellStyle name="Note 3 10 2" xfId="25408" xr:uid="{00000000-0005-0000-0000-000016600000}"/>
    <cellStyle name="Note 3 10 2 2" xfId="27562" xr:uid="{00000000-0005-0000-0000-000017600000}"/>
    <cellStyle name="Note 3 10 2 2 2" xfId="32153" xr:uid="{A366B345-6D82-4F71-A18C-E41B9F5E9657}"/>
    <cellStyle name="Note 3 10 2 3" xfId="26759" xr:uid="{00000000-0005-0000-0000-000018600000}"/>
    <cellStyle name="Note 3 10 2 3 2" xfId="31520" xr:uid="{3D2653D0-E5C3-4641-A998-C53A1DB0DAC0}"/>
    <cellStyle name="Note 3 10 2 4" xfId="26423" xr:uid="{00000000-0005-0000-0000-000019600000}"/>
    <cellStyle name="Note 3 10 2 4 2" xfId="31211" xr:uid="{547E7D52-B7A2-4086-AD46-279C422F12D8}"/>
    <cellStyle name="Note 3 10 2 5" xfId="29301" xr:uid="{00000000-0005-0000-0000-00001A600000}"/>
    <cellStyle name="Note 3 10 2 5 2" xfId="33267" xr:uid="{2752310F-A3BA-42A0-AAA7-78546D5C9065}"/>
    <cellStyle name="Note 3 10 2 6" xfId="30566" xr:uid="{963690B8-9E82-4078-ABD8-22C5DFAEC475}"/>
    <cellStyle name="Note 3 10 3" xfId="25678" xr:uid="{00000000-0005-0000-0000-00001B600000}"/>
    <cellStyle name="Note 3 10 3 2" xfId="27831" xr:uid="{00000000-0005-0000-0000-00001C600000}"/>
    <cellStyle name="Note 3 10 3 2 2" xfId="32418" xr:uid="{72E2CE9E-8A2D-4DDC-B99C-FCF569D78855}"/>
    <cellStyle name="Note 3 10 3 3" xfId="26235" xr:uid="{00000000-0005-0000-0000-00001D600000}"/>
    <cellStyle name="Note 3 10 3 3 2" xfId="31023" xr:uid="{96DE35A5-6DD2-4870-BE90-5A22281268E5}"/>
    <cellStyle name="Note 3 10 3 4" xfId="26944" xr:uid="{00000000-0005-0000-0000-00001E600000}"/>
    <cellStyle name="Note 3 10 3 4 2" xfId="31705" xr:uid="{8A3B114E-D7C5-4140-82C3-C5D637CE1206}"/>
    <cellStyle name="Note 3 10 3 5" xfId="29300" xr:uid="{00000000-0005-0000-0000-00001F600000}"/>
    <cellStyle name="Note 3 10 3 5 2" xfId="33266" xr:uid="{71C3FEE1-0F10-426B-81AC-947958D9EB50}"/>
    <cellStyle name="Note 3 10 3 6" xfId="30672" xr:uid="{80DFE0A2-D321-4C04-A79D-C32C81AE9D31}"/>
    <cellStyle name="Note 3 10 4" xfId="27365" xr:uid="{00000000-0005-0000-0000-000020600000}"/>
    <cellStyle name="Note 3 10 4 2" xfId="31963" xr:uid="{2D79059B-2A78-4512-ABC8-C986FB8A495C}"/>
    <cellStyle name="Note 3 10 5" xfId="26690" xr:uid="{00000000-0005-0000-0000-000021600000}"/>
    <cellStyle name="Note 3 10 5 2" xfId="31452" xr:uid="{413462B4-7C6A-4293-9E92-1A58728EB3A5}"/>
    <cellStyle name="Note 3 10 6" xfId="26707" xr:uid="{00000000-0005-0000-0000-000022600000}"/>
    <cellStyle name="Note 3 10 6 2" xfId="31469" xr:uid="{636B27FC-54FE-4E39-86CB-F8BEA84F0FB6}"/>
    <cellStyle name="Note 3 10 7" xfId="29302" xr:uid="{00000000-0005-0000-0000-000023600000}"/>
    <cellStyle name="Note 3 10 7 2" xfId="33268" xr:uid="{4C545B38-5C3B-493D-A106-F6171873F57F}"/>
    <cellStyle name="Note 3 10 8" xfId="30380" xr:uid="{6F45C57A-30D3-4853-B379-E37989859524}"/>
    <cellStyle name="Note 3 2" xfId="4569" xr:uid="{00000000-0005-0000-0000-000024600000}"/>
    <cellStyle name="Note 3 2 2" xfId="12548" xr:uid="{00000000-0005-0000-0000-000025600000}"/>
    <cellStyle name="Note 3 2 2 2" xfId="23836" xr:uid="{00000000-0005-0000-0000-000026600000}"/>
    <cellStyle name="Note 3 2 3" xfId="10554" xr:uid="{00000000-0005-0000-0000-000027600000}"/>
    <cellStyle name="Note 3 2 3 2" xfId="21842" xr:uid="{00000000-0005-0000-0000-000028600000}"/>
    <cellStyle name="Note 3 2 4" xfId="8560" xr:uid="{00000000-0005-0000-0000-000029600000}"/>
    <cellStyle name="Note 3 2 4 2" xfId="19848" xr:uid="{00000000-0005-0000-0000-00002A600000}"/>
    <cellStyle name="Note 3 2 5" xfId="6566" xr:uid="{00000000-0005-0000-0000-00002B600000}"/>
    <cellStyle name="Note 3 2 5 2" xfId="17854" xr:uid="{00000000-0005-0000-0000-00002C600000}"/>
    <cellStyle name="Note 3 2 6" xfId="15860" xr:uid="{00000000-0005-0000-0000-00002D600000}"/>
    <cellStyle name="Note 3 2 7" xfId="24191" xr:uid="{00000000-0005-0000-0000-00002E600000}"/>
    <cellStyle name="Note 3 2 7 2" xfId="25427" xr:uid="{00000000-0005-0000-0000-00002F600000}"/>
    <cellStyle name="Note 3 2 7 2 2" xfId="27581" xr:uid="{00000000-0005-0000-0000-000030600000}"/>
    <cellStyle name="Note 3 2 7 2 2 2" xfId="32172" xr:uid="{77C6C6B2-8B1E-400B-ABB7-25C6084AD3CE}"/>
    <cellStyle name="Note 3 2 7 2 3" xfId="26937" xr:uid="{00000000-0005-0000-0000-000031600000}"/>
    <cellStyle name="Note 3 2 7 2 3 2" xfId="31698" xr:uid="{CFAE1C83-8143-43FF-88DA-2B6F917599D5}"/>
    <cellStyle name="Note 3 2 7 2 4" xfId="26806" xr:uid="{00000000-0005-0000-0000-000032600000}"/>
    <cellStyle name="Note 3 2 7 2 4 2" xfId="31567" xr:uid="{6004F847-545C-40B8-89F5-D4CDB3D38419}"/>
    <cellStyle name="Note 3 2 7 2 5" xfId="29298" xr:uid="{00000000-0005-0000-0000-000033600000}"/>
    <cellStyle name="Note 3 2 7 2 5 2" xfId="33264" xr:uid="{E666C166-48D8-484F-B17B-0D570E0E1588}"/>
    <cellStyle name="Note 3 2 7 2 6" xfId="30585" xr:uid="{4FA51C37-F051-4ED6-B905-FE85B9413FA9}"/>
    <cellStyle name="Note 3 2 7 3" xfId="25566" xr:uid="{00000000-0005-0000-0000-000034600000}"/>
    <cellStyle name="Note 3 2 7 3 2" xfId="27719" xr:uid="{00000000-0005-0000-0000-000035600000}"/>
    <cellStyle name="Note 3 2 7 3 2 2" xfId="32306" xr:uid="{B85A7B22-493A-4723-9917-80FA8E74F8D2}"/>
    <cellStyle name="Note 3 2 7 3 3" xfId="26411" xr:uid="{00000000-0005-0000-0000-000036600000}"/>
    <cellStyle name="Note 3 2 7 3 3 2" xfId="31199" xr:uid="{DDDDB268-AB56-4249-8D7E-B69945DC1906}"/>
    <cellStyle name="Note 3 2 7 3 4" xfId="26970" xr:uid="{00000000-0005-0000-0000-000037600000}"/>
    <cellStyle name="Note 3 2 7 3 4 2" xfId="31731" xr:uid="{AAC11EF9-77F3-475B-A26E-BB62CA89F5C3}"/>
    <cellStyle name="Note 3 2 7 3 5" xfId="29297" xr:uid="{00000000-0005-0000-0000-000038600000}"/>
    <cellStyle name="Note 3 2 7 3 5 2" xfId="33263" xr:uid="{1FF06EDD-146C-4C11-8C70-B0CFFD25ACEC}"/>
    <cellStyle name="Note 3 2 7 3 6" xfId="30623" xr:uid="{31CF4295-217E-44F9-A5E6-C3C10B9C91E7}"/>
    <cellStyle name="Note 3 2 7 4" xfId="27091" xr:uid="{00000000-0005-0000-0000-000039600000}"/>
    <cellStyle name="Note 3 2 7 4 2" xfId="31815" xr:uid="{B3FAA655-124B-4C05-AA3F-C044A3ECC3BC}"/>
    <cellStyle name="Note 3 2 7 5" xfId="26345" xr:uid="{00000000-0005-0000-0000-00003A600000}"/>
    <cellStyle name="Note 3 2 7 5 2" xfId="31133" xr:uid="{757F142D-2422-42D7-B59D-78AE6B15CF6A}"/>
    <cellStyle name="Note 3 2 7 6" xfId="26209" xr:uid="{00000000-0005-0000-0000-00003B600000}"/>
    <cellStyle name="Note 3 2 7 6 2" xfId="30997" xr:uid="{CBFDDC88-9464-4097-9359-D5EF637D72ED}"/>
    <cellStyle name="Note 3 2 7 7" xfId="29299" xr:uid="{00000000-0005-0000-0000-00003C600000}"/>
    <cellStyle name="Note 3 2 7 7 2" xfId="33265" xr:uid="{823E9892-415B-418B-AFD1-DE7108AF5F55}"/>
    <cellStyle name="Note 3 2 7 8" xfId="30268" xr:uid="{75267DA3-DD22-4765-B706-5FE88DF474E8}"/>
    <cellStyle name="Note 3 2 8" xfId="25075" xr:uid="{00000000-0005-0000-0000-00003D600000}"/>
    <cellStyle name="Note 3 2 8 2" xfId="25321" xr:uid="{00000000-0005-0000-0000-00003E600000}"/>
    <cellStyle name="Note 3 2 8 2 2" xfId="27475" xr:uid="{00000000-0005-0000-0000-00003F600000}"/>
    <cellStyle name="Note 3 2 8 2 2 2" xfId="32066" xr:uid="{1A2C4882-9653-4D00-B9D1-305748CC77E0}"/>
    <cellStyle name="Note 3 2 8 2 3" xfId="26487" xr:uid="{00000000-0005-0000-0000-000040600000}"/>
    <cellStyle name="Note 3 2 8 2 3 2" xfId="31275" xr:uid="{8B572B87-0BB9-4A38-853C-9B02E527DC54}"/>
    <cellStyle name="Note 3 2 8 2 4" xfId="26930" xr:uid="{00000000-0005-0000-0000-000041600000}"/>
    <cellStyle name="Note 3 2 8 2 4 2" xfId="31691" xr:uid="{029D527A-A52C-4382-A6A2-166F39365209}"/>
    <cellStyle name="Note 3 2 8 2 5" xfId="29295" xr:uid="{00000000-0005-0000-0000-000042600000}"/>
    <cellStyle name="Note 3 2 8 2 5 2" xfId="33261" xr:uid="{D7824601-6CCB-4A25-9F3D-49B3082108E4}"/>
    <cellStyle name="Note 3 2 8 2 6" xfId="30479" xr:uid="{1D77F2B4-72FE-4210-8129-843751FD59C7}"/>
    <cellStyle name="Note 3 2 8 3" xfId="25679" xr:uid="{00000000-0005-0000-0000-000043600000}"/>
    <cellStyle name="Note 3 2 8 3 2" xfId="27832" xr:uid="{00000000-0005-0000-0000-000044600000}"/>
    <cellStyle name="Note 3 2 8 3 2 2" xfId="32419" xr:uid="{C61199BF-D34D-4816-9593-F664F8D902CA}"/>
    <cellStyle name="Note 3 2 8 3 3" xfId="26202" xr:uid="{00000000-0005-0000-0000-000045600000}"/>
    <cellStyle name="Note 3 2 8 3 3 2" xfId="30990" xr:uid="{A49CE6A2-3767-4D72-B6AB-EC40B9587D11}"/>
    <cellStyle name="Note 3 2 8 3 4" xfId="26131" xr:uid="{00000000-0005-0000-0000-000046600000}"/>
    <cellStyle name="Note 3 2 8 3 4 2" xfId="30921" xr:uid="{784DAFF6-9023-4637-A6AE-D366D159CABF}"/>
    <cellStyle name="Note 3 2 8 3 5" xfId="29294" xr:uid="{00000000-0005-0000-0000-000047600000}"/>
    <cellStyle name="Note 3 2 8 3 5 2" xfId="33260" xr:uid="{C081E624-F64C-41B7-AAD2-42B7CF3239A6}"/>
    <cellStyle name="Note 3 2 8 3 6" xfId="30673" xr:uid="{9F3E5BFA-2060-4F40-9C61-200AFE20FEAE}"/>
    <cellStyle name="Note 3 2 8 4" xfId="27366" xr:uid="{00000000-0005-0000-0000-000048600000}"/>
    <cellStyle name="Note 3 2 8 4 2" xfId="31964" xr:uid="{CAF5ED34-7806-4F81-9985-15D6F27B6C86}"/>
    <cellStyle name="Note 3 2 8 5" xfId="26994" xr:uid="{00000000-0005-0000-0000-000049600000}"/>
    <cellStyle name="Note 3 2 8 5 2" xfId="31755" xr:uid="{6FC70D2C-5E19-4633-96F6-F57F12A4B0D1}"/>
    <cellStyle name="Note 3 2 8 6" xfId="26790" xr:uid="{00000000-0005-0000-0000-00004A600000}"/>
    <cellStyle name="Note 3 2 8 6 2" xfId="31551" xr:uid="{0CBA6B8C-7EE5-43FC-A48C-B90D5ED850BC}"/>
    <cellStyle name="Note 3 2 8 7" xfId="29296" xr:uid="{00000000-0005-0000-0000-00004B600000}"/>
    <cellStyle name="Note 3 2 8 7 2" xfId="33262" xr:uid="{12CAD5D8-ACD6-4CD5-A55C-BC87E86B3BD7}"/>
    <cellStyle name="Note 3 2 8 8" xfId="30381" xr:uid="{CC5A578B-056E-461B-BE32-2885B3F885A0}"/>
    <cellStyle name="Note 3 3" xfId="11551" xr:uid="{00000000-0005-0000-0000-00004C600000}"/>
    <cellStyle name="Note 3 3 2" xfId="22839" xr:uid="{00000000-0005-0000-0000-00004D600000}"/>
    <cellStyle name="Note 3 4" xfId="9557" xr:uid="{00000000-0005-0000-0000-00004E600000}"/>
    <cellStyle name="Note 3 4 2" xfId="20845" xr:uid="{00000000-0005-0000-0000-00004F600000}"/>
    <cellStyle name="Note 3 5" xfId="7563" xr:uid="{00000000-0005-0000-0000-000050600000}"/>
    <cellStyle name="Note 3 5 2" xfId="18851" xr:uid="{00000000-0005-0000-0000-000051600000}"/>
    <cellStyle name="Note 3 6" xfId="5569" xr:uid="{00000000-0005-0000-0000-000052600000}"/>
    <cellStyle name="Note 3 6 2" xfId="16857" xr:uid="{00000000-0005-0000-0000-000053600000}"/>
    <cellStyle name="Note 3 7" xfId="14863" xr:uid="{00000000-0005-0000-0000-000054600000}"/>
    <cellStyle name="Note 3 8" xfId="13547" xr:uid="{00000000-0005-0000-0000-000055600000}"/>
    <cellStyle name="Note 3 9" xfId="24190" xr:uid="{00000000-0005-0000-0000-000056600000}"/>
    <cellStyle name="Note 3 9 2" xfId="25326" xr:uid="{00000000-0005-0000-0000-000057600000}"/>
    <cellStyle name="Note 3 9 2 2" xfId="27480" xr:uid="{00000000-0005-0000-0000-000058600000}"/>
    <cellStyle name="Note 3 9 2 2 2" xfId="32071" xr:uid="{D3C542B0-0A73-47C5-AFAD-DB8C08B936EE}"/>
    <cellStyle name="Note 3 9 2 3" xfId="26724" xr:uid="{00000000-0005-0000-0000-000059600000}"/>
    <cellStyle name="Note 3 9 2 3 2" xfId="31485" xr:uid="{D7B53122-C08A-4823-B36E-B54D217CC5F7}"/>
    <cellStyle name="Note 3 9 2 4" xfId="26217" xr:uid="{00000000-0005-0000-0000-00005A600000}"/>
    <cellStyle name="Note 3 9 2 4 2" xfId="31005" xr:uid="{9C801FF2-409D-4BEF-B4B3-31FAAF77605C}"/>
    <cellStyle name="Note 3 9 2 5" xfId="29292" xr:uid="{00000000-0005-0000-0000-00005B600000}"/>
    <cellStyle name="Note 3 9 2 5 2" xfId="33258" xr:uid="{C67E43F6-1FAB-4C85-B035-0BA00BCF61D8}"/>
    <cellStyle name="Note 3 9 2 6" xfId="30484" xr:uid="{96E18685-F095-42F9-9869-56FF008CABCE}"/>
    <cellStyle name="Note 3 9 3" xfId="25565" xr:uid="{00000000-0005-0000-0000-00005C600000}"/>
    <cellStyle name="Note 3 9 3 2" xfId="27718" xr:uid="{00000000-0005-0000-0000-00005D600000}"/>
    <cellStyle name="Note 3 9 3 2 2" xfId="32305" xr:uid="{76172E83-B61E-4856-97DA-18EA1D109B97}"/>
    <cellStyle name="Note 3 9 3 3" xfId="26801" xr:uid="{00000000-0005-0000-0000-00005E600000}"/>
    <cellStyle name="Note 3 9 3 3 2" xfId="31562" xr:uid="{79CB8BB3-49AA-4AFF-A052-EC42B1D63353}"/>
    <cellStyle name="Note 3 9 3 4" xfId="26742" xr:uid="{00000000-0005-0000-0000-00005F600000}"/>
    <cellStyle name="Note 3 9 3 4 2" xfId="31503" xr:uid="{DE82B7DA-8A46-405F-9AB1-5A4938223C96}"/>
    <cellStyle name="Note 3 9 3 5" xfId="29291" xr:uid="{00000000-0005-0000-0000-000060600000}"/>
    <cellStyle name="Note 3 9 3 5 2" xfId="33257" xr:uid="{CAE3FA41-55B2-4801-8DAE-78E7A4056D84}"/>
    <cellStyle name="Note 3 9 3 6" xfId="30622" xr:uid="{6CCD379D-72E8-48FD-9C17-0FE49D8BFC5A}"/>
    <cellStyle name="Note 3 9 4" xfId="27090" xr:uid="{00000000-0005-0000-0000-000061600000}"/>
    <cellStyle name="Note 3 9 4 2" xfId="31814" xr:uid="{D9A01625-89B2-4719-AFC2-4E3D2363803B}"/>
    <cellStyle name="Note 3 9 5" xfId="26448" xr:uid="{00000000-0005-0000-0000-000062600000}"/>
    <cellStyle name="Note 3 9 5 2" xfId="31236" xr:uid="{BD366477-A3D9-4DAB-9DDD-45FE380FBEB0}"/>
    <cellStyle name="Note 3 9 6" xfId="26263" xr:uid="{00000000-0005-0000-0000-000063600000}"/>
    <cellStyle name="Note 3 9 6 2" xfId="31051" xr:uid="{C5DAAABF-8239-4D3B-A72C-F7621D387C95}"/>
    <cellStyle name="Note 3 9 7" xfId="29293" xr:uid="{00000000-0005-0000-0000-000064600000}"/>
    <cellStyle name="Note 3 9 7 2" xfId="33259" xr:uid="{B116FFF4-A1B5-47CF-AF07-21E288CA7037}"/>
    <cellStyle name="Note 3 9 8" xfId="30267" xr:uid="{D6B57AFE-D4BE-46C1-AF6D-105267EAAC00}"/>
    <cellStyle name="Note 30" xfId="3336" xr:uid="{00000000-0005-0000-0000-000065600000}"/>
    <cellStyle name="Note 30 2" xfId="4570" xr:uid="{00000000-0005-0000-0000-000066600000}"/>
    <cellStyle name="Note 30 2 2" xfId="12549" xr:uid="{00000000-0005-0000-0000-000067600000}"/>
    <cellStyle name="Note 30 2 2 2" xfId="23837" xr:uid="{00000000-0005-0000-0000-000068600000}"/>
    <cellStyle name="Note 30 2 3" xfId="10555" xr:uid="{00000000-0005-0000-0000-000069600000}"/>
    <cellStyle name="Note 30 2 3 2" xfId="21843" xr:uid="{00000000-0005-0000-0000-00006A600000}"/>
    <cellStyle name="Note 30 2 4" xfId="8561" xr:uid="{00000000-0005-0000-0000-00006B600000}"/>
    <cellStyle name="Note 30 2 4 2" xfId="19849" xr:uid="{00000000-0005-0000-0000-00006C600000}"/>
    <cellStyle name="Note 30 2 5" xfId="6567" xr:uid="{00000000-0005-0000-0000-00006D600000}"/>
    <cellStyle name="Note 30 2 5 2" xfId="17855" xr:uid="{00000000-0005-0000-0000-00006E600000}"/>
    <cellStyle name="Note 30 2 6" xfId="15861" xr:uid="{00000000-0005-0000-0000-00006F600000}"/>
    <cellStyle name="Note 30 3" xfId="11552" xr:uid="{00000000-0005-0000-0000-000070600000}"/>
    <cellStyle name="Note 30 3 2" xfId="22840" xr:uid="{00000000-0005-0000-0000-000071600000}"/>
    <cellStyle name="Note 30 4" xfId="9558" xr:uid="{00000000-0005-0000-0000-000072600000}"/>
    <cellStyle name="Note 30 4 2" xfId="20846" xr:uid="{00000000-0005-0000-0000-000073600000}"/>
    <cellStyle name="Note 30 5" xfId="7564" xr:uid="{00000000-0005-0000-0000-000074600000}"/>
    <cellStyle name="Note 30 5 2" xfId="18852" xr:uid="{00000000-0005-0000-0000-000075600000}"/>
    <cellStyle name="Note 30 6" xfId="5570" xr:uid="{00000000-0005-0000-0000-000076600000}"/>
    <cellStyle name="Note 30 6 2" xfId="16858" xr:uid="{00000000-0005-0000-0000-000077600000}"/>
    <cellStyle name="Note 30 7" xfId="14864" xr:uid="{00000000-0005-0000-0000-000078600000}"/>
    <cellStyle name="Note 30 8" xfId="13548" xr:uid="{00000000-0005-0000-0000-000079600000}"/>
    <cellStyle name="Note 31" xfId="3337" xr:uid="{00000000-0005-0000-0000-00007A600000}"/>
    <cellStyle name="Note 31 2" xfId="4571" xr:uid="{00000000-0005-0000-0000-00007B600000}"/>
    <cellStyle name="Note 31 2 2" xfId="12550" xr:uid="{00000000-0005-0000-0000-00007C600000}"/>
    <cellStyle name="Note 31 2 2 2" xfId="23838" xr:uid="{00000000-0005-0000-0000-00007D600000}"/>
    <cellStyle name="Note 31 2 3" xfId="10556" xr:uid="{00000000-0005-0000-0000-00007E600000}"/>
    <cellStyle name="Note 31 2 3 2" xfId="21844" xr:uid="{00000000-0005-0000-0000-00007F600000}"/>
    <cellStyle name="Note 31 2 4" xfId="8562" xr:uid="{00000000-0005-0000-0000-000080600000}"/>
    <cellStyle name="Note 31 2 4 2" xfId="19850" xr:uid="{00000000-0005-0000-0000-000081600000}"/>
    <cellStyle name="Note 31 2 5" xfId="6568" xr:uid="{00000000-0005-0000-0000-000082600000}"/>
    <cellStyle name="Note 31 2 5 2" xfId="17856" xr:uid="{00000000-0005-0000-0000-000083600000}"/>
    <cellStyle name="Note 31 2 6" xfId="15862" xr:uid="{00000000-0005-0000-0000-000084600000}"/>
    <cellStyle name="Note 31 3" xfId="11553" xr:uid="{00000000-0005-0000-0000-000085600000}"/>
    <cellStyle name="Note 31 3 2" xfId="22841" xr:uid="{00000000-0005-0000-0000-000086600000}"/>
    <cellStyle name="Note 31 4" xfId="9559" xr:uid="{00000000-0005-0000-0000-000087600000}"/>
    <cellStyle name="Note 31 4 2" xfId="20847" xr:uid="{00000000-0005-0000-0000-000088600000}"/>
    <cellStyle name="Note 31 5" xfId="7565" xr:uid="{00000000-0005-0000-0000-000089600000}"/>
    <cellStyle name="Note 31 5 2" xfId="18853" xr:uid="{00000000-0005-0000-0000-00008A600000}"/>
    <cellStyle name="Note 31 6" xfId="5571" xr:uid="{00000000-0005-0000-0000-00008B600000}"/>
    <cellStyle name="Note 31 6 2" xfId="16859" xr:uid="{00000000-0005-0000-0000-00008C600000}"/>
    <cellStyle name="Note 31 7" xfId="14865" xr:uid="{00000000-0005-0000-0000-00008D600000}"/>
    <cellStyle name="Note 31 8" xfId="13549" xr:uid="{00000000-0005-0000-0000-00008E600000}"/>
    <cellStyle name="Note 32" xfId="3338" xr:uid="{00000000-0005-0000-0000-00008F600000}"/>
    <cellStyle name="Note 32 2" xfId="4572" xr:uid="{00000000-0005-0000-0000-000090600000}"/>
    <cellStyle name="Note 32 2 2" xfId="12551" xr:uid="{00000000-0005-0000-0000-000091600000}"/>
    <cellStyle name="Note 32 2 2 2" xfId="23839" xr:uid="{00000000-0005-0000-0000-000092600000}"/>
    <cellStyle name="Note 32 2 3" xfId="10557" xr:uid="{00000000-0005-0000-0000-000093600000}"/>
    <cellStyle name="Note 32 2 3 2" xfId="21845" xr:uid="{00000000-0005-0000-0000-000094600000}"/>
    <cellStyle name="Note 32 2 4" xfId="8563" xr:uid="{00000000-0005-0000-0000-000095600000}"/>
    <cellStyle name="Note 32 2 4 2" xfId="19851" xr:uid="{00000000-0005-0000-0000-000096600000}"/>
    <cellStyle name="Note 32 2 5" xfId="6569" xr:uid="{00000000-0005-0000-0000-000097600000}"/>
    <cellStyle name="Note 32 2 5 2" xfId="17857" xr:uid="{00000000-0005-0000-0000-000098600000}"/>
    <cellStyle name="Note 32 2 6" xfId="15863" xr:uid="{00000000-0005-0000-0000-000099600000}"/>
    <cellStyle name="Note 32 3" xfId="11554" xr:uid="{00000000-0005-0000-0000-00009A600000}"/>
    <cellStyle name="Note 32 3 2" xfId="22842" xr:uid="{00000000-0005-0000-0000-00009B600000}"/>
    <cellStyle name="Note 32 4" xfId="9560" xr:uid="{00000000-0005-0000-0000-00009C600000}"/>
    <cellStyle name="Note 32 4 2" xfId="20848" xr:uid="{00000000-0005-0000-0000-00009D600000}"/>
    <cellStyle name="Note 32 5" xfId="7566" xr:uid="{00000000-0005-0000-0000-00009E600000}"/>
    <cellStyle name="Note 32 5 2" xfId="18854" xr:uid="{00000000-0005-0000-0000-00009F600000}"/>
    <cellStyle name="Note 32 6" xfId="5572" xr:uid="{00000000-0005-0000-0000-0000A0600000}"/>
    <cellStyle name="Note 32 6 2" xfId="16860" xr:uid="{00000000-0005-0000-0000-0000A1600000}"/>
    <cellStyle name="Note 32 7" xfId="14866" xr:uid="{00000000-0005-0000-0000-0000A2600000}"/>
    <cellStyle name="Note 32 8" xfId="13550" xr:uid="{00000000-0005-0000-0000-0000A3600000}"/>
    <cellStyle name="Note 33" xfId="3339" xr:uid="{00000000-0005-0000-0000-0000A4600000}"/>
    <cellStyle name="Note 33 2" xfId="4573" xr:uid="{00000000-0005-0000-0000-0000A5600000}"/>
    <cellStyle name="Note 33 2 2" xfId="12552" xr:uid="{00000000-0005-0000-0000-0000A6600000}"/>
    <cellStyle name="Note 33 2 2 2" xfId="23840" xr:uid="{00000000-0005-0000-0000-0000A7600000}"/>
    <cellStyle name="Note 33 2 3" xfId="10558" xr:uid="{00000000-0005-0000-0000-0000A8600000}"/>
    <cellStyle name="Note 33 2 3 2" xfId="21846" xr:uid="{00000000-0005-0000-0000-0000A9600000}"/>
    <cellStyle name="Note 33 2 4" xfId="8564" xr:uid="{00000000-0005-0000-0000-0000AA600000}"/>
    <cellStyle name="Note 33 2 4 2" xfId="19852" xr:uid="{00000000-0005-0000-0000-0000AB600000}"/>
    <cellStyle name="Note 33 2 5" xfId="6570" xr:uid="{00000000-0005-0000-0000-0000AC600000}"/>
    <cellStyle name="Note 33 2 5 2" xfId="17858" xr:uid="{00000000-0005-0000-0000-0000AD600000}"/>
    <cellStyle name="Note 33 2 6" xfId="15864" xr:uid="{00000000-0005-0000-0000-0000AE600000}"/>
    <cellStyle name="Note 33 3" xfId="11555" xr:uid="{00000000-0005-0000-0000-0000AF600000}"/>
    <cellStyle name="Note 33 3 2" xfId="22843" xr:uid="{00000000-0005-0000-0000-0000B0600000}"/>
    <cellStyle name="Note 33 4" xfId="9561" xr:uid="{00000000-0005-0000-0000-0000B1600000}"/>
    <cellStyle name="Note 33 4 2" xfId="20849" xr:uid="{00000000-0005-0000-0000-0000B2600000}"/>
    <cellStyle name="Note 33 5" xfId="7567" xr:uid="{00000000-0005-0000-0000-0000B3600000}"/>
    <cellStyle name="Note 33 5 2" xfId="18855" xr:uid="{00000000-0005-0000-0000-0000B4600000}"/>
    <cellStyle name="Note 33 6" xfId="5573" xr:uid="{00000000-0005-0000-0000-0000B5600000}"/>
    <cellStyle name="Note 33 6 2" xfId="16861" xr:uid="{00000000-0005-0000-0000-0000B6600000}"/>
    <cellStyle name="Note 33 7" xfId="14867" xr:uid="{00000000-0005-0000-0000-0000B7600000}"/>
    <cellStyle name="Note 33 8" xfId="13551" xr:uid="{00000000-0005-0000-0000-0000B8600000}"/>
    <cellStyle name="Note 34" xfId="3340" xr:uid="{00000000-0005-0000-0000-0000B9600000}"/>
    <cellStyle name="Note 34 2" xfId="4574" xr:uid="{00000000-0005-0000-0000-0000BA600000}"/>
    <cellStyle name="Note 34 2 2" xfId="12553" xr:uid="{00000000-0005-0000-0000-0000BB600000}"/>
    <cellStyle name="Note 34 2 2 2" xfId="23841" xr:uid="{00000000-0005-0000-0000-0000BC600000}"/>
    <cellStyle name="Note 34 2 3" xfId="10559" xr:uid="{00000000-0005-0000-0000-0000BD600000}"/>
    <cellStyle name="Note 34 2 3 2" xfId="21847" xr:uid="{00000000-0005-0000-0000-0000BE600000}"/>
    <cellStyle name="Note 34 2 4" xfId="8565" xr:uid="{00000000-0005-0000-0000-0000BF600000}"/>
    <cellStyle name="Note 34 2 4 2" xfId="19853" xr:uid="{00000000-0005-0000-0000-0000C0600000}"/>
    <cellStyle name="Note 34 2 5" xfId="6571" xr:uid="{00000000-0005-0000-0000-0000C1600000}"/>
    <cellStyle name="Note 34 2 5 2" xfId="17859" xr:uid="{00000000-0005-0000-0000-0000C2600000}"/>
    <cellStyle name="Note 34 2 6" xfId="15865" xr:uid="{00000000-0005-0000-0000-0000C3600000}"/>
    <cellStyle name="Note 34 3" xfId="11556" xr:uid="{00000000-0005-0000-0000-0000C4600000}"/>
    <cellStyle name="Note 34 3 2" xfId="22844" xr:uid="{00000000-0005-0000-0000-0000C5600000}"/>
    <cellStyle name="Note 34 4" xfId="9562" xr:uid="{00000000-0005-0000-0000-0000C6600000}"/>
    <cellStyle name="Note 34 4 2" xfId="20850" xr:uid="{00000000-0005-0000-0000-0000C7600000}"/>
    <cellStyle name="Note 34 5" xfId="7568" xr:uid="{00000000-0005-0000-0000-0000C8600000}"/>
    <cellStyle name="Note 34 5 2" xfId="18856" xr:uid="{00000000-0005-0000-0000-0000C9600000}"/>
    <cellStyle name="Note 34 6" xfId="5574" xr:uid="{00000000-0005-0000-0000-0000CA600000}"/>
    <cellStyle name="Note 34 6 2" xfId="16862" xr:uid="{00000000-0005-0000-0000-0000CB600000}"/>
    <cellStyle name="Note 34 7" xfId="14868" xr:uid="{00000000-0005-0000-0000-0000CC600000}"/>
    <cellStyle name="Note 34 8" xfId="13552" xr:uid="{00000000-0005-0000-0000-0000CD600000}"/>
    <cellStyle name="Note 35" xfId="3341" xr:uid="{00000000-0005-0000-0000-0000CE600000}"/>
    <cellStyle name="Note 35 2" xfId="4575" xr:uid="{00000000-0005-0000-0000-0000CF600000}"/>
    <cellStyle name="Note 35 2 2" xfId="12554" xr:uid="{00000000-0005-0000-0000-0000D0600000}"/>
    <cellStyle name="Note 35 2 2 2" xfId="23842" xr:uid="{00000000-0005-0000-0000-0000D1600000}"/>
    <cellStyle name="Note 35 2 3" xfId="10560" xr:uid="{00000000-0005-0000-0000-0000D2600000}"/>
    <cellStyle name="Note 35 2 3 2" xfId="21848" xr:uid="{00000000-0005-0000-0000-0000D3600000}"/>
    <cellStyle name="Note 35 2 4" xfId="8566" xr:uid="{00000000-0005-0000-0000-0000D4600000}"/>
    <cellStyle name="Note 35 2 4 2" xfId="19854" xr:uid="{00000000-0005-0000-0000-0000D5600000}"/>
    <cellStyle name="Note 35 2 5" xfId="6572" xr:uid="{00000000-0005-0000-0000-0000D6600000}"/>
    <cellStyle name="Note 35 2 5 2" xfId="17860" xr:uid="{00000000-0005-0000-0000-0000D7600000}"/>
    <cellStyle name="Note 35 2 6" xfId="15866" xr:uid="{00000000-0005-0000-0000-0000D8600000}"/>
    <cellStyle name="Note 35 3" xfId="11557" xr:uid="{00000000-0005-0000-0000-0000D9600000}"/>
    <cellStyle name="Note 35 3 2" xfId="22845" xr:uid="{00000000-0005-0000-0000-0000DA600000}"/>
    <cellStyle name="Note 35 4" xfId="9563" xr:uid="{00000000-0005-0000-0000-0000DB600000}"/>
    <cellStyle name="Note 35 4 2" xfId="20851" xr:uid="{00000000-0005-0000-0000-0000DC600000}"/>
    <cellStyle name="Note 35 5" xfId="7569" xr:uid="{00000000-0005-0000-0000-0000DD600000}"/>
    <cellStyle name="Note 35 5 2" xfId="18857" xr:uid="{00000000-0005-0000-0000-0000DE600000}"/>
    <cellStyle name="Note 35 6" xfId="5575" xr:uid="{00000000-0005-0000-0000-0000DF600000}"/>
    <cellStyle name="Note 35 6 2" xfId="16863" xr:uid="{00000000-0005-0000-0000-0000E0600000}"/>
    <cellStyle name="Note 35 7" xfId="14869" xr:uid="{00000000-0005-0000-0000-0000E1600000}"/>
    <cellStyle name="Note 35 8" xfId="13553" xr:uid="{00000000-0005-0000-0000-0000E2600000}"/>
    <cellStyle name="Note 36" xfId="3342" xr:uid="{00000000-0005-0000-0000-0000E3600000}"/>
    <cellStyle name="Note 36 2" xfId="4576" xr:uid="{00000000-0005-0000-0000-0000E4600000}"/>
    <cellStyle name="Note 36 2 2" xfId="12555" xr:uid="{00000000-0005-0000-0000-0000E5600000}"/>
    <cellStyle name="Note 36 2 2 2" xfId="23843" xr:uid="{00000000-0005-0000-0000-0000E6600000}"/>
    <cellStyle name="Note 36 2 3" xfId="10561" xr:uid="{00000000-0005-0000-0000-0000E7600000}"/>
    <cellStyle name="Note 36 2 3 2" xfId="21849" xr:uid="{00000000-0005-0000-0000-0000E8600000}"/>
    <cellStyle name="Note 36 2 4" xfId="8567" xr:uid="{00000000-0005-0000-0000-0000E9600000}"/>
    <cellStyle name="Note 36 2 4 2" xfId="19855" xr:uid="{00000000-0005-0000-0000-0000EA600000}"/>
    <cellStyle name="Note 36 2 5" xfId="6573" xr:uid="{00000000-0005-0000-0000-0000EB600000}"/>
    <cellStyle name="Note 36 2 5 2" xfId="17861" xr:uid="{00000000-0005-0000-0000-0000EC600000}"/>
    <cellStyle name="Note 36 2 6" xfId="15867" xr:uid="{00000000-0005-0000-0000-0000ED600000}"/>
    <cellStyle name="Note 36 3" xfId="11558" xr:uid="{00000000-0005-0000-0000-0000EE600000}"/>
    <cellStyle name="Note 36 3 2" xfId="22846" xr:uid="{00000000-0005-0000-0000-0000EF600000}"/>
    <cellStyle name="Note 36 4" xfId="9564" xr:uid="{00000000-0005-0000-0000-0000F0600000}"/>
    <cellStyle name="Note 36 4 2" xfId="20852" xr:uid="{00000000-0005-0000-0000-0000F1600000}"/>
    <cellStyle name="Note 36 5" xfId="7570" xr:uid="{00000000-0005-0000-0000-0000F2600000}"/>
    <cellStyle name="Note 36 5 2" xfId="18858" xr:uid="{00000000-0005-0000-0000-0000F3600000}"/>
    <cellStyle name="Note 36 6" xfId="5576" xr:uid="{00000000-0005-0000-0000-0000F4600000}"/>
    <cellStyle name="Note 36 6 2" xfId="16864" xr:uid="{00000000-0005-0000-0000-0000F5600000}"/>
    <cellStyle name="Note 36 7" xfId="14870" xr:uid="{00000000-0005-0000-0000-0000F6600000}"/>
    <cellStyle name="Note 36 8" xfId="13554" xr:uid="{00000000-0005-0000-0000-0000F7600000}"/>
    <cellStyle name="Note 37" xfId="3343" xr:uid="{00000000-0005-0000-0000-0000F8600000}"/>
    <cellStyle name="Note 37 2" xfId="4577" xr:uid="{00000000-0005-0000-0000-0000F9600000}"/>
    <cellStyle name="Note 37 2 2" xfId="12556" xr:uid="{00000000-0005-0000-0000-0000FA600000}"/>
    <cellStyle name="Note 37 2 2 2" xfId="23844" xr:uid="{00000000-0005-0000-0000-0000FB600000}"/>
    <cellStyle name="Note 37 2 3" xfId="10562" xr:uid="{00000000-0005-0000-0000-0000FC600000}"/>
    <cellStyle name="Note 37 2 3 2" xfId="21850" xr:uid="{00000000-0005-0000-0000-0000FD600000}"/>
    <cellStyle name="Note 37 2 4" xfId="8568" xr:uid="{00000000-0005-0000-0000-0000FE600000}"/>
    <cellStyle name="Note 37 2 4 2" xfId="19856" xr:uid="{00000000-0005-0000-0000-0000FF600000}"/>
    <cellStyle name="Note 37 2 5" xfId="6574" xr:uid="{00000000-0005-0000-0000-000000610000}"/>
    <cellStyle name="Note 37 2 5 2" xfId="17862" xr:uid="{00000000-0005-0000-0000-000001610000}"/>
    <cellStyle name="Note 37 2 6" xfId="15868" xr:uid="{00000000-0005-0000-0000-000002610000}"/>
    <cellStyle name="Note 37 3" xfId="11559" xr:uid="{00000000-0005-0000-0000-000003610000}"/>
    <cellStyle name="Note 37 3 2" xfId="22847" xr:uid="{00000000-0005-0000-0000-000004610000}"/>
    <cellStyle name="Note 37 4" xfId="9565" xr:uid="{00000000-0005-0000-0000-000005610000}"/>
    <cellStyle name="Note 37 4 2" xfId="20853" xr:uid="{00000000-0005-0000-0000-000006610000}"/>
    <cellStyle name="Note 37 5" xfId="7571" xr:uid="{00000000-0005-0000-0000-000007610000}"/>
    <cellStyle name="Note 37 5 2" xfId="18859" xr:uid="{00000000-0005-0000-0000-000008610000}"/>
    <cellStyle name="Note 37 6" xfId="5577" xr:uid="{00000000-0005-0000-0000-000009610000}"/>
    <cellStyle name="Note 37 6 2" xfId="16865" xr:uid="{00000000-0005-0000-0000-00000A610000}"/>
    <cellStyle name="Note 37 7" xfId="14871" xr:uid="{00000000-0005-0000-0000-00000B610000}"/>
    <cellStyle name="Note 37 8" xfId="13555" xr:uid="{00000000-0005-0000-0000-00000C610000}"/>
    <cellStyle name="Note 38" xfId="3344" xr:uid="{00000000-0005-0000-0000-00000D610000}"/>
    <cellStyle name="Note 38 2" xfId="4578" xr:uid="{00000000-0005-0000-0000-00000E610000}"/>
    <cellStyle name="Note 38 2 2" xfId="12557" xr:uid="{00000000-0005-0000-0000-00000F610000}"/>
    <cellStyle name="Note 38 2 2 2" xfId="23845" xr:uid="{00000000-0005-0000-0000-000010610000}"/>
    <cellStyle name="Note 38 2 3" xfId="10563" xr:uid="{00000000-0005-0000-0000-000011610000}"/>
    <cellStyle name="Note 38 2 3 2" xfId="21851" xr:uid="{00000000-0005-0000-0000-000012610000}"/>
    <cellStyle name="Note 38 2 4" xfId="8569" xr:uid="{00000000-0005-0000-0000-000013610000}"/>
    <cellStyle name="Note 38 2 4 2" xfId="19857" xr:uid="{00000000-0005-0000-0000-000014610000}"/>
    <cellStyle name="Note 38 2 5" xfId="6575" xr:uid="{00000000-0005-0000-0000-000015610000}"/>
    <cellStyle name="Note 38 2 5 2" xfId="17863" xr:uid="{00000000-0005-0000-0000-000016610000}"/>
    <cellStyle name="Note 38 2 6" xfId="15869" xr:uid="{00000000-0005-0000-0000-000017610000}"/>
    <cellStyle name="Note 38 3" xfId="11560" xr:uid="{00000000-0005-0000-0000-000018610000}"/>
    <cellStyle name="Note 38 3 2" xfId="22848" xr:uid="{00000000-0005-0000-0000-000019610000}"/>
    <cellStyle name="Note 38 4" xfId="9566" xr:uid="{00000000-0005-0000-0000-00001A610000}"/>
    <cellStyle name="Note 38 4 2" xfId="20854" xr:uid="{00000000-0005-0000-0000-00001B610000}"/>
    <cellStyle name="Note 38 5" xfId="7572" xr:uid="{00000000-0005-0000-0000-00001C610000}"/>
    <cellStyle name="Note 38 5 2" xfId="18860" xr:uid="{00000000-0005-0000-0000-00001D610000}"/>
    <cellStyle name="Note 38 6" xfId="5578" xr:uid="{00000000-0005-0000-0000-00001E610000}"/>
    <cellStyle name="Note 38 6 2" xfId="16866" xr:uid="{00000000-0005-0000-0000-00001F610000}"/>
    <cellStyle name="Note 38 7" xfId="14872" xr:uid="{00000000-0005-0000-0000-000020610000}"/>
    <cellStyle name="Note 38 8" xfId="13556" xr:uid="{00000000-0005-0000-0000-000021610000}"/>
    <cellStyle name="Note 39" xfId="3345" xr:uid="{00000000-0005-0000-0000-000022610000}"/>
    <cellStyle name="Note 39 2" xfId="4579" xr:uid="{00000000-0005-0000-0000-000023610000}"/>
    <cellStyle name="Note 39 2 2" xfId="12558" xr:uid="{00000000-0005-0000-0000-000024610000}"/>
    <cellStyle name="Note 39 2 2 2" xfId="23846" xr:uid="{00000000-0005-0000-0000-000025610000}"/>
    <cellStyle name="Note 39 2 3" xfId="10564" xr:uid="{00000000-0005-0000-0000-000026610000}"/>
    <cellStyle name="Note 39 2 3 2" xfId="21852" xr:uid="{00000000-0005-0000-0000-000027610000}"/>
    <cellStyle name="Note 39 2 4" xfId="8570" xr:uid="{00000000-0005-0000-0000-000028610000}"/>
    <cellStyle name="Note 39 2 4 2" xfId="19858" xr:uid="{00000000-0005-0000-0000-000029610000}"/>
    <cellStyle name="Note 39 2 5" xfId="6576" xr:uid="{00000000-0005-0000-0000-00002A610000}"/>
    <cellStyle name="Note 39 2 5 2" xfId="17864" xr:uid="{00000000-0005-0000-0000-00002B610000}"/>
    <cellStyle name="Note 39 2 6" xfId="15870" xr:uid="{00000000-0005-0000-0000-00002C610000}"/>
    <cellStyle name="Note 39 3" xfId="11561" xr:uid="{00000000-0005-0000-0000-00002D610000}"/>
    <cellStyle name="Note 39 3 2" xfId="22849" xr:uid="{00000000-0005-0000-0000-00002E610000}"/>
    <cellStyle name="Note 39 4" xfId="9567" xr:uid="{00000000-0005-0000-0000-00002F610000}"/>
    <cellStyle name="Note 39 4 2" xfId="20855" xr:uid="{00000000-0005-0000-0000-000030610000}"/>
    <cellStyle name="Note 39 5" xfId="7573" xr:uid="{00000000-0005-0000-0000-000031610000}"/>
    <cellStyle name="Note 39 5 2" xfId="18861" xr:uid="{00000000-0005-0000-0000-000032610000}"/>
    <cellStyle name="Note 39 6" xfId="5579" xr:uid="{00000000-0005-0000-0000-000033610000}"/>
    <cellStyle name="Note 39 6 2" xfId="16867" xr:uid="{00000000-0005-0000-0000-000034610000}"/>
    <cellStyle name="Note 39 7" xfId="14873" xr:uid="{00000000-0005-0000-0000-000035610000}"/>
    <cellStyle name="Note 39 8" xfId="13557" xr:uid="{00000000-0005-0000-0000-000036610000}"/>
    <cellStyle name="Note 4" xfId="3346" xr:uid="{00000000-0005-0000-0000-000037610000}"/>
    <cellStyle name="Note 4 10" xfId="25076" xr:uid="{00000000-0005-0000-0000-000038610000}"/>
    <cellStyle name="Note 4 10 2" xfId="25421" xr:uid="{00000000-0005-0000-0000-000039610000}"/>
    <cellStyle name="Note 4 10 2 2" xfId="27575" xr:uid="{00000000-0005-0000-0000-00003A610000}"/>
    <cellStyle name="Note 4 10 2 2 2" xfId="32166" xr:uid="{EBFE7617-1DF5-49C0-99FD-A32FB5FD2D56}"/>
    <cellStyle name="Note 4 10 2 3" xfId="26966" xr:uid="{00000000-0005-0000-0000-00003B610000}"/>
    <cellStyle name="Note 4 10 2 3 2" xfId="31727" xr:uid="{B3C6097A-F8F9-497B-9C80-B684935CFFE1}"/>
    <cellStyle name="Note 4 10 2 4" xfId="26134" xr:uid="{00000000-0005-0000-0000-00003C610000}"/>
    <cellStyle name="Note 4 10 2 4 2" xfId="30924" xr:uid="{0DAF876A-F0DE-46D7-81E4-16410AF1356F}"/>
    <cellStyle name="Note 4 10 2 5" xfId="29289" xr:uid="{00000000-0005-0000-0000-00003D610000}"/>
    <cellStyle name="Note 4 10 2 5 2" xfId="33255" xr:uid="{C4895E64-E252-4E5E-9A67-BEF64A2F42D0}"/>
    <cellStyle name="Note 4 10 2 6" xfId="30579" xr:uid="{E284860F-50FD-474E-902F-818506795136}"/>
    <cellStyle name="Note 4 10 3" xfId="25680" xr:uid="{00000000-0005-0000-0000-00003E610000}"/>
    <cellStyle name="Note 4 10 3 2" xfId="27833" xr:uid="{00000000-0005-0000-0000-00003F610000}"/>
    <cellStyle name="Note 4 10 3 2 2" xfId="32420" xr:uid="{C434686F-E228-4486-9CDE-FBD7B6F87FDA}"/>
    <cellStyle name="Note 4 10 3 3" xfId="26447" xr:uid="{00000000-0005-0000-0000-000040610000}"/>
    <cellStyle name="Note 4 10 3 3 2" xfId="31235" xr:uid="{BB18DE56-9B57-49AF-8EC1-9AEB70371922}"/>
    <cellStyle name="Note 4 10 3 4" xfId="26354" xr:uid="{00000000-0005-0000-0000-000041610000}"/>
    <cellStyle name="Note 4 10 3 4 2" xfId="31142" xr:uid="{E274F0B3-4786-4726-952C-250E385E37F5}"/>
    <cellStyle name="Note 4 10 3 5" xfId="29288" xr:uid="{00000000-0005-0000-0000-000042610000}"/>
    <cellStyle name="Note 4 10 3 5 2" xfId="33254" xr:uid="{68F66E17-A3AE-458B-9DE6-AE58E3DC6A75}"/>
    <cellStyle name="Note 4 10 3 6" xfId="30674" xr:uid="{2BA25E7D-C1F1-4A67-9114-D49547C701BA}"/>
    <cellStyle name="Note 4 10 4" xfId="27367" xr:uid="{00000000-0005-0000-0000-000043610000}"/>
    <cellStyle name="Note 4 10 4 2" xfId="31965" xr:uid="{20C5BE9F-A843-4E63-9D32-D21B7F83356B}"/>
    <cellStyle name="Note 4 10 5" xfId="26380" xr:uid="{00000000-0005-0000-0000-000044610000}"/>
    <cellStyle name="Note 4 10 5 2" xfId="31168" xr:uid="{29F6580A-A2DF-4B52-8856-1DCB34E4EA5B}"/>
    <cellStyle name="Note 4 10 6" xfId="26280" xr:uid="{00000000-0005-0000-0000-000045610000}"/>
    <cellStyle name="Note 4 10 6 2" xfId="31068" xr:uid="{3FEA28AA-3F60-4843-8F9F-4E604D842475}"/>
    <cellStyle name="Note 4 10 7" xfId="29290" xr:uid="{00000000-0005-0000-0000-000046610000}"/>
    <cellStyle name="Note 4 10 7 2" xfId="33256" xr:uid="{91EA9833-D373-4D67-B953-2DAD5C4A205F}"/>
    <cellStyle name="Note 4 10 8" xfId="30382" xr:uid="{C8D9E4D9-3627-4B5F-8E89-2D974D2B9E1D}"/>
    <cellStyle name="Note 4 2" xfId="4580" xr:uid="{00000000-0005-0000-0000-000047610000}"/>
    <cellStyle name="Note 4 2 2" xfId="12559" xr:uid="{00000000-0005-0000-0000-000048610000}"/>
    <cellStyle name="Note 4 2 2 2" xfId="23847" xr:uid="{00000000-0005-0000-0000-000049610000}"/>
    <cellStyle name="Note 4 2 3" xfId="10565" xr:uid="{00000000-0005-0000-0000-00004A610000}"/>
    <cellStyle name="Note 4 2 3 2" xfId="21853" xr:uid="{00000000-0005-0000-0000-00004B610000}"/>
    <cellStyle name="Note 4 2 4" xfId="8571" xr:uid="{00000000-0005-0000-0000-00004C610000}"/>
    <cellStyle name="Note 4 2 4 2" xfId="19859" xr:uid="{00000000-0005-0000-0000-00004D610000}"/>
    <cellStyle name="Note 4 2 5" xfId="6577" xr:uid="{00000000-0005-0000-0000-00004E610000}"/>
    <cellStyle name="Note 4 2 5 2" xfId="17865" xr:uid="{00000000-0005-0000-0000-00004F610000}"/>
    <cellStyle name="Note 4 2 6" xfId="15871" xr:uid="{00000000-0005-0000-0000-000050610000}"/>
    <cellStyle name="Note 4 3" xfId="11562" xr:uid="{00000000-0005-0000-0000-000051610000}"/>
    <cellStyle name="Note 4 3 2" xfId="22850" xr:uid="{00000000-0005-0000-0000-000052610000}"/>
    <cellStyle name="Note 4 4" xfId="9568" xr:uid="{00000000-0005-0000-0000-000053610000}"/>
    <cellStyle name="Note 4 4 2" xfId="20856" xr:uid="{00000000-0005-0000-0000-000054610000}"/>
    <cellStyle name="Note 4 5" xfId="7574" xr:uid="{00000000-0005-0000-0000-000055610000}"/>
    <cellStyle name="Note 4 5 2" xfId="18862" xr:uid="{00000000-0005-0000-0000-000056610000}"/>
    <cellStyle name="Note 4 6" xfId="5580" xr:uid="{00000000-0005-0000-0000-000057610000}"/>
    <cellStyle name="Note 4 6 2" xfId="16868" xr:uid="{00000000-0005-0000-0000-000058610000}"/>
    <cellStyle name="Note 4 7" xfId="14874" xr:uid="{00000000-0005-0000-0000-000059610000}"/>
    <cellStyle name="Note 4 8" xfId="13558" xr:uid="{00000000-0005-0000-0000-00005A610000}"/>
    <cellStyle name="Note 4 9" xfId="24192" xr:uid="{00000000-0005-0000-0000-00005B610000}"/>
    <cellStyle name="Note 4 9 2" xfId="25343" xr:uid="{00000000-0005-0000-0000-00005C610000}"/>
    <cellStyle name="Note 4 9 2 2" xfId="27497" xr:uid="{00000000-0005-0000-0000-00005D610000}"/>
    <cellStyle name="Note 4 9 2 2 2" xfId="32088" xr:uid="{1B33F6FF-1C11-4FEE-869E-03D39D040970}"/>
    <cellStyle name="Note 4 9 2 3" xfId="26723" xr:uid="{00000000-0005-0000-0000-00005E610000}"/>
    <cellStyle name="Note 4 9 2 3 2" xfId="31484" xr:uid="{63B0EAC9-3713-486C-B1AD-46D59FB4B074}"/>
    <cellStyle name="Note 4 9 2 4" xfId="26386" xr:uid="{00000000-0005-0000-0000-00005F610000}"/>
    <cellStyle name="Note 4 9 2 4 2" xfId="31174" xr:uid="{57823113-B546-4154-9582-2D970F8E0646}"/>
    <cellStyle name="Note 4 9 2 5" xfId="29286" xr:uid="{00000000-0005-0000-0000-000060610000}"/>
    <cellStyle name="Note 4 9 2 5 2" xfId="33252" xr:uid="{B07A43C2-A8C6-49CE-B634-C895EF7A6A13}"/>
    <cellStyle name="Note 4 9 2 6" xfId="30501" xr:uid="{2100FFD0-8804-4D0E-9A46-863B5787E9EF}"/>
    <cellStyle name="Note 4 9 3" xfId="25567" xr:uid="{00000000-0005-0000-0000-000061610000}"/>
    <cellStyle name="Note 4 9 3 2" xfId="27720" xr:uid="{00000000-0005-0000-0000-000062610000}"/>
    <cellStyle name="Note 4 9 3 2 2" xfId="32307" xr:uid="{5516163D-BCC4-4099-A285-6928059C5488}"/>
    <cellStyle name="Note 4 9 3 3" xfId="26800" xr:uid="{00000000-0005-0000-0000-000063610000}"/>
    <cellStyle name="Note 4 9 3 3 2" xfId="31561" xr:uid="{4F1D991D-696F-4485-8499-8EA76A45DA88}"/>
    <cellStyle name="Note 4 9 3 4" xfId="26524" xr:uid="{00000000-0005-0000-0000-000064610000}"/>
    <cellStyle name="Note 4 9 3 4 2" xfId="31311" xr:uid="{FA5CB2CA-5301-4055-99FE-96728A932FD6}"/>
    <cellStyle name="Note 4 9 3 5" xfId="29285" xr:uid="{00000000-0005-0000-0000-000065610000}"/>
    <cellStyle name="Note 4 9 3 5 2" xfId="33251" xr:uid="{31A8CACA-9A16-45F6-BBAE-58D85923AA7C}"/>
    <cellStyle name="Note 4 9 3 6" xfId="30624" xr:uid="{62FB1D9F-87A2-4ED6-8157-CFC8F683CC09}"/>
    <cellStyle name="Note 4 9 4" xfId="27092" xr:uid="{00000000-0005-0000-0000-000066610000}"/>
    <cellStyle name="Note 4 9 4 2" xfId="31816" xr:uid="{AFF142BA-BD7D-49D6-BC66-BA8568021BE9}"/>
    <cellStyle name="Note 4 9 5" xfId="26446" xr:uid="{00000000-0005-0000-0000-000067610000}"/>
    <cellStyle name="Note 4 9 5 2" xfId="31234" xr:uid="{D331D07D-4BA9-4B46-B2DB-D7ECF4BBDCE6}"/>
    <cellStyle name="Note 4 9 6" xfId="26752" xr:uid="{00000000-0005-0000-0000-000068610000}"/>
    <cellStyle name="Note 4 9 6 2" xfId="31513" xr:uid="{2FA07F35-96F5-4ECF-B140-A73C13792DBE}"/>
    <cellStyle name="Note 4 9 7" xfId="29287" xr:uid="{00000000-0005-0000-0000-000069610000}"/>
    <cellStyle name="Note 4 9 7 2" xfId="33253" xr:uid="{F2D42103-4FF7-4D4B-B1E1-DA634570BB50}"/>
    <cellStyle name="Note 4 9 8" xfId="30269" xr:uid="{3B04A0F6-8DFE-455C-8465-7D26DAD0FAEA}"/>
    <cellStyle name="Note 40" xfId="3347" xr:uid="{00000000-0005-0000-0000-00006A610000}"/>
    <cellStyle name="Note 40 2" xfId="4581" xr:uid="{00000000-0005-0000-0000-00006B610000}"/>
    <cellStyle name="Note 40 2 2" xfId="12560" xr:uid="{00000000-0005-0000-0000-00006C610000}"/>
    <cellStyle name="Note 40 2 2 2" xfId="23848" xr:uid="{00000000-0005-0000-0000-00006D610000}"/>
    <cellStyle name="Note 40 2 3" xfId="10566" xr:uid="{00000000-0005-0000-0000-00006E610000}"/>
    <cellStyle name="Note 40 2 3 2" xfId="21854" xr:uid="{00000000-0005-0000-0000-00006F610000}"/>
    <cellStyle name="Note 40 2 4" xfId="8572" xr:uid="{00000000-0005-0000-0000-000070610000}"/>
    <cellStyle name="Note 40 2 4 2" xfId="19860" xr:uid="{00000000-0005-0000-0000-000071610000}"/>
    <cellStyle name="Note 40 2 5" xfId="6578" xr:uid="{00000000-0005-0000-0000-000072610000}"/>
    <cellStyle name="Note 40 2 5 2" xfId="17866" xr:uid="{00000000-0005-0000-0000-000073610000}"/>
    <cellStyle name="Note 40 2 6" xfId="15872" xr:uid="{00000000-0005-0000-0000-000074610000}"/>
    <cellStyle name="Note 40 3" xfId="11563" xr:uid="{00000000-0005-0000-0000-000075610000}"/>
    <cellStyle name="Note 40 3 2" xfId="22851" xr:uid="{00000000-0005-0000-0000-000076610000}"/>
    <cellStyle name="Note 40 4" xfId="9569" xr:uid="{00000000-0005-0000-0000-000077610000}"/>
    <cellStyle name="Note 40 4 2" xfId="20857" xr:uid="{00000000-0005-0000-0000-000078610000}"/>
    <cellStyle name="Note 40 5" xfId="7575" xr:uid="{00000000-0005-0000-0000-000079610000}"/>
    <cellStyle name="Note 40 5 2" xfId="18863" xr:uid="{00000000-0005-0000-0000-00007A610000}"/>
    <cellStyle name="Note 40 6" xfId="5581" xr:uid="{00000000-0005-0000-0000-00007B610000}"/>
    <cellStyle name="Note 40 6 2" xfId="16869" xr:uid="{00000000-0005-0000-0000-00007C610000}"/>
    <cellStyle name="Note 40 7" xfId="14875" xr:uid="{00000000-0005-0000-0000-00007D610000}"/>
    <cellStyle name="Note 40 8" xfId="13559" xr:uid="{00000000-0005-0000-0000-00007E610000}"/>
    <cellStyle name="Note 41" xfId="3348" xr:uid="{00000000-0005-0000-0000-00007F610000}"/>
    <cellStyle name="Note 41 2" xfId="4582" xr:uid="{00000000-0005-0000-0000-000080610000}"/>
    <cellStyle name="Note 41 2 2" xfId="12561" xr:uid="{00000000-0005-0000-0000-000081610000}"/>
    <cellStyle name="Note 41 2 2 2" xfId="23849" xr:uid="{00000000-0005-0000-0000-000082610000}"/>
    <cellStyle name="Note 41 2 3" xfId="10567" xr:uid="{00000000-0005-0000-0000-000083610000}"/>
    <cellStyle name="Note 41 2 3 2" xfId="21855" xr:uid="{00000000-0005-0000-0000-000084610000}"/>
    <cellStyle name="Note 41 2 4" xfId="8573" xr:uid="{00000000-0005-0000-0000-000085610000}"/>
    <cellStyle name="Note 41 2 4 2" xfId="19861" xr:uid="{00000000-0005-0000-0000-000086610000}"/>
    <cellStyle name="Note 41 2 5" xfId="6579" xr:uid="{00000000-0005-0000-0000-000087610000}"/>
    <cellStyle name="Note 41 2 5 2" xfId="17867" xr:uid="{00000000-0005-0000-0000-000088610000}"/>
    <cellStyle name="Note 41 2 6" xfId="15873" xr:uid="{00000000-0005-0000-0000-000089610000}"/>
    <cellStyle name="Note 41 3" xfId="11564" xr:uid="{00000000-0005-0000-0000-00008A610000}"/>
    <cellStyle name="Note 41 3 2" xfId="22852" xr:uid="{00000000-0005-0000-0000-00008B610000}"/>
    <cellStyle name="Note 41 4" xfId="9570" xr:uid="{00000000-0005-0000-0000-00008C610000}"/>
    <cellStyle name="Note 41 4 2" xfId="20858" xr:uid="{00000000-0005-0000-0000-00008D610000}"/>
    <cellStyle name="Note 41 5" xfId="7576" xr:uid="{00000000-0005-0000-0000-00008E610000}"/>
    <cellStyle name="Note 41 5 2" xfId="18864" xr:uid="{00000000-0005-0000-0000-00008F610000}"/>
    <cellStyle name="Note 41 6" xfId="5582" xr:uid="{00000000-0005-0000-0000-000090610000}"/>
    <cellStyle name="Note 41 6 2" xfId="16870" xr:uid="{00000000-0005-0000-0000-000091610000}"/>
    <cellStyle name="Note 41 7" xfId="14876" xr:uid="{00000000-0005-0000-0000-000092610000}"/>
    <cellStyle name="Note 41 8" xfId="13560" xr:uid="{00000000-0005-0000-0000-000093610000}"/>
    <cellStyle name="Note 42" xfId="3349" xr:uid="{00000000-0005-0000-0000-000094610000}"/>
    <cellStyle name="Note 42 2" xfId="4583" xr:uid="{00000000-0005-0000-0000-000095610000}"/>
    <cellStyle name="Note 42 2 2" xfId="12562" xr:uid="{00000000-0005-0000-0000-000096610000}"/>
    <cellStyle name="Note 42 2 2 2" xfId="23850" xr:uid="{00000000-0005-0000-0000-000097610000}"/>
    <cellStyle name="Note 42 2 3" xfId="10568" xr:uid="{00000000-0005-0000-0000-000098610000}"/>
    <cellStyle name="Note 42 2 3 2" xfId="21856" xr:uid="{00000000-0005-0000-0000-000099610000}"/>
    <cellStyle name="Note 42 2 4" xfId="8574" xr:uid="{00000000-0005-0000-0000-00009A610000}"/>
    <cellStyle name="Note 42 2 4 2" xfId="19862" xr:uid="{00000000-0005-0000-0000-00009B610000}"/>
    <cellStyle name="Note 42 2 5" xfId="6580" xr:uid="{00000000-0005-0000-0000-00009C610000}"/>
    <cellStyle name="Note 42 2 5 2" xfId="17868" xr:uid="{00000000-0005-0000-0000-00009D610000}"/>
    <cellStyle name="Note 42 2 6" xfId="15874" xr:uid="{00000000-0005-0000-0000-00009E610000}"/>
    <cellStyle name="Note 42 3" xfId="11565" xr:uid="{00000000-0005-0000-0000-00009F610000}"/>
    <cellStyle name="Note 42 3 2" xfId="22853" xr:uid="{00000000-0005-0000-0000-0000A0610000}"/>
    <cellStyle name="Note 42 4" xfId="9571" xr:uid="{00000000-0005-0000-0000-0000A1610000}"/>
    <cellStyle name="Note 42 4 2" xfId="20859" xr:uid="{00000000-0005-0000-0000-0000A2610000}"/>
    <cellStyle name="Note 42 5" xfId="7577" xr:uid="{00000000-0005-0000-0000-0000A3610000}"/>
    <cellStyle name="Note 42 5 2" xfId="18865" xr:uid="{00000000-0005-0000-0000-0000A4610000}"/>
    <cellStyle name="Note 42 6" xfId="5583" xr:uid="{00000000-0005-0000-0000-0000A5610000}"/>
    <cellStyle name="Note 42 6 2" xfId="16871" xr:uid="{00000000-0005-0000-0000-0000A6610000}"/>
    <cellStyle name="Note 42 7" xfId="14877" xr:uid="{00000000-0005-0000-0000-0000A7610000}"/>
    <cellStyle name="Note 42 8" xfId="13561" xr:uid="{00000000-0005-0000-0000-0000A8610000}"/>
    <cellStyle name="Note 43" xfId="3350" xr:uid="{00000000-0005-0000-0000-0000A9610000}"/>
    <cellStyle name="Note 43 2" xfId="4584" xr:uid="{00000000-0005-0000-0000-0000AA610000}"/>
    <cellStyle name="Note 43 2 2" xfId="12563" xr:uid="{00000000-0005-0000-0000-0000AB610000}"/>
    <cellStyle name="Note 43 2 2 2" xfId="23851" xr:uid="{00000000-0005-0000-0000-0000AC610000}"/>
    <cellStyle name="Note 43 2 3" xfId="10569" xr:uid="{00000000-0005-0000-0000-0000AD610000}"/>
    <cellStyle name="Note 43 2 3 2" xfId="21857" xr:uid="{00000000-0005-0000-0000-0000AE610000}"/>
    <cellStyle name="Note 43 2 4" xfId="8575" xr:uid="{00000000-0005-0000-0000-0000AF610000}"/>
    <cellStyle name="Note 43 2 4 2" xfId="19863" xr:uid="{00000000-0005-0000-0000-0000B0610000}"/>
    <cellStyle name="Note 43 2 5" xfId="6581" xr:uid="{00000000-0005-0000-0000-0000B1610000}"/>
    <cellStyle name="Note 43 2 5 2" xfId="17869" xr:uid="{00000000-0005-0000-0000-0000B2610000}"/>
    <cellStyle name="Note 43 2 6" xfId="15875" xr:uid="{00000000-0005-0000-0000-0000B3610000}"/>
    <cellStyle name="Note 43 3" xfId="11566" xr:uid="{00000000-0005-0000-0000-0000B4610000}"/>
    <cellStyle name="Note 43 3 2" xfId="22854" xr:uid="{00000000-0005-0000-0000-0000B5610000}"/>
    <cellStyle name="Note 43 4" xfId="9572" xr:uid="{00000000-0005-0000-0000-0000B6610000}"/>
    <cellStyle name="Note 43 4 2" xfId="20860" xr:uid="{00000000-0005-0000-0000-0000B7610000}"/>
    <cellStyle name="Note 43 5" xfId="7578" xr:uid="{00000000-0005-0000-0000-0000B8610000}"/>
    <cellStyle name="Note 43 5 2" xfId="18866" xr:uid="{00000000-0005-0000-0000-0000B9610000}"/>
    <cellStyle name="Note 43 6" xfId="5584" xr:uid="{00000000-0005-0000-0000-0000BA610000}"/>
    <cellStyle name="Note 43 6 2" xfId="16872" xr:uid="{00000000-0005-0000-0000-0000BB610000}"/>
    <cellStyle name="Note 43 7" xfId="14878" xr:uid="{00000000-0005-0000-0000-0000BC610000}"/>
    <cellStyle name="Note 43 8" xfId="13562" xr:uid="{00000000-0005-0000-0000-0000BD610000}"/>
    <cellStyle name="Note 44" xfId="3351" xr:uid="{00000000-0005-0000-0000-0000BE610000}"/>
    <cellStyle name="Note 44 2" xfId="4585" xr:uid="{00000000-0005-0000-0000-0000BF610000}"/>
    <cellStyle name="Note 44 2 2" xfId="12564" xr:uid="{00000000-0005-0000-0000-0000C0610000}"/>
    <cellStyle name="Note 44 2 2 2" xfId="23852" xr:uid="{00000000-0005-0000-0000-0000C1610000}"/>
    <cellStyle name="Note 44 2 3" xfId="10570" xr:uid="{00000000-0005-0000-0000-0000C2610000}"/>
    <cellStyle name="Note 44 2 3 2" xfId="21858" xr:uid="{00000000-0005-0000-0000-0000C3610000}"/>
    <cellStyle name="Note 44 2 4" xfId="8576" xr:uid="{00000000-0005-0000-0000-0000C4610000}"/>
    <cellStyle name="Note 44 2 4 2" xfId="19864" xr:uid="{00000000-0005-0000-0000-0000C5610000}"/>
    <cellStyle name="Note 44 2 5" xfId="6582" xr:uid="{00000000-0005-0000-0000-0000C6610000}"/>
    <cellStyle name="Note 44 2 5 2" xfId="17870" xr:uid="{00000000-0005-0000-0000-0000C7610000}"/>
    <cellStyle name="Note 44 2 6" xfId="15876" xr:uid="{00000000-0005-0000-0000-0000C8610000}"/>
    <cellStyle name="Note 44 3" xfId="11567" xr:uid="{00000000-0005-0000-0000-0000C9610000}"/>
    <cellStyle name="Note 44 3 2" xfId="22855" xr:uid="{00000000-0005-0000-0000-0000CA610000}"/>
    <cellStyle name="Note 44 4" xfId="9573" xr:uid="{00000000-0005-0000-0000-0000CB610000}"/>
    <cellStyle name="Note 44 4 2" xfId="20861" xr:uid="{00000000-0005-0000-0000-0000CC610000}"/>
    <cellStyle name="Note 44 5" xfId="7579" xr:uid="{00000000-0005-0000-0000-0000CD610000}"/>
    <cellStyle name="Note 44 5 2" xfId="18867" xr:uid="{00000000-0005-0000-0000-0000CE610000}"/>
    <cellStyle name="Note 44 6" xfId="5585" xr:uid="{00000000-0005-0000-0000-0000CF610000}"/>
    <cellStyle name="Note 44 6 2" xfId="16873" xr:uid="{00000000-0005-0000-0000-0000D0610000}"/>
    <cellStyle name="Note 44 7" xfId="14879" xr:uid="{00000000-0005-0000-0000-0000D1610000}"/>
    <cellStyle name="Note 44 8" xfId="13563" xr:uid="{00000000-0005-0000-0000-0000D2610000}"/>
    <cellStyle name="Note 45" xfId="3352" xr:uid="{00000000-0005-0000-0000-0000D3610000}"/>
    <cellStyle name="Note 45 2" xfId="4586" xr:uid="{00000000-0005-0000-0000-0000D4610000}"/>
    <cellStyle name="Note 45 2 2" xfId="12565" xr:uid="{00000000-0005-0000-0000-0000D5610000}"/>
    <cellStyle name="Note 45 2 2 2" xfId="23853" xr:uid="{00000000-0005-0000-0000-0000D6610000}"/>
    <cellStyle name="Note 45 2 3" xfId="10571" xr:uid="{00000000-0005-0000-0000-0000D7610000}"/>
    <cellStyle name="Note 45 2 3 2" xfId="21859" xr:uid="{00000000-0005-0000-0000-0000D8610000}"/>
    <cellStyle name="Note 45 2 4" xfId="8577" xr:uid="{00000000-0005-0000-0000-0000D9610000}"/>
    <cellStyle name="Note 45 2 4 2" xfId="19865" xr:uid="{00000000-0005-0000-0000-0000DA610000}"/>
    <cellStyle name="Note 45 2 5" xfId="6583" xr:uid="{00000000-0005-0000-0000-0000DB610000}"/>
    <cellStyle name="Note 45 2 5 2" xfId="17871" xr:uid="{00000000-0005-0000-0000-0000DC610000}"/>
    <cellStyle name="Note 45 2 6" xfId="15877" xr:uid="{00000000-0005-0000-0000-0000DD610000}"/>
    <cellStyle name="Note 45 3" xfId="11568" xr:uid="{00000000-0005-0000-0000-0000DE610000}"/>
    <cellStyle name="Note 45 3 2" xfId="22856" xr:uid="{00000000-0005-0000-0000-0000DF610000}"/>
    <cellStyle name="Note 45 4" xfId="9574" xr:uid="{00000000-0005-0000-0000-0000E0610000}"/>
    <cellStyle name="Note 45 4 2" xfId="20862" xr:uid="{00000000-0005-0000-0000-0000E1610000}"/>
    <cellStyle name="Note 45 5" xfId="7580" xr:uid="{00000000-0005-0000-0000-0000E2610000}"/>
    <cellStyle name="Note 45 5 2" xfId="18868" xr:uid="{00000000-0005-0000-0000-0000E3610000}"/>
    <cellStyle name="Note 45 6" xfId="5586" xr:uid="{00000000-0005-0000-0000-0000E4610000}"/>
    <cellStyle name="Note 45 6 2" xfId="16874" xr:uid="{00000000-0005-0000-0000-0000E5610000}"/>
    <cellStyle name="Note 45 7" xfId="14880" xr:uid="{00000000-0005-0000-0000-0000E6610000}"/>
    <cellStyle name="Note 45 8" xfId="13564" xr:uid="{00000000-0005-0000-0000-0000E7610000}"/>
    <cellStyle name="Note 46" xfId="3353" xr:uid="{00000000-0005-0000-0000-0000E8610000}"/>
    <cellStyle name="Note 46 2" xfId="4587" xr:uid="{00000000-0005-0000-0000-0000E9610000}"/>
    <cellStyle name="Note 46 2 2" xfId="12566" xr:uid="{00000000-0005-0000-0000-0000EA610000}"/>
    <cellStyle name="Note 46 2 2 2" xfId="23854" xr:uid="{00000000-0005-0000-0000-0000EB610000}"/>
    <cellStyle name="Note 46 2 3" xfId="10572" xr:uid="{00000000-0005-0000-0000-0000EC610000}"/>
    <cellStyle name="Note 46 2 3 2" xfId="21860" xr:uid="{00000000-0005-0000-0000-0000ED610000}"/>
    <cellStyle name="Note 46 2 4" xfId="8578" xr:uid="{00000000-0005-0000-0000-0000EE610000}"/>
    <cellStyle name="Note 46 2 4 2" xfId="19866" xr:uid="{00000000-0005-0000-0000-0000EF610000}"/>
    <cellStyle name="Note 46 2 5" xfId="6584" xr:uid="{00000000-0005-0000-0000-0000F0610000}"/>
    <cellStyle name="Note 46 2 5 2" xfId="17872" xr:uid="{00000000-0005-0000-0000-0000F1610000}"/>
    <cellStyle name="Note 46 2 6" xfId="15878" xr:uid="{00000000-0005-0000-0000-0000F2610000}"/>
    <cellStyle name="Note 46 3" xfId="11569" xr:uid="{00000000-0005-0000-0000-0000F3610000}"/>
    <cellStyle name="Note 46 3 2" xfId="22857" xr:uid="{00000000-0005-0000-0000-0000F4610000}"/>
    <cellStyle name="Note 46 4" xfId="9575" xr:uid="{00000000-0005-0000-0000-0000F5610000}"/>
    <cellStyle name="Note 46 4 2" xfId="20863" xr:uid="{00000000-0005-0000-0000-0000F6610000}"/>
    <cellStyle name="Note 46 5" xfId="7581" xr:uid="{00000000-0005-0000-0000-0000F7610000}"/>
    <cellStyle name="Note 46 5 2" xfId="18869" xr:uid="{00000000-0005-0000-0000-0000F8610000}"/>
    <cellStyle name="Note 46 6" xfId="5587" xr:uid="{00000000-0005-0000-0000-0000F9610000}"/>
    <cellStyle name="Note 46 6 2" xfId="16875" xr:uid="{00000000-0005-0000-0000-0000FA610000}"/>
    <cellStyle name="Note 46 7" xfId="14881" xr:uid="{00000000-0005-0000-0000-0000FB610000}"/>
    <cellStyle name="Note 46 8" xfId="13565" xr:uid="{00000000-0005-0000-0000-0000FC610000}"/>
    <cellStyle name="Note 47" xfId="3354" xr:uid="{00000000-0005-0000-0000-0000FD610000}"/>
    <cellStyle name="Note 47 2" xfId="4588" xr:uid="{00000000-0005-0000-0000-0000FE610000}"/>
    <cellStyle name="Note 47 2 2" xfId="12567" xr:uid="{00000000-0005-0000-0000-0000FF610000}"/>
    <cellStyle name="Note 47 2 2 2" xfId="23855" xr:uid="{00000000-0005-0000-0000-000000620000}"/>
    <cellStyle name="Note 47 2 3" xfId="10573" xr:uid="{00000000-0005-0000-0000-000001620000}"/>
    <cellStyle name="Note 47 2 3 2" xfId="21861" xr:uid="{00000000-0005-0000-0000-000002620000}"/>
    <cellStyle name="Note 47 2 4" xfId="8579" xr:uid="{00000000-0005-0000-0000-000003620000}"/>
    <cellStyle name="Note 47 2 4 2" xfId="19867" xr:uid="{00000000-0005-0000-0000-000004620000}"/>
    <cellStyle name="Note 47 2 5" xfId="6585" xr:uid="{00000000-0005-0000-0000-000005620000}"/>
    <cellStyle name="Note 47 2 5 2" xfId="17873" xr:uid="{00000000-0005-0000-0000-000006620000}"/>
    <cellStyle name="Note 47 2 6" xfId="15879" xr:uid="{00000000-0005-0000-0000-000007620000}"/>
    <cellStyle name="Note 47 3" xfId="11570" xr:uid="{00000000-0005-0000-0000-000008620000}"/>
    <cellStyle name="Note 47 3 2" xfId="22858" xr:uid="{00000000-0005-0000-0000-000009620000}"/>
    <cellStyle name="Note 47 4" xfId="9576" xr:uid="{00000000-0005-0000-0000-00000A620000}"/>
    <cellStyle name="Note 47 4 2" xfId="20864" xr:uid="{00000000-0005-0000-0000-00000B620000}"/>
    <cellStyle name="Note 47 5" xfId="7582" xr:uid="{00000000-0005-0000-0000-00000C620000}"/>
    <cellStyle name="Note 47 5 2" xfId="18870" xr:uid="{00000000-0005-0000-0000-00000D620000}"/>
    <cellStyle name="Note 47 6" xfId="5588" xr:uid="{00000000-0005-0000-0000-00000E620000}"/>
    <cellStyle name="Note 47 6 2" xfId="16876" xr:uid="{00000000-0005-0000-0000-00000F620000}"/>
    <cellStyle name="Note 47 7" xfId="14882" xr:uid="{00000000-0005-0000-0000-000010620000}"/>
    <cellStyle name="Note 47 8" xfId="13566" xr:uid="{00000000-0005-0000-0000-000011620000}"/>
    <cellStyle name="Note 48" xfId="3355" xr:uid="{00000000-0005-0000-0000-000012620000}"/>
    <cellStyle name="Note 48 2" xfId="4589" xr:uid="{00000000-0005-0000-0000-000013620000}"/>
    <cellStyle name="Note 48 2 2" xfId="12568" xr:uid="{00000000-0005-0000-0000-000014620000}"/>
    <cellStyle name="Note 48 2 2 2" xfId="23856" xr:uid="{00000000-0005-0000-0000-000015620000}"/>
    <cellStyle name="Note 48 2 3" xfId="10574" xr:uid="{00000000-0005-0000-0000-000016620000}"/>
    <cellStyle name="Note 48 2 3 2" xfId="21862" xr:uid="{00000000-0005-0000-0000-000017620000}"/>
    <cellStyle name="Note 48 2 4" xfId="8580" xr:uid="{00000000-0005-0000-0000-000018620000}"/>
    <cellStyle name="Note 48 2 4 2" xfId="19868" xr:uid="{00000000-0005-0000-0000-000019620000}"/>
    <cellStyle name="Note 48 2 5" xfId="6586" xr:uid="{00000000-0005-0000-0000-00001A620000}"/>
    <cellStyle name="Note 48 2 5 2" xfId="17874" xr:uid="{00000000-0005-0000-0000-00001B620000}"/>
    <cellStyle name="Note 48 2 6" xfId="15880" xr:uid="{00000000-0005-0000-0000-00001C620000}"/>
    <cellStyle name="Note 48 3" xfId="11571" xr:uid="{00000000-0005-0000-0000-00001D620000}"/>
    <cellStyle name="Note 48 3 2" xfId="22859" xr:uid="{00000000-0005-0000-0000-00001E620000}"/>
    <cellStyle name="Note 48 4" xfId="9577" xr:uid="{00000000-0005-0000-0000-00001F620000}"/>
    <cellStyle name="Note 48 4 2" xfId="20865" xr:uid="{00000000-0005-0000-0000-000020620000}"/>
    <cellStyle name="Note 48 5" xfId="7583" xr:uid="{00000000-0005-0000-0000-000021620000}"/>
    <cellStyle name="Note 48 5 2" xfId="18871" xr:uid="{00000000-0005-0000-0000-000022620000}"/>
    <cellStyle name="Note 48 6" xfId="5589" xr:uid="{00000000-0005-0000-0000-000023620000}"/>
    <cellStyle name="Note 48 6 2" xfId="16877" xr:uid="{00000000-0005-0000-0000-000024620000}"/>
    <cellStyle name="Note 48 7" xfId="14883" xr:uid="{00000000-0005-0000-0000-000025620000}"/>
    <cellStyle name="Note 48 8" xfId="13567" xr:uid="{00000000-0005-0000-0000-000026620000}"/>
    <cellStyle name="Note 49" xfId="3356" xr:uid="{00000000-0005-0000-0000-000027620000}"/>
    <cellStyle name="Note 49 2" xfId="4590" xr:uid="{00000000-0005-0000-0000-000028620000}"/>
    <cellStyle name="Note 49 2 2" xfId="12569" xr:uid="{00000000-0005-0000-0000-000029620000}"/>
    <cellStyle name="Note 49 2 2 2" xfId="23857" xr:uid="{00000000-0005-0000-0000-00002A620000}"/>
    <cellStyle name="Note 49 2 3" xfId="10575" xr:uid="{00000000-0005-0000-0000-00002B620000}"/>
    <cellStyle name="Note 49 2 3 2" xfId="21863" xr:uid="{00000000-0005-0000-0000-00002C620000}"/>
    <cellStyle name="Note 49 2 4" xfId="8581" xr:uid="{00000000-0005-0000-0000-00002D620000}"/>
    <cellStyle name="Note 49 2 4 2" xfId="19869" xr:uid="{00000000-0005-0000-0000-00002E620000}"/>
    <cellStyle name="Note 49 2 5" xfId="6587" xr:uid="{00000000-0005-0000-0000-00002F620000}"/>
    <cellStyle name="Note 49 2 5 2" xfId="17875" xr:uid="{00000000-0005-0000-0000-000030620000}"/>
    <cellStyle name="Note 49 2 6" xfId="15881" xr:uid="{00000000-0005-0000-0000-000031620000}"/>
    <cellStyle name="Note 49 3" xfId="11572" xr:uid="{00000000-0005-0000-0000-000032620000}"/>
    <cellStyle name="Note 49 3 2" xfId="22860" xr:uid="{00000000-0005-0000-0000-000033620000}"/>
    <cellStyle name="Note 49 4" xfId="9578" xr:uid="{00000000-0005-0000-0000-000034620000}"/>
    <cellStyle name="Note 49 4 2" xfId="20866" xr:uid="{00000000-0005-0000-0000-000035620000}"/>
    <cellStyle name="Note 49 5" xfId="7584" xr:uid="{00000000-0005-0000-0000-000036620000}"/>
    <cellStyle name="Note 49 5 2" xfId="18872" xr:uid="{00000000-0005-0000-0000-000037620000}"/>
    <cellStyle name="Note 49 6" xfId="5590" xr:uid="{00000000-0005-0000-0000-000038620000}"/>
    <cellStyle name="Note 49 6 2" xfId="16878" xr:uid="{00000000-0005-0000-0000-000039620000}"/>
    <cellStyle name="Note 49 7" xfId="14884" xr:uid="{00000000-0005-0000-0000-00003A620000}"/>
    <cellStyle name="Note 49 8" xfId="13568" xr:uid="{00000000-0005-0000-0000-00003B620000}"/>
    <cellStyle name="Note 5" xfId="3357" xr:uid="{00000000-0005-0000-0000-00003C620000}"/>
    <cellStyle name="Note 5 10" xfId="25077" xr:uid="{00000000-0005-0000-0000-00003D620000}"/>
    <cellStyle name="Note 5 10 2" xfId="25338" xr:uid="{00000000-0005-0000-0000-00003E620000}"/>
    <cellStyle name="Note 5 10 2 2" xfId="27492" xr:uid="{00000000-0005-0000-0000-00003F620000}"/>
    <cellStyle name="Note 5 10 2 2 2" xfId="32083" xr:uid="{A19941B5-ED37-42FF-BC94-DAD64BC1B10D}"/>
    <cellStyle name="Note 5 10 2 3" xfId="26965" xr:uid="{00000000-0005-0000-0000-000040620000}"/>
    <cellStyle name="Note 5 10 2 3 2" xfId="31726" xr:uid="{597CCD8D-C10B-4C68-A1F8-5A88FAD14C73}"/>
    <cellStyle name="Note 5 10 2 4" xfId="26913" xr:uid="{00000000-0005-0000-0000-000041620000}"/>
    <cellStyle name="Note 5 10 2 4 2" xfId="31674" xr:uid="{30FD7022-C61C-45F1-919F-F9E343479EB3}"/>
    <cellStyle name="Note 5 10 2 5" xfId="29282" xr:uid="{00000000-0005-0000-0000-000042620000}"/>
    <cellStyle name="Note 5 10 2 5 2" xfId="33249" xr:uid="{C1CC3A9F-43C2-49D4-A3AD-C6F26763B6EB}"/>
    <cellStyle name="Note 5 10 2 6" xfId="30496" xr:uid="{E12D2A96-6A54-4A75-A9E1-579637785F2B}"/>
    <cellStyle name="Note 5 10 3" xfId="25681" xr:uid="{00000000-0005-0000-0000-000043620000}"/>
    <cellStyle name="Note 5 10 3 2" xfId="27834" xr:uid="{00000000-0005-0000-0000-000044620000}"/>
    <cellStyle name="Note 5 10 3 2 2" xfId="32421" xr:uid="{86006B15-C454-4020-98CB-EF934E7D7377}"/>
    <cellStyle name="Note 5 10 3 3" xfId="26445" xr:uid="{00000000-0005-0000-0000-000045620000}"/>
    <cellStyle name="Note 5 10 3 3 2" xfId="31233" xr:uid="{5457A55C-1C23-485E-A60C-FC06AC5456FE}"/>
    <cellStyle name="Note 5 10 3 4" xfId="26179" xr:uid="{00000000-0005-0000-0000-000046620000}"/>
    <cellStyle name="Note 5 10 3 4 2" xfId="30968" xr:uid="{1D1EBE38-6BF2-4907-A084-C88ED1A99BB2}"/>
    <cellStyle name="Note 5 10 3 5" xfId="29281" xr:uid="{00000000-0005-0000-0000-000047620000}"/>
    <cellStyle name="Note 5 10 3 5 2" xfId="33248" xr:uid="{62B9C2E7-4D55-40CC-B524-6DE94C802186}"/>
    <cellStyle name="Note 5 10 3 6" xfId="30675" xr:uid="{0EA4B9F4-3A00-4666-9BFA-914716AA248F}"/>
    <cellStyle name="Note 5 10 4" xfId="27368" xr:uid="{00000000-0005-0000-0000-000048620000}"/>
    <cellStyle name="Note 5 10 4 2" xfId="31966" xr:uid="{66FA2DFB-BBF0-4974-AECF-DFDC43857841}"/>
    <cellStyle name="Note 5 10 5" xfId="26379" xr:uid="{00000000-0005-0000-0000-000049620000}"/>
    <cellStyle name="Note 5 10 5 2" xfId="31167" xr:uid="{3B66F73B-E67C-4E81-AA4E-EEF1D3196F8B}"/>
    <cellStyle name="Note 5 10 6" xfId="26480" xr:uid="{00000000-0005-0000-0000-00004A620000}"/>
    <cellStyle name="Note 5 10 6 2" xfId="31268" xr:uid="{40F0E242-512F-4838-85C3-D53BE1D13AAD}"/>
    <cellStyle name="Note 5 10 7" xfId="29283" xr:uid="{00000000-0005-0000-0000-00004B620000}"/>
    <cellStyle name="Note 5 10 7 2" xfId="33250" xr:uid="{B32A91D5-FDE9-489C-AB26-C5979B2060FC}"/>
    <cellStyle name="Note 5 10 8" xfId="30383" xr:uid="{C07AFF2E-8D08-4755-8815-92C542BA0288}"/>
    <cellStyle name="Note 5 2" xfId="4591" xr:uid="{00000000-0005-0000-0000-00004C620000}"/>
    <cellStyle name="Note 5 2 2" xfId="12570" xr:uid="{00000000-0005-0000-0000-00004D620000}"/>
    <cellStyle name="Note 5 2 2 2" xfId="23858" xr:uid="{00000000-0005-0000-0000-00004E620000}"/>
    <cellStyle name="Note 5 2 3" xfId="10576" xr:uid="{00000000-0005-0000-0000-00004F620000}"/>
    <cellStyle name="Note 5 2 3 2" xfId="21864" xr:uid="{00000000-0005-0000-0000-000050620000}"/>
    <cellStyle name="Note 5 2 4" xfId="8582" xr:uid="{00000000-0005-0000-0000-000051620000}"/>
    <cellStyle name="Note 5 2 4 2" xfId="19870" xr:uid="{00000000-0005-0000-0000-000052620000}"/>
    <cellStyle name="Note 5 2 5" xfId="6588" xr:uid="{00000000-0005-0000-0000-000053620000}"/>
    <cellStyle name="Note 5 2 5 2" xfId="17876" xr:uid="{00000000-0005-0000-0000-000054620000}"/>
    <cellStyle name="Note 5 2 6" xfId="15882" xr:uid="{00000000-0005-0000-0000-000055620000}"/>
    <cellStyle name="Note 5 3" xfId="11573" xr:uid="{00000000-0005-0000-0000-000056620000}"/>
    <cellStyle name="Note 5 3 2" xfId="22861" xr:uid="{00000000-0005-0000-0000-000057620000}"/>
    <cellStyle name="Note 5 4" xfId="9579" xr:uid="{00000000-0005-0000-0000-000058620000}"/>
    <cellStyle name="Note 5 4 2" xfId="20867" xr:uid="{00000000-0005-0000-0000-000059620000}"/>
    <cellStyle name="Note 5 5" xfId="7585" xr:uid="{00000000-0005-0000-0000-00005A620000}"/>
    <cellStyle name="Note 5 5 2" xfId="18873" xr:uid="{00000000-0005-0000-0000-00005B620000}"/>
    <cellStyle name="Note 5 6" xfId="5591" xr:uid="{00000000-0005-0000-0000-00005C620000}"/>
    <cellStyle name="Note 5 6 2" xfId="16879" xr:uid="{00000000-0005-0000-0000-00005D620000}"/>
    <cellStyle name="Note 5 7" xfId="14885" xr:uid="{00000000-0005-0000-0000-00005E620000}"/>
    <cellStyle name="Note 5 8" xfId="13569" xr:uid="{00000000-0005-0000-0000-00005F620000}"/>
    <cellStyle name="Note 5 9" xfId="24193" xr:uid="{00000000-0005-0000-0000-000060620000}"/>
    <cellStyle name="Note 5 9 2" xfId="25444" xr:uid="{00000000-0005-0000-0000-000061620000}"/>
    <cellStyle name="Note 5 9 2 2" xfId="27598" xr:uid="{00000000-0005-0000-0000-000062620000}"/>
    <cellStyle name="Note 5 9 2 2 2" xfId="32189" xr:uid="{EF16FDDD-095A-4838-A08E-C5B4FC001259}"/>
    <cellStyle name="Note 5 9 2 3" xfId="26722" xr:uid="{00000000-0005-0000-0000-000063620000}"/>
    <cellStyle name="Note 5 9 2 3 2" xfId="31483" xr:uid="{F6F0A8C8-7554-4B5B-8964-B92FA1E20924}"/>
    <cellStyle name="Note 5 9 2 4" xfId="26753" xr:uid="{00000000-0005-0000-0000-000064620000}"/>
    <cellStyle name="Note 5 9 2 4 2" xfId="31514" xr:uid="{2E4A1D25-761F-413D-87BF-15DDC0340EFF}"/>
    <cellStyle name="Note 5 9 2 5" xfId="29279" xr:uid="{00000000-0005-0000-0000-000065620000}"/>
    <cellStyle name="Note 5 9 2 5 2" xfId="33246" xr:uid="{AE331B6E-AD76-417B-8E29-8D4B7D08AFB0}"/>
    <cellStyle name="Note 5 9 2 6" xfId="30602" xr:uid="{8390F486-3D8D-4D7E-9B65-8B6857B31F32}"/>
    <cellStyle name="Note 5 9 3" xfId="25568" xr:uid="{00000000-0005-0000-0000-000066620000}"/>
    <cellStyle name="Note 5 9 3 2" xfId="27721" xr:uid="{00000000-0005-0000-0000-000067620000}"/>
    <cellStyle name="Note 5 9 3 2 2" xfId="32308" xr:uid="{F2F8C562-6385-4096-8009-E9646696911F}"/>
    <cellStyle name="Note 5 9 3 3" xfId="26799" xr:uid="{00000000-0005-0000-0000-000068620000}"/>
    <cellStyle name="Note 5 9 3 3 2" xfId="31560" xr:uid="{B7D3E094-FB25-4575-8ED4-08B06C6423A8}"/>
    <cellStyle name="Note 5 9 3 4" xfId="26325" xr:uid="{00000000-0005-0000-0000-000069620000}"/>
    <cellStyle name="Note 5 9 3 4 2" xfId="31113" xr:uid="{B269BE2D-E28C-47B5-8454-75BF784F7BFE}"/>
    <cellStyle name="Note 5 9 3 5" xfId="29278" xr:uid="{00000000-0005-0000-0000-00006A620000}"/>
    <cellStyle name="Note 5 9 3 5 2" xfId="33245" xr:uid="{6229D2C6-BB6D-43F4-AD12-63CFD09329BF}"/>
    <cellStyle name="Note 5 9 3 6" xfId="30625" xr:uid="{E440E51D-DAF7-4BBD-AB3A-3AD671E0E06E}"/>
    <cellStyle name="Note 5 9 4" xfId="27093" xr:uid="{00000000-0005-0000-0000-00006B620000}"/>
    <cellStyle name="Note 5 9 4 2" xfId="31817" xr:uid="{AC16DECE-15B4-44CB-97DE-B65E1D4D71BC}"/>
    <cellStyle name="Note 5 9 5" xfId="26444" xr:uid="{00000000-0005-0000-0000-00006C620000}"/>
    <cellStyle name="Note 5 9 5 2" xfId="31232" xr:uid="{7C5610DD-9DC9-4B5F-98D4-3692B8CDC541}"/>
    <cellStyle name="Note 5 9 6" xfId="26459" xr:uid="{00000000-0005-0000-0000-00006D620000}"/>
    <cellStyle name="Note 5 9 6 2" xfId="31247" xr:uid="{D1CFAE94-B686-43A7-9E6D-359BCBB44923}"/>
    <cellStyle name="Note 5 9 7" xfId="29280" xr:uid="{00000000-0005-0000-0000-00006E620000}"/>
    <cellStyle name="Note 5 9 7 2" xfId="33247" xr:uid="{E65BD71B-46E9-4465-AEDE-7772BBCE7860}"/>
    <cellStyle name="Note 5 9 8" xfId="30270" xr:uid="{6A1B719E-17F3-4D93-A97A-2712D0C2E944}"/>
    <cellStyle name="Note 50" xfId="3358" xr:uid="{00000000-0005-0000-0000-00006F620000}"/>
    <cellStyle name="Note 50 2" xfId="4592" xr:uid="{00000000-0005-0000-0000-000070620000}"/>
    <cellStyle name="Note 50 2 2" xfId="12571" xr:uid="{00000000-0005-0000-0000-000071620000}"/>
    <cellStyle name="Note 50 2 2 2" xfId="23859" xr:uid="{00000000-0005-0000-0000-000072620000}"/>
    <cellStyle name="Note 50 2 3" xfId="10577" xr:uid="{00000000-0005-0000-0000-000073620000}"/>
    <cellStyle name="Note 50 2 3 2" xfId="21865" xr:uid="{00000000-0005-0000-0000-000074620000}"/>
    <cellStyle name="Note 50 2 4" xfId="8583" xr:uid="{00000000-0005-0000-0000-000075620000}"/>
    <cellStyle name="Note 50 2 4 2" xfId="19871" xr:uid="{00000000-0005-0000-0000-000076620000}"/>
    <cellStyle name="Note 50 2 5" xfId="6589" xr:uid="{00000000-0005-0000-0000-000077620000}"/>
    <cellStyle name="Note 50 2 5 2" xfId="17877" xr:uid="{00000000-0005-0000-0000-000078620000}"/>
    <cellStyle name="Note 50 2 6" xfId="15883" xr:uid="{00000000-0005-0000-0000-000079620000}"/>
    <cellStyle name="Note 50 3" xfId="11574" xr:uid="{00000000-0005-0000-0000-00007A620000}"/>
    <cellStyle name="Note 50 3 2" xfId="22862" xr:uid="{00000000-0005-0000-0000-00007B620000}"/>
    <cellStyle name="Note 50 4" xfId="9580" xr:uid="{00000000-0005-0000-0000-00007C620000}"/>
    <cellStyle name="Note 50 4 2" xfId="20868" xr:uid="{00000000-0005-0000-0000-00007D620000}"/>
    <cellStyle name="Note 50 5" xfId="7586" xr:uid="{00000000-0005-0000-0000-00007E620000}"/>
    <cellStyle name="Note 50 5 2" xfId="18874" xr:uid="{00000000-0005-0000-0000-00007F620000}"/>
    <cellStyle name="Note 50 6" xfId="5592" xr:uid="{00000000-0005-0000-0000-000080620000}"/>
    <cellStyle name="Note 50 6 2" xfId="16880" xr:uid="{00000000-0005-0000-0000-000081620000}"/>
    <cellStyle name="Note 50 7" xfId="14886" xr:uid="{00000000-0005-0000-0000-000082620000}"/>
    <cellStyle name="Note 50 8" xfId="13570" xr:uid="{00000000-0005-0000-0000-000083620000}"/>
    <cellStyle name="Note 51" xfId="3359" xr:uid="{00000000-0005-0000-0000-000084620000}"/>
    <cellStyle name="Note 51 2" xfId="4593" xr:uid="{00000000-0005-0000-0000-000085620000}"/>
    <cellStyle name="Note 51 2 2" xfId="12572" xr:uid="{00000000-0005-0000-0000-000086620000}"/>
    <cellStyle name="Note 51 2 2 2" xfId="23860" xr:uid="{00000000-0005-0000-0000-000087620000}"/>
    <cellStyle name="Note 51 2 3" xfId="10578" xr:uid="{00000000-0005-0000-0000-000088620000}"/>
    <cellStyle name="Note 51 2 3 2" xfId="21866" xr:uid="{00000000-0005-0000-0000-000089620000}"/>
    <cellStyle name="Note 51 2 4" xfId="8584" xr:uid="{00000000-0005-0000-0000-00008A620000}"/>
    <cellStyle name="Note 51 2 4 2" xfId="19872" xr:uid="{00000000-0005-0000-0000-00008B620000}"/>
    <cellStyle name="Note 51 2 5" xfId="6590" xr:uid="{00000000-0005-0000-0000-00008C620000}"/>
    <cellStyle name="Note 51 2 5 2" xfId="17878" xr:uid="{00000000-0005-0000-0000-00008D620000}"/>
    <cellStyle name="Note 51 2 6" xfId="15884" xr:uid="{00000000-0005-0000-0000-00008E620000}"/>
    <cellStyle name="Note 51 3" xfId="11575" xr:uid="{00000000-0005-0000-0000-00008F620000}"/>
    <cellStyle name="Note 51 3 2" xfId="22863" xr:uid="{00000000-0005-0000-0000-000090620000}"/>
    <cellStyle name="Note 51 4" xfId="9581" xr:uid="{00000000-0005-0000-0000-000091620000}"/>
    <cellStyle name="Note 51 4 2" xfId="20869" xr:uid="{00000000-0005-0000-0000-000092620000}"/>
    <cellStyle name="Note 51 5" xfId="7587" xr:uid="{00000000-0005-0000-0000-000093620000}"/>
    <cellStyle name="Note 51 5 2" xfId="18875" xr:uid="{00000000-0005-0000-0000-000094620000}"/>
    <cellStyle name="Note 51 6" xfId="5593" xr:uid="{00000000-0005-0000-0000-000095620000}"/>
    <cellStyle name="Note 51 6 2" xfId="16881" xr:uid="{00000000-0005-0000-0000-000096620000}"/>
    <cellStyle name="Note 51 7" xfId="14887" xr:uid="{00000000-0005-0000-0000-000097620000}"/>
    <cellStyle name="Note 51 8" xfId="13571" xr:uid="{00000000-0005-0000-0000-000098620000}"/>
    <cellStyle name="Note 52" xfId="3360" xr:uid="{00000000-0005-0000-0000-000099620000}"/>
    <cellStyle name="Note 52 2" xfId="4594" xr:uid="{00000000-0005-0000-0000-00009A620000}"/>
    <cellStyle name="Note 52 2 2" xfId="12573" xr:uid="{00000000-0005-0000-0000-00009B620000}"/>
    <cellStyle name="Note 52 2 2 2" xfId="23861" xr:uid="{00000000-0005-0000-0000-00009C620000}"/>
    <cellStyle name="Note 52 2 3" xfId="10579" xr:uid="{00000000-0005-0000-0000-00009D620000}"/>
    <cellStyle name="Note 52 2 3 2" xfId="21867" xr:uid="{00000000-0005-0000-0000-00009E620000}"/>
    <cellStyle name="Note 52 2 4" xfId="8585" xr:uid="{00000000-0005-0000-0000-00009F620000}"/>
    <cellStyle name="Note 52 2 4 2" xfId="19873" xr:uid="{00000000-0005-0000-0000-0000A0620000}"/>
    <cellStyle name="Note 52 2 5" xfId="6591" xr:uid="{00000000-0005-0000-0000-0000A1620000}"/>
    <cellStyle name="Note 52 2 5 2" xfId="17879" xr:uid="{00000000-0005-0000-0000-0000A2620000}"/>
    <cellStyle name="Note 52 2 6" xfId="15885" xr:uid="{00000000-0005-0000-0000-0000A3620000}"/>
    <cellStyle name="Note 52 3" xfId="11576" xr:uid="{00000000-0005-0000-0000-0000A4620000}"/>
    <cellStyle name="Note 52 3 2" xfId="22864" xr:uid="{00000000-0005-0000-0000-0000A5620000}"/>
    <cellStyle name="Note 52 4" xfId="9582" xr:uid="{00000000-0005-0000-0000-0000A6620000}"/>
    <cellStyle name="Note 52 4 2" xfId="20870" xr:uid="{00000000-0005-0000-0000-0000A7620000}"/>
    <cellStyle name="Note 52 5" xfId="7588" xr:uid="{00000000-0005-0000-0000-0000A8620000}"/>
    <cellStyle name="Note 52 5 2" xfId="18876" xr:uid="{00000000-0005-0000-0000-0000A9620000}"/>
    <cellStyle name="Note 52 6" xfId="5594" xr:uid="{00000000-0005-0000-0000-0000AA620000}"/>
    <cellStyle name="Note 52 6 2" xfId="16882" xr:uid="{00000000-0005-0000-0000-0000AB620000}"/>
    <cellStyle name="Note 52 7" xfId="14888" xr:uid="{00000000-0005-0000-0000-0000AC620000}"/>
    <cellStyle name="Note 52 8" xfId="13572" xr:uid="{00000000-0005-0000-0000-0000AD620000}"/>
    <cellStyle name="Note 53" xfId="3361" xr:uid="{00000000-0005-0000-0000-0000AE620000}"/>
    <cellStyle name="Note 53 2" xfId="4595" xr:uid="{00000000-0005-0000-0000-0000AF620000}"/>
    <cellStyle name="Note 53 2 2" xfId="12574" xr:uid="{00000000-0005-0000-0000-0000B0620000}"/>
    <cellStyle name="Note 53 2 2 2" xfId="23862" xr:uid="{00000000-0005-0000-0000-0000B1620000}"/>
    <cellStyle name="Note 53 2 3" xfId="10580" xr:uid="{00000000-0005-0000-0000-0000B2620000}"/>
    <cellStyle name="Note 53 2 3 2" xfId="21868" xr:uid="{00000000-0005-0000-0000-0000B3620000}"/>
    <cellStyle name="Note 53 2 4" xfId="8586" xr:uid="{00000000-0005-0000-0000-0000B4620000}"/>
    <cellStyle name="Note 53 2 4 2" xfId="19874" xr:uid="{00000000-0005-0000-0000-0000B5620000}"/>
    <cellStyle name="Note 53 2 5" xfId="6592" xr:uid="{00000000-0005-0000-0000-0000B6620000}"/>
    <cellStyle name="Note 53 2 5 2" xfId="17880" xr:uid="{00000000-0005-0000-0000-0000B7620000}"/>
    <cellStyle name="Note 53 2 6" xfId="15886" xr:uid="{00000000-0005-0000-0000-0000B8620000}"/>
    <cellStyle name="Note 53 3" xfId="11577" xr:uid="{00000000-0005-0000-0000-0000B9620000}"/>
    <cellStyle name="Note 53 3 2" xfId="22865" xr:uid="{00000000-0005-0000-0000-0000BA620000}"/>
    <cellStyle name="Note 53 4" xfId="9583" xr:uid="{00000000-0005-0000-0000-0000BB620000}"/>
    <cellStyle name="Note 53 4 2" xfId="20871" xr:uid="{00000000-0005-0000-0000-0000BC620000}"/>
    <cellStyle name="Note 53 5" xfId="7589" xr:uid="{00000000-0005-0000-0000-0000BD620000}"/>
    <cellStyle name="Note 53 5 2" xfId="18877" xr:uid="{00000000-0005-0000-0000-0000BE620000}"/>
    <cellStyle name="Note 53 6" xfId="5595" xr:uid="{00000000-0005-0000-0000-0000BF620000}"/>
    <cellStyle name="Note 53 6 2" xfId="16883" xr:uid="{00000000-0005-0000-0000-0000C0620000}"/>
    <cellStyle name="Note 53 7" xfId="14889" xr:uid="{00000000-0005-0000-0000-0000C1620000}"/>
    <cellStyle name="Note 53 8" xfId="13573" xr:uid="{00000000-0005-0000-0000-0000C2620000}"/>
    <cellStyle name="Note 54" xfId="3362" xr:uid="{00000000-0005-0000-0000-0000C3620000}"/>
    <cellStyle name="Note 54 2" xfId="4596" xr:uid="{00000000-0005-0000-0000-0000C4620000}"/>
    <cellStyle name="Note 54 2 2" xfId="12575" xr:uid="{00000000-0005-0000-0000-0000C5620000}"/>
    <cellStyle name="Note 54 2 2 2" xfId="23863" xr:uid="{00000000-0005-0000-0000-0000C6620000}"/>
    <cellStyle name="Note 54 2 3" xfId="10581" xr:uid="{00000000-0005-0000-0000-0000C7620000}"/>
    <cellStyle name="Note 54 2 3 2" xfId="21869" xr:uid="{00000000-0005-0000-0000-0000C8620000}"/>
    <cellStyle name="Note 54 2 4" xfId="8587" xr:uid="{00000000-0005-0000-0000-0000C9620000}"/>
    <cellStyle name="Note 54 2 4 2" xfId="19875" xr:uid="{00000000-0005-0000-0000-0000CA620000}"/>
    <cellStyle name="Note 54 2 5" xfId="6593" xr:uid="{00000000-0005-0000-0000-0000CB620000}"/>
    <cellStyle name="Note 54 2 5 2" xfId="17881" xr:uid="{00000000-0005-0000-0000-0000CC620000}"/>
    <cellStyle name="Note 54 2 6" xfId="15887" xr:uid="{00000000-0005-0000-0000-0000CD620000}"/>
    <cellStyle name="Note 54 3" xfId="11578" xr:uid="{00000000-0005-0000-0000-0000CE620000}"/>
    <cellStyle name="Note 54 3 2" xfId="22866" xr:uid="{00000000-0005-0000-0000-0000CF620000}"/>
    <cellStyle name="Note 54 4" xfId="9584" xr:uid="{00000000-0005-0000-0000-0000D0620000}"/>
    <cellStyle name="Note 54 4 2" xfId="20872" xr:uid="{00000000-0005-0000-0000-0000D1620000}"/>
    <cellStyle name="Note 54 5" xfId="7590" xr:uid="{00000000-0005-0000-0000-0000D2620000}"/>
    <cellStyle name="Note 54 5 2" xfId="18878" xr:uid="{00000000-0005-0000-0000-0000D3620000}"/>
    <cellStyle name="Note 54 6" xfId="5596" xr:uid="{00000000-0005-0000-0000-0000D4620000}"/>
    <cellStyle name="Note 54 6 2" xfId="16884" xr:uid="{00000000-0005-0000-0000-0000D5620000}"/>
    <cellStyle name="Note 54 7" xfId="14890" xr:uid="{00000000-0005-0000-0000-0000D6620000}"/>
    <cellStyle name="Note 54 8" xfId="13574" xr:uid="{00000000-0005-0000-0000-0000D7620000}"/>
    <cellStyle name="Note 55" xfId="3363" xr:uid="{00000000-0005-0000-0000-0000D8620000}"/>
    <cellStyle name="Note 55 2" xfId="4597" xr:uid="{00000000-0005-0000-0000-0000D9620000}"/>
    <cellStyle name="Note 55 2 2" xfId="12576" xr:uid="{00000000-0005-0000-0000-0000DA620000}"/>
    <cellStyle name="Note 55 2 2 2" xfId="23864" xr:uid="{00000000-0005-0000-0000-0000DB620000}"/>
    <cellStyle name="Note 55 2 3" xfId="10582" xr:uid="{00000000-0005-0000-0000-0000DC620000}"/>
    <cellStyle name="Note 55 2 3 2" xfId="21870" xr:uid="{00000000-0005-0000-0000-0000DD620000}"/>
    <cellStyle name="Note 55 2 4" xfId="8588" xr:uid="{00000000-0005-0000-0000-0000DE620000}"/>
    <cellStyle name="Note 55 2 4 2" xfId="19876" xr:uid="{00000000-0005-0000-0000-0000DF620000}"/>
    <cellStyle name="Note 55 2 5" xfId="6594" xr:uid="{00000000-0005-0000-0000-0000E0620000}"/>
    <cellStyle name="Note 55 2 5 2" xfId="17882" xr:uid="{00000000-0005-0000-0000-0000E1620000}"/>
    <cellStyle name="Note 55 2 6" xfId="15888" xr:uid="{00000000-0005-0000-0000-0000E2620000}"/>
    <cellStyle name="Note 55 3" xfId="11579" xr:uid="{00000000-0005-0000-0000-0000E3620000}"/>
    <cellStyle name="Note 55 3 2" xfId="22867" xr:uid="{00000000-0005-0000-0000-0000E4620000}"/>
    <cellStyle name="Note 55 4" xfId="9585" xr:uid="{00000000-0005-0000-0000-0000E5620000}"/>
    <cellStyle name="Note 55 4 2" xfId="20873" xr:uid="{00000000-0005-0000-0000-0000E6620000}"/>
    <cellStyle name="Note 55 5" xfId="7591" xr:uid="{00000000-0005-0000-0000-0000E7620000}"/>
    <cellStyle name="Note 55 5 2" xfId="18879" xr:uid="{00000000-0005-0000-0000-0000E8620000}"/>
    <cellStyle name="Note 55 6" xfId="5597" xr:uid="{00000000-0005-0000-0000-0000E9620000}"/>
    <cellStyle name="Note 55 6 2" xfId="16885" xr:uid="{00000000-0005-0000-0000-0000EA620000}"/>
    <cellStyle name="Note 55 7" xfId="14891" xr:uid="{00000000-0005-0000-0000-0000EB620000}"/>
    <cellStyle name="Note 55 8" xfId="13575" xr:uid="{00000000-0005-0000-0000-0000EC620000}"/>
    <cellStyle name="Note 56" xfId="3364" xr:uid="{00000000-0005-0000-0000-0000ED620000}"/>
    <cellStyle name="Note 56 2" xfId="4598" xr:uid="{00000000-0005-0000-0000-0000EE620000}"/>
    <cellStyle name="Note 56 2 2" xfId="12577" xr:uid="{00000000-0005-0000-0000-0000EF620000}"/>
    <cellStyle name="Note 56 2 2 2" xfId="23865" xr:uid="{00000000-0005-0000-0000-0000F0620000}"/>
    <cellStyle name="Note 56 2 3" xfId="10583" xr:uid="{00000000-0005-0000-0000-0000F1620000}"/>
    <cellStyle name="Note 56 2 3 2" xfId="21871" xr:uid="{00000000-0005-0000-0000-0000F2620000}"/>
    <cellStyle name="Note 56 2 4" xfId="8589" xr:uid="{00000000-0005-0000-0000-0000F3620000}"/>
    <cellStyle name="Note 56 2 4 2" xfId="19877" xr:uid="{00000000-0005-0000-0000-0000F4620000}"/>
    <cellStyle name="Note 56 2 5" xfId="6595" xr:uid="{00000000-0005-0000-0000-0000F5620000}"/>
    <cellStyle name="Note 56 2 5 2" xfId="17883" xr:uid="{00000000-0005-0000-0000-0000F6620000}"/>
    <cellStyle name="Note 56 2 6" xfId="15889" xr:uid="{00000000-0005-0000-0000-0000F7620000}"/>
    <cellStyle name="Note 56 3" xfId="11580" xr:uid="{00000000-0005-0000-0000-0000F8620000}"/>
    <cellStyle name="Note 56 3 2" xfId="22868" xr:uid="{00000000-0005-0000-0000-0000F9620000}"/>
    <cellStyle name="Note 56 4" xfId="9586" xr:uid="{00000000-0005-0000-0000-0000FA620000}"/>
    <cellStyle name="Note 56 4 2" xfId="20874" xr:uid="{00000000-0005-0000-0000-0000FB620000}"/>
    <cellStyle name="Note 56 5" xfId="7592" xr:uid="{00000000-0005-0000-0000-0000FC620000}"/>
    <cellStyle name="Note 56 5 2" xfId="18880" xr:uid="{00000000-0005-0000-0000-0000FD620000}"/>
    <cellStyle name="Note 56 6" xfId="5598" xr:uid="{00000000-0005-0000-0000-0000FE620000}"/>
    <cellStyle name="Note 56 6 2" xfId="16886" xr:uid="{00000000-0005-0000-0000-0000FF620000}"/>
    <cellStyle name="Note 56 7" xfId="14892" xr:uid="{00000000-0005-0000-0000-000000630000}"/>
    <cellStyle name="Note 56 8" xfId="13576" xr:uid="{00000000-0005-0000-0000-000001630000}"/>
    <cellStyle name="Note 57" xfId="3365" xr:uid="{00000000-0005-0000-0000-000002630000}"/>
    <cellStyle name="Note 57 2" xfId="4599" xr:uid="{00000000-0005-0000-0000-000003630000}"/>
    <cellStyle name="Note 57 2 2" xfId="12578" xr:uid="{00000000-0005-0000-0000-000004630000}"/>
    <cellStyle name="Note 57 2 2 2" xfId="23866" xr:uid="{00000000-0005-0000-0000-000005630000}"/>
    <cellStyle name="Note 57 2 3" xfId="10584" xr:uid="{00000000-0005-0000-0000-000006630000}"/>
    <cellStyle name="Note 57 2 3 2" xfId="21872" xr:uid="{00000000-0005-0000-0000-000007630000}"/>
    <cellStyle name="Note 57 2 4" xfId="8590" xr:uid="{00000000-0005-0000-0000-000008630000}"/>
    <cellStyle name="Note 57 2 4 2" xfId="19878" xr:uid="{00000000-0005-0000-0000-000009630000}"/>
    <cellStyle name="Note 57 2 5" xfId="6596" xr:uid="{00000000-0005-0000-0000-00000A630000}"/>
    <cellStyle name="Note 57 2 5 2" xfId="17884" xr:uid="{00000000-0005-0000-0000-00000B630000}"/>
    <cellStyle name="Note 57 2 6" xfId="15890" xr:uid="{00000000-0005-0000-0000-00000C630000}"/>
    <cellStyle name="Note 57 3" xfId="11581" xr:uid="{00000000-0005-0000-0000-00000D630000}"/>
    <cellStyle name="Note 57 3 2" xfId="22869" xr:uid="{00000000-0005-0000-0000-00000E630000}"/>
    <cellStyle name="Note 57 4" xfId="9587" xr:uid="{00000000-0005-0000-0000-00000F630000}"/>
    <cellStyle name="Note 57 4 2" xfId="20875" xr:uid="{00000000-0005-0000-0000-000010630000}"/>
    <cellStyle name="Note 57 5" xfId="7593" xr:uid="{00000000-0005-0000-0000-000011630000}"/>
    <cellStyle name="Note 57 5 2" xfId="18881" xr:uid="{00000000-0005-0000-0000-000012630000}"/>
    <cellStyle name="Note 57 6" xfId="5599" xr:uid="{00000000-0005-0000-0000-000013630000}"/>
    <cellStyle name="Note 57 6 2" xfId="16887" xr:uid="{00000000-0005-0000-0000-000014630000}"/>
    <cellStyle name="Note 57 7" xfId="14893" xr:uid="{00000000-0005-0000-0000-000015630000}"/>
    <cellStyle name="Note 57 8" xfId="13577" xr:uid="{00000000-0005-0000-0000-000016630000}"/>
    <cellStyle name="Note 58" xfId="3366" xr:uid="{00000000-0005-0000-0000-000017630000}"/>
    <cellStyle name="Note 58 2" xfId="4600" xr:uid="{00000000-0005-0000-0000-000018630000}"/>
    <cellStyle name="Note 58 2 2" xfId="12579" xr:uid="{00000000-0005-0000-0000-000019630000}"/>
    <cellStyle name="Note 58 2 2 2" xfId="23867" xr:uid="{00000000-0005-0000-0000-00001A630000}"/>
    <cellStyle name="Note 58 2 3" xfId="10585" xr:uid="{00000000-0005-0000-0000-00001B630000}"/>
    <cellStyle name="Note 58 2 3 2" xfId="21873" xr:uid="{00000000-0005-0000-0000-00001C630000}"/>
    <cellStyle name="Note 58 2 4" xfId="8591" xr:uid="{00000000-0005-0000-0000-00001D630000}"/>
    <cellStyle name="Note 58 2 4 2" xfId="19879" xr:uid="{00000000-0005-0000-0000-00001E630000}"/>
    <cellStyle name="Note 58 2 5" xfId="6597" xr:uid="{00000000-0005-0000-0000-00001F630000}"/>
    <cellStyle name="Note 58 2 5 2" xfId="17885" xr:uid="{00000000-0005-0000-0000-000020630000}"/>
    <cellStyle name="Note 58 2 6" xfId="15891" xr:uid="{00000000-0005-0000-0000-000021630000}"/>
    <cellStyle name="Note 58 3" xfId="11582" xr:uid="{00000000-0005-0000-0000-000022630000}"/>
    <cellStyle name="Note 58 3 2" xfId="22870" xr:uid="{00000000-0005-0000-0000-000023630000}"/>
    <cellStyle name="Note 58 4" xfId="9588" xr:uid="{00000000-0005-0000-0000-000024630000}"/>
    <cellStyle name="Note 58 4 2" xfId="20876" xr:uid="{00000000-0005-0000-0000-000025630000}"/>
    <cellStyle name="Note 58 5" xfId="7594" xr:uid="{00000000-0005-0000-0000-000026630000}"/>
    <cellStyle name="Note 58 5 2" xfId="18882" xr:uid="{00000000-0005-0000-0000-000027630000}"/>
    <cellStyle name="Note 58 6" xfId="5600" xr:uid="{00000000-0005-0000-0000-000028630000}"/>
    <cellStyle name="Note 58 6 2" xfId="16888" xr:uid="{00000000-0005-0000-0000-000029630000}"/>
    <cellStyle name="Note 58 7" xfId="14894" xr:uid="{00000000-0005-0000-0000-00002A630000}"/>
    <cellStyle name="Note 58 8" xfId="13578" xr:uid="{00000000-0005-0000-0000-00002B630000}"/>
    <cellStyle name="Note 59" xfId="3367" xr:uid="{00000000-0005-0000-0000-00002C630000}"/>
    <cellStyle name="Note 59 2" xfId="4601" xr:uid="{00000000-0005-0000-0000-00002D630000}"/>
    <cellStyle name="Note 59 2 2" xfId="12580" xr:uid="{00000000-0005-0000-0000-00002E630000}"/>
    <cellStyle name="Note 59 2 2 2" xfId="23868" xr:uid="{00000000-0005-0000-0000-00002F630000}"/>
    <cellStyle name="Note 59 2 3" xfId="10586" xr:uid="{00000000-0005-0000-0000-000030630000}"/>
    <cellStyle name="Note 59 2 3 2" xfId="21874" xr:uid="{00000000-0005-0000-0000-000031630000}"/>
    <cellStyle name="Note 59 2 4" xfId="8592" xr:uid="{00000000-0005-0000-0000-000032630000}"/>
    <cellStyle name="Note 59 2 4 2" xfId="19880" xr:uid="{00000000-0005-0000-0000-000033630000}"/>
    <cellStyle name="Note 59 2 5" xfId="6598" xr:uid="{00000000-0005-0000-0000-000034630000}"/>
    <cellStyle name="Note 59 2 5 2" xfId="17886" xr:uid="{00000000-0005-0000-0000-000035630000}"/>
    <cellStyle name="Note 59 2 6" xfId="15892" xr:uid="{00000000-0005-0000-0000-000036630000}"/>
    <cellStyle name="Note 59 3" xfId="11583" xr:uid="{00000000-0005-0000-0000-000037630000}"/>
    <cellStyle name="Note 59 3 2" xfId="22871" xr:uid="{00000000-0005-0000-0000-000038630000}"/>
    <cellStyle name="Note 59 4" xfId="9589" xr:uid="{00000000-0005-0000-0000-000039630000}"/>
    <cellStyle name="Note 59 4 2" xfId="20877" xr:uid="{00000000-0005-0000-0000-00003A630000}"/>
    <cellStyle name="Note 59 5" xfId="7595" xr:uid="{00000000-0005-0000-0000-00003B630000}"/>
    <cellStyle name="Note 59 5 2" xfId="18883" xr:uid="{00000000-0005-0000-0000-00003C630000}"/>
    <cellStyle name="Note 59 6" xfId="5601" xr:uid="{00000000-0005-0000-0000-00003D630000}"/>
    <cellStyle name="Note 59 6 2" xfId="16889" xr:uid="{00000000-0005-0000-0000-00003E630000}"/>
    <cellStyle name="Note 59 7" xfId="14895" xr:uid="{00000000-0005-0000-0000-00003F630000}"/>
    <cellStyle name="Note 59 8" xfId="13579" xr:uid="{00000000-0005-0000-0000-000040630000}"/>
    <cellStyle name="Note 6" xfId="3368" xr:uid="{00000000-0005-0000-0000-000041630000}"/>
    <cellStyle name="Note 6 10" xfId="24756" xr:uid="{00000000-0005-0000-0000-000042630000}"/>
    <cellStyle name="Note 6 11" xfId="25078" xr:uid="{00000000-0005-0000-0000-000043630000}"/>
    <cellStyle name="Note 6 2" xfId="4602" xr:uid="{00000000-0005-0000-0000-000044630000}"/>
    <cellStyle name="Note 6 2 2" xfId="12581" xr:uid="{00000000-0005-0000-0000-000045630000}"/>
    <cellStyle name="Note 6 2 2 2" xfId="23869" xr:uid="{00000000-0005-0000-0000-000046630000}"/>
    <cellStyle name="Note 6 2 3" xfId="10587" xr:uid="{00000000-0005-0000-0000-000047630000}"/>
    <cellStyle name="Note 6 2 3 2" xfId="21875" xr:uid="{00000000-0005-0000-0000-000048630000}"/>
    <cellStyle name="Note 6 2 4" xfId="8593" xr:uid="{00000000-0005-0000-0000-000049630000}"/>
    <cellStyle name="Note 6 2 4 2" xfId="19881" xr:uid="{00000000-0005-0000-0000-00004A630000}"/>
    <cellStyle name="Note 6 2 5" xfId="6599" xr:uid="{00000000-0005-0000-0000-00004B630000}"/>
    <cellStyle name="Note 6 2 5 2" xfId="17887" xr:uid="{00000000-0005-0000-0000-00004C630000}"/>
    <cellStyle name="Note 6 2 6" xfId="15893" xr:uid="{00000000-0005-0000-0000-00004D630000}"/>
    <cellStyle name="Note 6 2 7" xfId="24460" xr:uid="{00000000-0005-0000-0000-00004E630000}"/>
    <cellStyle name="Note 6 2 8" xfId="24904" xr:uid="{00000000-0005-0000-0000-00004F630000}"/>
    <cellStyle name="Note 6 2 9" xfId="25266" xr:uid="{00000000-0005-0000-0000-000050630000}"/>
    <cellStyle name="Note 6 3" xfId="11584" xr:uid="{00000000-0005-0000-0000-000051630000}"/>
    <cellStyle name="Note 6 3 2" xfId="22872" xr:uid="{00000000-0005-0000-0000-000052630000}"/>
    <cellStyle name="Note 6 4" xfId="9590" xr:uid="{00000000-0005-0000-0000-000053630000}"/>
    <cellStyle name="Note 6 4 2" xfId="20878" xr:uid="{00000000-0005-0000-0000-000054630000}"/>
    <cellStyle name="Note 6 5" xfId="7596" xr:uid="{00000000-0005-0000-0000-000055630000}"/>
    <cellStyle name="Note 6 5 2" xfId="18884" xr:uid="{00000000-0005-0000-0000-000056630000}"/>
    <cellStyle name="Note 6 6" xfId="5602" xr:uid="{00000000-0005-0000-0000-000057630000}"/>
    <cellStyle name="Note 6 6 2" xfId="16890" xr:uid="{00000000-0005-0000-0000-000058630000}"/>
    <cellStyle name="Note 6 7" xfId="14896" xr:uid="{00000000-0005-0000-0000-000059630000}"/>
    <cellStyle name="Note 6 8" xfId="13580" xr:uid="{00000000-0005-0000-0000-00005A630000}"/>
    <cellStyle name="Note 6 9" xfId="24194" xr:uid="{00000000-0005-0000-0000-00005B630000}"/>
    <cellStyle name="Note 60" xfId="3369" xr:uid="{00000000-0005-0000-0000-00005C630000}"/>
    <cellStyle name="Note 60 2" xfId="4603" xr:uid="{00000000-0005-0000-0000-00005D630000}"/>
    <cellStyle name="Note 60 2 2" xfId="12582" xr:uid="{00000000-0005-0000-0000-00005E630000}"/>
    <cellStyle name="Note 60 2 2 2" xfId="23870" xr:uid="{00000000-0005-0000-0000-00005F630000}"/>
    <cellStyle name="Note 60 2 3" xfId="10588" xr:uid="{00000000-0005-0000-0000-000060630000}"/>
    <cellStyle name="Note 60 2 3 2" xfId="21876" xr:uid="{00000000-0005-0000-0000-000061630000}"/>
    <cellStyle name="Note 60 2 4" xfId="8594" xr:uid="{00000000-0005-0000-0000-000062630000}"/>
    <cellStyle name="Note 60 2 4 2" xfId="19882" xr:uid="{00000000-0005-0000-0000-000063630000}"/>
    <cellStyle name="Note 60 2 5" xfId="6600" xr:uid="{00000000-0005-0000-0000-000064630000}"/>
    <cellStyle name="Note 60 2 5 2" xfId="17888" xr:uid="{00000000-0005-0000-0000-000065630000}"/>
    <cellStyle name="Note 60 2 6" xfId="15894" xr:uid="{00000000-0005-0000-0000-000066630000}"/>
    <cellStyle name="Note 60 3" xfId="11585" xr:uid="{00000000-0005-0000-0000-000067630000}"/>
    <cellStyle name="Note 60 3 2" xfId="22873" xr:uid="{00000000-0005-0000-0000-000068630000}"/>
    <cellStyle name="Note 60 4" xfId="9591" xr:uid="{00000000-0005-0000-0000-000069630000}"/>
    <cellStyle name="Note 60 4 2" xfId="20879" xr:uid="{00000000-0005-0000-0000-00006A630000}"/>
    <cellStyle name="Note 60 5" xfId="7597" xr:uid="{00000000-0005-0000-0000-00006B630000}"/>
    <cellStyle name="Note 60 5 2" xfId="18885" xr:uid="{00000000-0005-0000-0000-00006C630000}"/>
    <cellStyle name="Note 60 6" xfId="5603" xr:uid="{00000000-0005-0000-0000-00006D630000}"/>
    <cellStyle name="Note 60 6 2" xfId="16891" xr:uid="{00000000-0005-0000-0000-00006E630000}"/>
    <cellStyle name="Note 60 7" xfId="14897" xr:uid="{00000000-0005-0000-0000-00006F630000}"/>
    <cellStyle name="Note 60 8" xfId="13581" xr:uid="{00000000-0005-0000-0000-000070630000}"/>
    <cellStyle name="Note 61" xfId="3370" xr:uid="{00000000-0005-0000-0000-000071630000}"/>
    <cellStyle name="Note 61 2" xfId="4604" xr:uid="{00000000-0005-0000-0000-000072630000}"/>
    <cellStyle name="Note 61 2 2" xfId="12583" xr:uid="{00000000-0005-0000-0000-000073630000}"/>
    <cellStyle name="Note 61 2 2 2" xfId="23871" xr:uid="{00000000-0005-0000-0000-000074630000}"/>
    <cellStyle name="Note 61 2 3" xfId="10589" xr:uid="{00000000-0005-0000-0000-000075630000}"/>
    <cellStyle name="Note 61 2 3 2" xfId="21877" xr:uid="{00000000-0005-0000-0000-000076630000}"/>
    <cellStyle name="Note 61 2 4" xfId="8595" xr:uid="{00000000-0005-0000-0000-000077630000}"/>
    <cellStyle name="Note 61 2 4 2" xfId="19883" xr:uid="{00000000-0005-0000-0000-000078630000}"/>
    <cellStyle name="Note 61 2 5" xfId="6601" xr:uid="{00000000-0005-0000-0000-000079630000}"/>
    <cellStyle name="Note 61 2 5 2" xfId="17889" xr:uid="{00000000-0005-0000-0000-00007A630000}"/>
    <cellStyle name="Note 61 2 6" xfId="15895" xr:uid="{00000000-0005-0000-0000-00007B630000}"/>
    <cellStyle name="Note 61 3" xfId="11586" xr:uid="{00000000-0005-0000-0000-00007C630000}"/>
    <cellStyle name="Note 61 3 2" xfId="22874" xr:uid="{00000000-0005-0000-0000-00007D630000}"/>
    <cellStyle name="Note 61 4" xfId="9592" xr:uid="{00000000-0005-0000-0000-00007E630000}"/>
    <cellStyle name="Note 61 4 2" xfId="20880" xr:uid="{00000000-0005-0000-0000-00007F630000}"/>
    <cellStyle name="Note 61 5" xfId="7598" xr:uid="{00000000-0005-0000-0000-000080630000}"/>
    <cellStyle name="Note 61 5 2" xfId="18886" xr:uid="{00000000-0005-0000-0000-000081630000}"/>
    <cellStyle name="Note 61 6" xfId="5604" xr:uid="{00000000-0005-0000-0000-000082630000}"/>
    <cellStyle name="Note 61 6 2" xfId="16892" xr:uid="{00000000-0005-0000-0000-000083630000}"/>
    <cellStyle name="Note 61 7" xfId="14898" xr:uid="{00000000-0005-0000-0000-000084630000}"/>
    <cellStyle name="Note 61 8" xfId="13582" xr:uid="{00000000-0005-0000-0000-000085630000}"/>
    <cellStyle name="Note 62" xfId="3371" xr:uid="{00000000-0005-0000-0000-000086630000}"/>
    <cellStyle name="Note 62 2" xfId="4605" xr:uid="{00000000-0005-0000-0000-000087630000}"/>
    <cellStyle name="Note 62 2 2" xfId="12584" xr:uid="{00000000-0005-0000-0000-000088630000}"/>
    <cellStyle name="Note 62 2 2 2" xfId="23872" xr:uid="{00000000-0005-0000-0000-000089630000}"/>
    <cellStyle name="Note 62 2 3" xfId="10590" xr:uid="{00000000-0005-0000-0000-00008A630000}"/>
    <cellStyle name="Note 62 2 3 2" xfId="21878" xr:uid="{00000000-0005-0000-0000-00008B630000}"/>
    <cellStyle name="Note 62 2 4" xfId="8596" xr:uid="{00000000-0005-0000-0000-00008C630000}"/>
    <cellStyle name="Note 62 2 4 2" xfId="19884" xr:uid="{00000000-0005-0000-0000-00008D630000}"/>
    <cellStyle name="Note 62 2 5" xfId="6602" xr:uid="{00000000-0005-0000-0000-00008E630000}"/>
    <cellStyle name="Note 62 2 5 2" xfId="17890" xr:uid="{00000000-0005-0000-0000-00008F630000}"/>
    <cellStyle name="Note 62 2 6" xfId="15896" xr:uid="{00000000-0005-0000-0000-000090630000}"/>
    <cellStyle name="Note 62 3" xfId="11587" xr:uid="{00000000-0005-0000-0000-000091630000}"/>
    <cellStyle name="Note 62 3 2" xfId="22875" xr:uid="{00000000-0005-0000-0000-000092630000}"/>
    <cellStyle name="Note 62 4" xfId="9593" xr:uid="{00000000-0005-0000-0000-000093630000}"/>
    <cellStyle name="Note 62 4 2" xfId="20881" xr:uid="{00000000-0005-0000-0000-000094630000}"/>
    <cellStyle name="Note 62 5" xfId="7599" xr:uid="{00000000-0005-0000-0000-000095630000}"/>
    <cellStyle name="Note 62 5 2" xfId="18887" xr:uid="{00000000-0005-0000-0000-000096630000}"/>
    <cellStyle name="Note 62 6" xfId="5605" xr:uid="{00000000-0005-0000-0000-000097630000}"/>
    <cellStyle name="Note 62 6 2" xfId="16893" xr:uid="{00000000-0005-0000-0000-000098630000}"/>
    <cellStyle name="Note 62 7" xfId="14899" xr:uid="{00000000-0005-0000-0000-000099630000}"/>
    <cellStyle name="Note 62 8" xfId="13583" xr:uid="{00000000-0005-0000-0000-00009A630000}"/>
    <cellStyle name="Note 63" xfId="3372" xr:uid="{00000000-0005-0000-0000-00009B630000}"/>
    <cellStyle name="Note 63 2" xfId="4606" xr:uid="{00000000-0005-0000-0000-00009C630000}"/>
    <cellStyle name="Note 63 2 2" xfId="12585" xr:uid="{00000000-0005-0000-0000-00009D630000}"/>
    <cellStyle name="Note 63 2 2 2" xfId="23873" xr:uid="{00000000-0005-0000-0000-00009E630000}"/>
    <cellStyle name="Note 63 2 3" xfId="10591" xr:uid="{00000000-0005-0000-0000-00009F630000}"/>
    <cellStyle name="Note 63 2 3 2" xfId="21879" xr:uid="{00000000-0005-0000-0000-0000A0630000}"/>
    <cellStyle name="Note 63 2 4" xfId="8597" xr:uid="{00000000-0005-0000-0000-0000A1630000}"/>
    <cellStyle name="Note 63 2 4 2" xfId="19885" xr:uid="{00000000-0005-0000-0000-0000A2630000}"/>
    <cellStyle name="Note 63 2 5" xfId="6603" xr:uid="{00000000-0005-0000-0000-0000A3630000}"/>
    <cellStyle name="Note 63 2 5 2" xfId="17891" xr:uid="{00000000-0005-0000-0000-0000A4630000}"/>
    <cellStyle name="Note 63 2 6" xfId="15897" xr:uid="{00000000-0005-0000-0000-0000A5630000}"/>
    <cellStyle name="Note 63 3" xfId="11588" xr:uid="{00000000-0005-0000-0000-0000A6630000}"/>
    <cellStyle name="Note 63 3 2" xfId="22876" xr:uid="{00000000-0005-0000-0000-0000A7630000}"/>
    <cellStyle name="Note 63 4" xfId="9594" xr:uid="{00000000-0005-0000-0000-0000A8630000}"/>
    <cellStyle name="Note 63 4 2" xfId="20882" xr:uid="{00000000-0005-0000-0000-0000A9630000}"/>
    <cellStyle name="Note 63 5" xfId="7600" xr:uid="{00000000-0005-0000-0000-0000AA630000}"/>
    <cellStyle name="Note 63 5 2" xfId="18888" xr:uid="{00000000-0005-0000-0000-0000AB630000}"/>
    <cellStyle name="Note 63 6" xfId="5606" xr:uid="{00000000-0005-0000-0000-0000AC630000}"/>
    <cellStyle name="Note 63 6 2" xfId="16894" xr:uid="{00000000-0005-0000-0000-0000AD630000}"/>
    <cellStyle name="Note 63 7" xfId="14900" xr:uid="{00000000-0005-0000-0000-0000AE630000}"/>
    <cellStyle name="Note 63 8" xfId="13584" xr:uid="{00000000-0005-0000-0000-0000AF630000}"/>
    <cellStyle name="Note 64" xfId="3373" xr:uid="{00000000-0005-0000-0000-0000B0630000}"/>
    <cellStyle name="Note 64 2" xfId="4607" xr:uid="{00000000-0005-0000-0000-0000B1630000}"/>
    <cellStyle name="Note 64 2 2" xfId="12586" xr:uid="{00000000-0005-0000-0000-0000B2630000}"/>
    <cellStyle name="Note 64 2 2 2" xfId="23874" xr:uid="{00000000-0005-0000-0000-0000B3630000}"/>
    <cellStyle name="Note 64 2 3" xfId="10592" xr:uid="{00000000-0005-0000-0000-0000B4630000}"/>
    <cellStyle name="Note 64 2 3 2" xfId="21880" xr:uid="{00000000-0005-0000-0000-0000B5630000}"/>
    <cellStyle name="Note 64 2 4" xfId="8598" xr:uid="{00000000-0005-0000-0000-0000B6630000}"/>
    <cellStyle name="Note 64 2 4 2" xfId="19886" xr:uid="{00000000-0005-0000-0000-0000B7630000}"/>
    <cellStyle name="Note 64 2 5" xfId="6604" xr:uid="{00000000-0005-0000-0000-0000B8630000}"/>
    <cellStyle name="Note 64 2 5 2" xfId="17892" xr:uid="{00000000-0005-0000-0000-0000B9630000}"/>
    <cellStyle name="Note 64 2 6" xfId="15898" xr:uid="{00000000-0005-0000-0000-0000BA630000}"/>
    <cellStyle name="Note 64 3" xfId="11589" xr:uid="{00000000-0005-0000-0000-0000BB630000}"/>
    <cellStyle name="Note 64 3 2" xfId="22877" xr:uid="{00000000-0005-0000-0000-0000BC630000}"/>
    <cellStyle name="Note 64 4" xfId="9595" xr:uid="{00000000-0005-0000-0000-0000BD630000}"/>
    <cellStyle name="Note 64 4 2" xfId="20883" xr:uid="{00000000-0005-0000-0000-0000BE630000}"/>
    <cellStyle name="Note 64 5" xfId="7601" xr:uid="{00000000-0005-0000-0000-0000BF630000}"/>
    <cellStyle name="Note 64 5 2" xfId="18889" xr:uid="{00000000-0005-0000-0000-0000C0630000}"/>
    <cellStyle name="Note 64 6" xfId="5607" xr:uid="{00000000-0005-0000-0000-0000C1630000}"/>
    <cellStyle name="Note 64 6 2" xfId="16895" xr:uid="{00000000-0005-0000-0000-0000C2630000}"/>
    <cellStyle name="Note 64 7" xfId="14901" xr:uid="{00000000-0005-0000-0000-0000C3630000}"/>
    <cellStyle name="Note 64 8" xfId="13585" xr:uid="{00000000-0005-0000-0000-0000C4630000}"/>
    <cellStyle name="Note 65" xfId="3374" xr:uid="{00000000-0005-0000-0000-0000C5630000}"/>
    <cellStyle name="Note 65 2" xfId="4608" xr:uid="{00000000-0005-0000-0000-0000C6630000}"/>
    <cellStyle name="Note 65 2 2" xfId="12587" xr:uid="{00000000-0005-0000-0000-0000C7630000}"/>
    <cellStyle name="Note 65 2 2 2" xfId="23875" xr:uid="{00000000-0005-0000-0000-0000C8630000}"/>
    <cellStyle name="Note 65 2 3" xfId="10593" xr:uid="{00000000-0005-0000-0000-0000C9630000}"/>
    <cellStyle name="Note 65 2 3 2" xfId="21881" xr:uid="{00000000-0005-0000-0000-0000CA630000}"/>
    <cellStyle name="Note 65 2 4" xfId="8599" xr:uid="{00000000-0005-0000-0000-0000CB630000}"/>
    <cellStyle name="Note 65 2 4 2" xfId="19887" xr:uid="{00000000-0005-0000-0000-0000CC630000}"/>
    <cellStyle name="Note 65 2 5" xfId="6605" xr:uid="{00000000-0005-0000-0000-0000CD630000}"/>
    <cellStyle name="Note 65 2 5 2" xfId="17893" xr:uid="{00000000-0005-0000-0000-0000CE630000}"/>
    <cellStyle name="Note 65 2 6" xfId="15899" xr:uid="{00000000-0005-0000-0000-0000CF630000}"/>
    <cellStyle name="Note 65 3" xfId="11590" xr:uid="{00000000-0005-0000-0000-0000D0630000}"/>
    <cellStyle name="Note 65 3 2" xfId="22878" xr:uid="{00000000-0005-0000-0000-0000D1630000}"/>
    <cellStyle name="Note 65 4" xfId="9596" xr:uid="{00000000-0005-0000-0000-0000D2630000}"/>
    <cellStyle name="Note 65 4 2" xfId="20884" xr:uid="{00000000-0005-0000-0000-0000D3630000}"/>
    <cellStyle name="Note 65 5" xfId="7602" xr:uid="{00000000-0005-0000-0000-0000D4630000}"/>
    <cellStyle name="Note 65 5 2" xfId="18890" xr:uid="{00000000-0005-0000-0000-0000D5630000}"/>
    <cellStyle name="Note 65 6" xfId="5608" xr:uid="{00000000-0005-0000-0000-0000D6630000}"/>
    <cellStyle name="Note 65 6 2" xfId="16896" xr:uid="{00000000-0005-0000-0000-0000D7630000}"/>
    <cellStyle name="Note 65 7" xfId="14902" xr:uid="{00000000-0005-0000-0000-0000D8630000}"/>
    <cellStyle name="Note 65 8" xfId="13586" xr:uid="{00000000-0005-0000-0000-0000D9630000}"/>
    <cellStyle name="Note 66" xfId="3375" xr:uid="{00000000-0005-0000-0000-0000DA630000}"/>
    <cellStyle name="Note 66 2" xfId="4609" xr:uid="{00000000-0005-0000-0000-0000DB630000}"/>
    <cellStyle name="Note 66 2 2" xfId="12588" xr:uid="{00000000-0005-0000-0000-0000DC630000}"/>
    <cellStyle name="Note 66 2 2 2" xfId="23876" xr:uid="{00000000-0005-0000-0000-0000DD630000}"/>
    <cellStyle name="Note 66 2 3" xfId="10594" xr:uid="{00000000-0005-0000-0000-0000DE630000}"/>
    <cellStyle name="Note 66 2 3 2" xfId="21882" xr:uid="{00000000-0005-0000-0000-0000DF630000}"/>
    <cellStyle name="Note 66 2 4" xfId="8600" xr:uid="{00000000-0005-0000-0000-0000E0630000}"/>
    <cellStyle name="Note 66 2 4 2" xfId="19888" xr:uid="{00000000-0005-0000-0000-0000E1630000}"/>
    <cellStyle name="Note 66 2 5" xfId="6606" xr:uid="{00000000-0005-0000-0000-0000E2630000}"/>
    <cellStyle name="Note 66 2 5 2" xfId="17894" xr:uid="{00000000-0005-0000-0000-0000E3630000}"/>
    <cellStyle name="Note 66 2 6" xfId="15900" xr:uid="{00000000-0005-0000-0000-0000E4630000}"/>
    <cellStyle name="Note 66 3" xfId="11591" xr:uid="{00000000-0005-0000-0000-0000E5630000}"/>
    <cellStyle name="Note 66 3 2" xfId="22879" xr:uid="{00000000-0005-0000-0000-0000E6630000}"/>
    <cellStyle name="Note 66 4" xfId="9597" xr:uid="{00000000-0005-0000-0000-0000E7630000}"/>
    <cellStyle name="Note 66 4 2" xfId="20885" xr:uid="{00000000-0005-0000-0000-0000E8630000}"/>
    <cellStyle name="Note 66 5" xfId="7603" xr:uid="{00000000-0005-0000-0000-0000E9630000}"/>
    <cellStyle name="Note 66 5 2" xfId="18891" xr:uid="{00000000-0005-0000-0000-0000EA630000}"/>
    <cellStyle name="Note 66 6" xfId="5609" xr:uid="{00000000-0005-0000-0000-0000EB630000}"/>
    <cellStyle name="Note 66 6 2" xfId="16897" xr:uid="{00000000-0005-0000-0000-0000EC630000}"/>
    <cellStyle name="Note 66 7" xfId="14903" xr:uid="{00000000-0005-0000-0000-0000ED630000}"/>
    <cellStyle name="Note 66 8" xfId="13587" xr:uid="{00000000-0005-0000-0000-0000EE630000}"/>
    <cellStyle name="Note 67" xfId="3376" xr:uid="{00000000-0005-0000-0000-0000EF630000}"/>
    <cellStyle name="Note 67 2" xfId="4610" xr:uid="{00000000-0005-0000-0000-0000F0630000}"/>
    <cellStyle name="Note 67 2 2" xfId="12589" xr:uid="{00000000-0005-0000-0000-0000F1630000}"/>
    <cellStyle name="Note 67 2 2 2" xfId="23877" xr:uid="{00000000-0005-0000-0000-0000F2630000}"/>
    <cellStyle name="Note 67 2 3" xfId="10595" xr:uid="{00000000-0005-0000-0000-0000F3630000}"/>
    <cellStyle name="Note 67 2 3 2" xfId="21883" xr:uid="{00000000-0005-0000-0000-0000F4630000}"/>
    <cellStyle name="Note 67 2 4" xfId="8601" xr:uid="{00000000-0005-0000-0000-0000F5630000}"/>
    <cellStyle name="Note 67 2 4 2" xfId="19889" xr:uid="{00000000-0005-0000-0000-0000F6630000}"/>
    <cellStyle name="Note 67 2 5" xfId="6607" xr:uid="{00000000-0005-0000-0000-0000F7630000}"/>
    <cellStyle name="Note 67 2 5 2" xfId="17895" xr:uid="{00000000-0005-0000-0000-0000F8630000}"/>
    <cellStyle name="Note 67 2 6" xfId="15901" xr:uid="{00000000-0005-0000-0000-0000F9630000}"/>
    <cellStyle name="Note 67 3" xfId="11592" xr:uid="{00000000-0005-0000-0000-0000FA630000}"/>
    <cellStyle name="Note 67 3 2" xfId="22880" xr:uid="{00000000-0005-0000-0000-0000FB630000}"/>
    <cellStyle name="Note 67 4" xfId="9598" xr:uid="{00000000-0005-0000-0000-0000FC630000}"/>
    <cellStyle name="Note 67 4 2" xfId="20886" xr:uid="{00000000-0005-0000-0000-0000FD630000}"/>
    <cellStyle name="Note 67 5" xfId="7604" xr:uid="{00000000-0005-0000-0000-0000FE630000}"/>
    <cellStyle name="Note 67 5 2" xfId="18892" xr:uid="{00000000-0005-0000-0000-0000FF630000}"/>
    <cellStyle name="Note 67 6" xfId="5610" xr:uid="{00000000-0005-0000-0000-000000640000}"/>
    <cellStyle name="Note 67 6 2" xfId="16898" xr:uid="{00000000-0005-0000-0000-000001640000}"/>
    <cellStyle name="Note 67 7" xfId="14904" xr:uid="{00000000-0005-0000-0000-000002640000}"/>
    <cellStyle name="Note 67 8" xfId="13588" xr:uid="{00000000-0005-0000-0000-000003640000}"/>
    <cellStyle name="Note 68" xfId="3377" xr:uid="{00000000-0005-0000-0000-000004640000}"/>
    <cellStyle name="Note 68 2" xfId="4611" xr:uid="{00000000-0005-0000-0000-000005640000}"/>
    <cellStyle name="Note 68 2 2" xfId="12590" xr:uid="{00000000-0005-0000-0000-000006640000}"/>
    <cellStyle name="Note 68 2 2 2" xfId="23878" xr:uid="{00000000-0005-0000-0000-000007640000}"/>
    <cellStyle name="Note 68 2 3" xfId="10596" xr:uid="{00000000-0005-0000-0000-000008640000}"/>
    <cellStyle name="Note 68 2 3 2" xfId="21884" xr:uid="{00000000-0005-0000-0000-000009640000}"/>
    <cellStyle name="Note 68 2 4" xfId="8602" xr:uid="{00000000-0005-0000-0000-00000A640000}"/>
    <cellStyle name="Note 68 2 4 2" xfId="19890" xr:uid="{00000000-0005-0000-0000-00000B640000}"/>
    <cellStyle name="Note 68 2 5" xfId="6608" xr:uid="{00000000-0005-0000-0000-00000C640000}"/>
    <cellStyle name="Note 68 2 5 2" xfId="17896" xr:uid="{00000000-0005-0000-0000-00000D640000}"/>
    <cellStyle name="Note 68 2 6" xfId="15902" xr:uid="{00000000-0005-0000-0000-00000E640000}"/>
    <cellStyle name="Note 68 3" xfId="11593" xr:uid="{00000000-0005-0000-0000-00000F640000}"/>
    <cellStyle name="Note 68 3 2" xfId="22881" xr:uid="{00000000-0005-0000-0000-000010640000}"/>
    <cellStyle name="Note 68 4" xfId="9599" xr:uid="{00000000-0005-0000-0000-000011640000}"/>
    <cellStyle name="Note 68 4 2" xfId="20887" xr:uid="{00000000-0005-0000-0000-000012640000}"/>
    <cellStyle name="Note 68 5" xfId="7605" xr:uid="{00000000-0005-0000-0000-000013640000}"/>
    <cellStyle name="Note 68 5 2" xfId="18893" xr:uid="{00000000-0005-0000-0000-000014640000}"/>
    <cellStyle name="Note 68 6" xfId="5611" xr:uid="{00000000-0005-0000-0000-000015640000}"/>
    <cellStyle name="Note 68 6 2" xfId="16899" xr:uid="{00000000-0005-0000-0000-000016640000}"/>
    <cellStyle name="Note 68 7" xfId="14905" xr:uid="{00000000-0005-0000-0000-000017640000}"/>
    <cellStyle name="Note 68 8" xfId="13589" xr:uid="{00000000-0005-0000-0000-000018640000}"/>
    <cellStyle name="Note 69" xfId="3378" xr:uid="{00000000-0005-0000-0000-000019640000}"/>
    <cellStyle name="Note 69 2" xfId="4612" xr:uid="{00000000-0005-0000-0000-00001A640000}"/>
    <cellStyle name="Note 69 2 2" xfId="12591" xr:uid="{00000000-0005-0000-0000-00001B640000}"/>
    <cellStyle name="Note 69 2 2 2" xfId="23879" xr:uid="{00000000-0005-0000-0000-00001C640000}"/>
    <cellStyle name="Note 69 2 3" xfId="10597" xr:uid="{00000000-0005-0000-0000-00001D640000}"/>
    <cellStyle name="Note 69 2 3 2" xfId="21885" xr:uid="{00000000-0005-0000-0000-00001E640000}"/>
    <cellStyle name="Note 69 2 4" xfId="8603" xr:uid="{00000000-0005-0000-0000-00001F640000}"/>
    <cellStyle name="Note 69 2 4 2" xfId="19891" xr:uid="{00000000-0005-0000-0000-000020640000}"/>
    <cellStyle name="Note 69 2 5" xfId="6609" xr:uid="{00000000-0005-0000-0000-000021640000}"/>
    <cellStyle name="Note 69 2 5 2" xfId="17897" xr:uid="{00000000-0005-0000-0000-000022640000}"/>
    <cellStyle name="Note 69 2 6" xfId="15903" xr:uid="{00000000-0005-0000-0000-000023640000}"/>
    <cellStyle name="Note 69 3" xfId="11594" xr:uid="{00000000-0005-0000-0000-000024640000}"/>
    <cellStyle name="Note 69 3 2" xfId="22882" xr:uid="{00000000-0005-0000-0000-000025640000}"/>
    <cellStyle name="Note 69 4" xfId="9600" xr:uid="{00000000-0005-0000-0000-000026640000}"/>
    <cellStyle name="Note 69 4 2" xfId="20888" xr:uid="{00000000-0005-0000-0000-000027640000}"/>
    <cellStyle name="Note 69 5" xfId="7606" xr:uid="{00000000-0005-0000-0000-000028640000}"/>
    <cellStyle name="Note 69 5 2" xfId="18894" xr:uid="{00000000-0005-0000-0000-000029640000}"/>
    <cellStyle name="Note 69 6" xfId="5612" xr:uid="{00000000-0005-0000-0000-00002A640000}"/>
    <cellStyle name="Note 69 6 2" xfId="16900" xr:uid="{00000000-0005-0000-0000-00002B640000}"/>
    <cellStyle name="Note 69 7" xfId="14906" xr:uid="{00000000-0005-0000-0000-00002C640000}"/>
    <cellStyle name="Note 69 8" xfId="13590" xr:uid="{00000000-0005-0000-0000-00002D640000}"/>
    <cellStyle name="Note 7" xfId="3379" xr:uid="{00000000-0005-0000-0000-00002E640000}"/>
    <cellStyle name="Note 7 10" xfId="24757" xr:uid="{00000000-0005-0000-0000-00002F640000}"/>
    <cellStyle name="Note 7 11" xfId="25079" xr:uid="{00000000-0005-0000-0000-000030640000}"/>
    <cellStyle name="Note 7 2" xfId="4613" xr:uid="{00000000-0005-0000-0000-000031640000}"/>
    <cellStyle name="Note 7 2 2" xfId="12592" xr:uid="{00000000-0005-0000-0000-000032640000}"/>
    <cellStyle name="Note 7 2 2 2" xfId="23880" xr:uid="{00000000-0005-0000-0000-000033640000}"/>
    <cellStyle name="Note 7 2 3" xfId="10598" xr:uid="{00000000-0005-0000-0000-000034640000}"/>
    <cellStyle name="Note 7 2 3 2" xfId="21886" xr:uid="{00000000-0005-0000-0000-000035640000}"/>
    <cellStyle name="Note 7 2 4" xfId="8604" xr:uid="{00000000-0005-0000-0000-000036640000}"/>
    <cellStyle name="Note 7 2 4 2" xfId="19892" xr:uid="{00000000-0005-0000-0000-000037640000}"/>
    <cellStyle name="Note 7 2 5" xfId="6610" xr:uid="{00000000-0005-0000-0000-000038640000}"/>
    <cellStyle name="Note 7 2 5 2" xfId="17898" xr:uid="{00000000-0005-0000-0000-000039640000}"/>
    <cellStyle name="Note 7 2 6" xfId="15904" xr:uid="{00000000-0005-0000-0000-00003A640000}"/>
    <cellStyle name="Note 7 2 7" xfId="24461" xr:uid="{00000000-0005-0000-0000-00003B640000}"/>
    <cellStyle name="Note 7 2 8" xfId="24905" xr:uid="{00000000-0005-0000-0000-00003C640000}"/>
    <cellStyle name="Note 7 2 9" xfId="25267" xr:uid="{00000000-0005-0000-0000-00003D640000}"/>
    <cellStyle name="Note 7 3" xfId="11595" xr:uid="{00000000-0005-0000-0000-00003E640000}"/>
    <cellStyle name="Note 7 3 2" xfId="22883" xr:uid="{00000000-0005-0000-0000-00003F640000}"/>
    <cellStyle name="Note 7 4" xfId="9601" xr:uid="{00000000-0005-0000-0000-000040640000}"/>
    <cellStyle name="Note 7 4 2" xfId="20889" xr:uid="{00000000-0005-0000-0000-000041640000}"/>
    <cellStyle name="Note 7 5" xfId="7607" xr:uid="{00000000-0005-0000-0000-000042640000}"/>
    <cellStyle name="Note 7 5 2" xfId="18895" xr:uid="{00000000-0005-0000-0000-000043640000}"/>
    <cellStyle name="Note 7 6" xfId="5613" xr:uid="{00000000-0005-0000-0000-000044640000}"/>
    <cellStyle name="Note 7 6 2" xfId="16901" xr:uid="{00000000-0005-0000-0000-000045640000}"/>
    <cellStyle name="Note 7 7" xfId="14907" xr:uid="{00000000-0005-0000-0000-000046640000}"/>
    <cellStyle name="Note 7 8" xfId="13591" xr:uid="{00000000-0005-0000-0000-000047640000}"/>
    <cellStyle name="Note 7 9" xfId="24195" xr:uid="{00000000-0005-0000-0000-000048640000}"/>
    <cellStyle name="Note 70" xfId="3380" xr:uid="{00000000-0005-0000-0000-000049640000}"/>
    <cellStyle name="Note 70 2" xfId="4614" xr:uid="{00000000-0005-0000-0000-00004A640000}"/>
    <cellStyle name="Note 70 2 2" xfId="12593" xr:uid="{00000000-0005-0000-0000-00004B640000}"/>
    <cellStyle name="Note 70 2 2 2" xfId="23881" xr:uid="{00000000-0005-0000-0000-00004C640000}"/>
    <cellStyle name="Note 70 2 3" xfId="10599" xr:uid="{00000000-0005-0000-0000-00004D640000}"/>
    <cellStyle name="Note 70 2 3 2" xfId="21887" xr:uid="{00000000-0005-0000-0000-00004E640000}"/>
    <cellStyle name="Note 70 2 4" xfId="8605" xr:uid="{00000000-0005-0000-0000-00004F640000}"/>
    <cellStyle name="Note 70 2 4 2" xfId="19893" xr:uid="{00000000-0005-0000-0000-000050640000}"/>
    <cellStyle name="Note 70 2 5" xfId="6611" xr:uid="{00000000-0005-0000-0000-000051640000}"/>
    <cellStyle name="Note 70 2 5 2" xfId="17899" xr:uid="{00000000-0005-0000-0000-000052640000}"/>
    <cellStyle name="Note 70 2 6" xfId="15905" xr:uid="{00000000-0005-0000-0000-000053640000}"/>
    <cellStyle name="Note 70 3" xfId="11596" xr:uid="{00000000-0005-0000-0000-000054640000}"/>
    <cellStyle name="Note 70 3 2" xfId="22884" xr:uid="{00000000-0005-0000-0000-000055640000}"/>
    <cellStyle name="Note 70 4" xfId="9602" xr:uid="{00000000-0005-0000-0000-000056640000}"/>
    <cellStyle name="Note 70 4 2" xfId="20890" xr:uid="{00000000-0005-0000-0000-000057640000}"/>
    <cellStyle name="Note 70 5" xfId="7608" xr:uid="{00000000-0005-0000-0000-000058640000}"/>
    <cellStyle name="Note 70 5 2" xfId="18896" xr:uid="{00000000-0005-0000-0000-000059640000}"/>
    <cellStyle name="Note 70 6" xfId="5614" xr:uid="{00000000-0005-0000-0000-00005A640000}"/>
    <cellStyle name="Note 70 6 2" xfId="16902" xr:uid="{00000000-0005-0000-0000-00005B640000}"/>
    <cellStyle name="Note 70 7" xfId="14908" xr:uid="{00000000-0005-0000-0000-00005C640000}"/>
    <cellStyle name="Note 70 8" xfId="13592" xr:uid="{00000000-0005-0000-0000-00005D640000}"/>
    <cellStyle name="Note 71" xfId="3381" xr:uid="{00000000-0005-0000-0000-00005E640000}"/>
    <cellStyle name="Note 71 2" xfId="4615" xr:uid="{00000000-0005-0000-0000-00005F640000}"/>
    <cellStyle name="Note 71 2 2" xfId="12594" xr:uid="{00000000-0005-0000-0000-000060640000}"/>
    <cellStyle name="Note 71 2 2 2" xfId="23882" xr:uid="{00000000-0005-0000-0000-000061640000}"/>
    <cellStyle name="Note 71 2 3" xfId="10600" xr:uid="{00000000-0005-0000-0000-000062640000}"/>
    <cellStyle name="Note 71 2 3 2" xfId="21888" xr:uid="{00000000-0005-0000-0000-000063640000}"/>
    <cellStyle name="Note 71 2 4" xfId="8606" xr:uid="{00000000-0005-0000-0000-000064640000}"/>
    <cellStyle name="Note 71 2 4 2" xfId="19894" xr:uid="{00000000-0005-0000-0000-000065640000}"/>
    <cellStyle name="Note 71 2 5" xfId="6612" xr:uid="{00000000-0005-0000-0000-000066640000}"/>
    <cellStyle name="Note 71 2 5 2" xfId="17900" xr:uid="{00000000-0005-0000-0000-000067640000}"/>
    <cellStyle name="Note 71 2 6" xfId="15906" xr:uid="{00000000-0005-0000-0000-000068640000}"/>
    <cellStyle name="Note 71 3" xfId="11597" xr:uid="{00000000-0005-0000-0000-000069640000}"/>
    <cellStyle name="Note 71 3 2" xfId="22885" xr:uid="{00000000-0005-0000-0000-00006A640000}"/>
    <cellStyle name="Note 71 4" xfId="9603" xr:uid="{00000000-0005-0000-0000-00006B640000}"/>
    <cellStyle name="Note 71 4 2" xfId="20891" xr:uid="{00000000-0005-0000-0000-00006C640000}"/>
    <cellStyle name="Note 71 5" xfId="7609" xr:uid="{00000000-0005-0000-0000-00006D640000}"/>
    <cellStyle name="Note 71 5 2" xfId="18897" xr:uid="{00000000-0005-0000-0000-00006E640000}"/>
    <cellStyle name="Note 71 6" xfId="5615" xr:uid="{00000000-0005-0000-0000-00006F640000}"/>
    <cellStyle name="Note 71 6 2" xfId="16903" xr:uid="{00000000-0005-0000-0000-000070640000}"/>
    <cellStyle name="Note 71 7" xfId="14909" xr:uid="{00000000-0005-0000-0000-000071640000}"/>
    <cellStyle name="Note 71 8" xfId="13593" xr:uid="{00000000-0005-0000-0000-000072640000}"/>
    <cellStyle name="Note 72" xfId="3382" xr:uid="{00000000-0005-0000-0000-000073640000}"/>
    <cellStyle name="Note 72 2" xfId="4616" xr:uid="{00000000-0005-0000-0000-000074640000}"/>
    <cellStyle name="Note 72 2 2" xfId="12595" xr:uid="{00000000-0005-0000-0000-000075640000}"/>
    <cellStyle name="Note 72 2 2 2" xfId="23883" xr:uid="{00000000-0005-0000-0000-000076640000}"/>
    <cellStyle name="Note 72 2 3" xfId="10601" xr:uid="{00000000-0005-0000-0000-000077640000}"/>
    <cellStyle name="Note 72 2 3 2" xfId="21889" xr:uid="{00000000-0005-0000-0000-000078640000}"/>
    <cellStyle name="Note 72 2 4" xfId="8607" xr:uid="{00000000-0005-0000-0000-000079640000}"/>
    <cellStyle name="Note 72 2 4 2" xfId="19895" xr:uid="{00000000-0005-0000-0000-00007A640000}"/>
    <cellStyle name="Note 72 2 5" xfId="6613" xr:uid="{00000000-0005-0000-0000-00007B640000}"/>
    <cellStyle name="Note 72 2 5 2" xfId="17901" xr:uid="{00000000-0005-0000-0000-00007C640000}"/>
    <cellStyle name="Note 72 2 6" xfId="15907" xr:uid="{00000000-0005-0000-0000-00007D640000}"/>
    <cellStyle name="Note 72 3" xfId="11598" xr:uid="{00000000-0005-0000-0000-00007E640000}"/>
    <cellStyle name="Note 72 3 2" xfId="22886" xr:uid="{00000000-0005-0000-0000-00007F640000}"/>
    <cellStyle name="Note 72 4" xfId="9604" xr:uid="{00000000-0005-0000-0000-000080640000}"/>
    <cellStyle name="Note 72 4 2" xfId="20892" xr:uid="{00000000-0005-0000-0000-000081640000}"/>
    <cellStyle name="Note 72 5" xfId="7610" xr:uid="{00000000-0005-0000-0000-000082640000}"/>
    <cellStyle name="Note 72 5 2" xfId="18898" xr:uid="{00000000-0005-0000-0000-000083640000}"/>
    <cellStyle name="Note 72 6" xfId="5616" xr:uid="{00000000-0005-0000-0000-000084640000}"/>
    <cellStyle name="Note 72 6 2" xfId="16904" xr:uid="{00000000-0005-0000-0000-000085640000}"/>
    <cellStyle name="Note 72 7" xfId="14910" xr:uid="{00000000-0005-0000-0000-000086640000}"/>
    <cellStyle name="Note 72 8" xfId="13594" xr:uid="{00000000-0005-0000-0000-000087640000}"/>
    <cellStyle name="Note 8" xfId="3383" xr:uid="{00000000-0005-0000-0000-000088640000}"/>
    <cellStyle name="Note 8 10" xfId="24758" xr:uid="{00000000-0005-0000-0000-000089640000}"/>
    <cellStyle name="Note 8 11" xfId="25080" xr:uid="{00000000-0005-0000-0000-00008A640000}"/>
    <cellStyle name="Note 8 2" xfId="4617" xr:uid="{00000000-0005-0000-0000-00008B640000}"/>
    <cellStyle name="Note 8 2 2" xfId="12596" xr:uid="{00000000-0005-0000-0000-00008C640000}"/>
    <cellStyle name="Note 8 2 2 2" xfId="23884" xr:uid="{00000000-0005-0000-0000-00008D640000}"/>
    <cellStyle name="Note 8 2 3" xfId="10602" xr:uid="{00000000-0005-0000-0000-00008E640000}"/>
    <cellStyle name="Note 8 2 3 2" xfId="21890" xr:uid="{00000000-0005-0000-0000-00008F640000}"/>
    <cellStyle name="Note 8 2 4" xfId="8608" xr:uid="{00000000-0005-0000-0000-000090640000}"/>
    <cellStyle name="Note 8 2 4 2" xfId="19896" xr:uid="{00000000-0005-0000-0000-000091640000}"/>
    <cellStyle name="Note 8 2 5" xfId="6614" xr:uid="{00000000-0005-0000-0000-000092640000}"/>
    <cellStyle name="Note 8 2 5 2" xfId="17902" xr:uid="{00000000-0005-0000-0000-000093640000}"/>
    <cellStyle name="Note 8 2 6" xfId="15908" xr:uid="{00000000-0005-0000-0000-000094640000}"/>
    <cellStyle name="Note 8 2 7" xfId="24462" xr:uid="{00000000-0005-0000-0000-000095640000}"/>
    <cellStyle name="Note 8 2 8" xfId="24906" xr:uid="{00000000-0005-0000-0000-000096640000}"/>
    <cellStyle name="Note 8 2 9" xfId="25268" xr:uid="{00000000-0005-0000-0000-000097640000}"/>
    <cellStyle name="Note 8 3" xfId="11599" xr:uid="{00000000-0005-0000-0000-000098640000}"/>
    <cellStyle name="Note 8 3 2" xfId="22887" xr:uid="{00000000-0005-0000-0000-000099640000}"/>
    <cellStyle name="Note 8 4" xfId="9605" xr:uid="{00000000-0005-0000-0000-00009A640000}"/>
    <cellStyle name="Note 8 4 2" xfId="20893" xr:uid="{00000000-0005-0000-0000-00009B640000}"/>
    <cellStyle name="Note 8 5" xfId="7611" xr:uid="{00000000-0005-0000-0000-00009C640000}"/>
    <cellStyle name="Note 8 5 2" xfId="18899" xr:uid="{00000000-0005-0000-0000-00009D640000}"/>
    <cellStyle name="Note 8 6" xfId="5617" xr:uid="{00000000-0005-0000-0000-00009E640000}"/>
    <cellStyle name="Note 8 6 2" xfId="16905" xr:uid="{00000000-0005-0000-0000-00009F640000}"/>
    <cellStyle name="Note 8 7" xfId="14911" xr:uid="{00000000-0005-0000-0000-0000A0640000}"/>
    <cellStyle name="Note 8 8" xfId="13595" xr:uid="{00000000-0005-0000-0000-0000A1640000}"/>
    <cellStyle name="Note 8 9" xfId="24196" xr:uid="{00000000-0005-0000-0000-0000A2640000}"/>
    <cellStyle name="Note 9" xfId="3384" xr:uid="{00000000-0005-0000-0000-0000A3640000}"/>
    <cellStyle name="Note 9 10" xfId="24759" xr:uid="{00000000-0005-0000-0000-0000A4640000}"/>
    <cellStyle name="Note 9 11" xfId="25081" xr:uid="{00000000-0005-0000-0000-0000A5640000}"/>
    <cellStyle name="Note 9 2" xfId="4618" xr:uid="{00000000-0005-0000-0000-0000A6640000}"/>
    <cellStyle name="Note 9 2 2" xfId="12597" xr:uid="{00000000-0005-0000-0000-0000A7640000}"/>
    <cellStyle name="Note 9 2 2 2" xfId="23885" xr:uid="{00000000-0005-0000-0000-0000A8640000}"/>
    <cellStyle name="Note 9 2 3" xfId="10603" xr:uid="{00000000-0005-0000-0000-0000A9640000}"/>
    <cellStyle name="Note 9 2 3 2" xfId="21891" xr:uid="{00000000-0005-0000-0000-0000AA640000}"/>
    <cellStyle name="Note 9 2 4" xfId="8609" xr:uid="{00000000-0005-0000-0000-0000AB640000}"/>
    <cellStyle name="Note 9 2 4 2" xfId="19897" xr:uid="{00000000-0005-0000-0000-0000AC640000}"/>
    <cellStyle name="Note 9 2 5" xfId="6615" xr:uid="{00000000-0005-0000-0000-0000AD640000}"/>
    <cellStyle name="Note 9 2 5 2" xfId="17903" xr:uid="{00000000-0005-0000-0000-0000AE640000}"/>
    <cellStyle name="Note 9 2 6" xfId="15909" xr:uid="{00000000-0005-0000-0000-0000AF640000}"/>
    <cellStyle name="Note 9 2 7" xfId="24463" xr:uid="{00000000-0005-0000-0000-0000B0640000}"/>
    <cellStyle name="Note 9 2 8" xfId="24907" xr:uid="{00000000-0005-0000-0000-0000B1640000}"/>
    <cellStyle name="Note 9 2 9" xfId="25269" xr:uid="{00000000-0005-0000-0000-0000B2640000}"/>
    <cellStyle name="Note 9 3" xfId="11600" xr:uid="{00000000-0005-0000-0000-0000B3640000}"/>
    <cellStyle name="Note 9 3 2" xfId="22888" xr:uid="{00000000-0005-0000-0000-0000B4640000}"/>
    <cellStyle name="Note 9 4" xfId="9606" xr:uid="{00000000-0005-0000-0000-0000B5640000}"/>
    <cellStyle name="Note 9 4 2" xfId="20894" xr:uid="{00000000-0005-0000-0000-0000B6640000}"/>
    <cellStyle name="Note 9 5" xfId="7612" xr:uid="{00000000-0005-0000-0000-0000B7640000}"/>
    <cellStyle name="Note 9 5 2" xfId="18900" xr:uid="{00000000-0005-0000-0000-0000B8640000}"/>
    <cellStyle name="Note 9 6" xfId="5618" xr:uid="{00000000-0005-0000-0000-0000B9640000}"/>
    <cellStyle name="Note 9 6 2" xfId="16906" xr:uid="{00000000-0005-0000-0000-0000BA640000}"/>
    <cellStyle name="Note 9 7" xfId="14912" xr:uid="{00000000-0005-0000-0000-0000BB640000}"/>
    <cellStyle name="Note 9 8" xfId="13596" xr:uid="{00000000-0005-0000-0000-0000BC640000}"/>
    <cellStyle name="Note 9 9" xfId="24197" xr:uid="{00000000-0005-0000-0000-0000BD640000}"/>
    <cellStyle name="Number" xfId="62" xr:uid="{00000000-0005-0000-0000-0000BE640000}"/>
    <cellStyle name="Number 10" xfId="24416" xr:uid="{00000000-0005-0000-0000-0000BF640000}"/>
    <cellStyle name="number 11" xfId="23923" xr:uid="{00000000-0005-0000-0000-0000C0640000}"/>
    <cellStyle name="number 12" xfId="24248" xr:uid="{00000000-0005-0000-0000-0000C1640000}"/>
    <cellStyle name="number 13" xfId="24529" xr:uid="{00000000-0005-0000-0000-0000C2640000}"/>
    <cellStyle name="number 14" xfId="24518" xr:uid="{00000000-0005-0000-0000-0000C3640000}"/>
    <cellStyle name="number 15" xfId="24522" xr:uid="{00000000-0005-0000-0000-0000C4640000}"/>
    <cellStyle name="number 16" xfId="24184" xr:uid="{00000000-0005-0000-0000-0000C5640000}"/>
    <cellStyle name="number 17" xfId="24532" xr:uid="{00000000-0005-0000-0000-0000C6640000}"/>
    <cellStyle name="number 18" xfId="24521" xr:uid="{00000000-0005-0000-0000-0000C7640000}"/>
    <cellStyle name="number 19" xfId="24523" xr:uid="{00000000-0005-0000-0000-0000C8640000}"/>
    <cellStyle name="number 2" xfId="24199" xr:uid="{00000000-0005-0000-0000-0000C9640000}"/>
    <cellStyle name="number 20" xfId="24542" xr:uid="{00000000-0005-0000-0000-0000CA640000}"/>
    <cellStyle name="number 21" xfId="24065" xr:uid="{00000000-0005-0000-0000-0000CB640000}"/>
    <cellStyle name="number 22" xfId="24551" xr:uid="{00000000-0005-0000-0000-0000CC640000}"/>
    <cellStyle name="number 23" xfId="24770" xr:uid="{00000000-0005-0000-0000-0000CD640000}"/>
    <cellStyle name="number 24" xfId="24671" xr:uid="{00000000-0005-0000-0000-0000CE640000}"/>
    <cellStyle name="number 25" xfId="24779" xr:uid="{00000000-0005-0000-0000-0000CF640000}"/>
    <cellStyle name="number 26" xfId="24860" xr:uid="{00000000-0005-0000-0000-0000D0640000}"/>
    <cellStyle name="number 27" xfId="24936" xr:uid="{00000000-0005-0000-0000-0000D1640000}"/>
    <cellStyle name="number 28" xfId="24931" xr:uid="{00000000-0005-0000-0000-0000D2640000}"/>
    <cellStyle name="number 29" xfId="24764" xr:uid="{00000000-0005-0000-0000-0000D3640000}"/>
    <cellStyle name="number 3" xfId="24200" xr:uid="{00000000-0005-0000-0000-0000D4640000}"/>
    <cellStyle name="number 30" xfId="24917" xr:uid="{00000000-0005-0000-0000-0000D5640000}"/>
    <cellStyle name="number 31" xfId="24940" xr:uid="{00000000-0005-0000-0000-0000D6640000}"/>
    <cellStyle name="number 32" xfId="24704" xr:uid="{00000000-0005-0000-0000-0000D7640000}"/>
    <cellStyle name="number 33" xfId="24670" xr:uid="{00000000-0005-0000-0000-0000D8640000}"/>
    <cellStyle name="number 34" xfId="24555" xr:uid="{00000000-0005-0000-0000-0000D9640000}"/>
    <cellStyle name="number 35" xfId="24945" xr:uid="{00000000-0005-0000-0000-0000DA640000}"/>
    <cellStyle name="Number 4" xfId="24198" xr:uid="{00000000-0005-0000-0000-0000DB640000}"/>
    <cellStyle name="Number 5" xfId="24311" xr:uid="{00000000-0005-0000-0000-0000DC640000}"/>
    <cellStyle name="Number 6" xfId="24309" xr:uid="{00000000-0005-0000-0000-0000DD640000}"/>
    <cellStyle name="Number 7" xfId="24310" xr:uid="{00000000-0005-0000-0000-0000DE640000}"/>
    <cellStyle name="Number 8" xfId="24464" xr:uid="{00000000-0005-0000-0000-0000DF640000}"/>
    <cellStyle name="Number 9" xfId="24394" xr:uid="{00000000-0005-0000-0000-0000E0640000}"/>
    <cellStyle name="Numbers" xfId="578" xr:uid="{00000000-0005-0000-0000-0000E1640000}"/>
    <cellStyle name="Numbers - Bold" xfId="579" xr:uid="{00000000-0005-0000-0000-0000E2640000}"/>
    <cellStyle name="Numbers - Bold 2" xfId="24201" xr:uid="{00000000-0005-0000-0000-0000E3640000}"/>
    <cellStyle name="Output 10" xfId="3385" xr:uid="{00000000-0005-0000-0000-0000E4640000}"/>
    <cellStyle name="Output 11" xfId="3386" xr:uid="{00000000-0005-0000-0000-0000E5640000}"/>
    <cellStyle name="Output 12" xfId="3387" xr:uid="{00000000-0005-0000-0000-0000E6640000}"/>
    <cellStyle name="Output 13" xfId="3388" xr:uid="{00000000-0005-0000-0000-0000E7640000}"/>
    <cellStyle name="Output 14" xfId="3389" xr:uid="{00000000-0005-0000-0000-0000E8640000}"/>
    <cellStyle name="Output 15" xfId="3390" xr:uid="{00000000-0005-0000-0000-0000E9640000}"/>
    <cellStyle name="Output 16" xfId="3391" xr:uid="{00000000-0005-0000-0000-0000EA640000}"/>
    <cellStyle name="Output 17" xfId="3392" xr:uid="{00000000-0005-0000-0000-0000EB640000}"/>
    <cellStyle name="Output 18" xfId="3393" xr:uid="{00000000-0005-0000-0000-0000EC640000}"/>
    <cellStyle name="Output 19" xfId="3394" xr:uid="{00000000-0005-0000-0000-0000ED640000}"/>
    <cellStyle name="Output 2" xfId="3395" xr:uid="{00000000-0005-0000-0000-0000EE640000}"/>
    <cellStyle name="Output 2 2" xfId="24203" xr:uid="{00000000-0005-0000-0000-0000EF640000}"/>
    <cellStyle name="Output 2 2 10" xfId="30272" xr:uid="{DCE1C103-3D14-4547-9075-9B6E303A52C0}"/>
    <cellStyle name="Output 2 2 2" xfId="24696" xr:uid="{00000000-0005-0000-0000-0000F0640000}"/>
    <cellStyle name="Output 2 2 2 2" xfId="25348" xr:uid="{00000000-0005-0000-0000-0000F1640000}"/>
    <cellStyle name="Output 2 2 2 2 2" xfId="27502" xr:uid="{00000000-0005-0000-0000-0000F2640000}"/>
    <cellStyle name="Output 2 2 2 2 2 2" xfId="32093" xr:uid="{42C663E5-A371-41F5-996D-3C7F2C7AC786}"/>
    <cellStyle name="Output 2 2 2 2 3" xfId="26899" xr:uid="{00000000-0005-0000-0000-0000F3640000}"/>
    <cellStyle name="Output 2 2 2 2 3 2" xfId="31660" xr:uid="{0B9DEE9B-19F5-4821-A0AB-618AF7C4AD6B}"/>
    <cellStyle name="Output 2 2 2 2 4" xfId="27429" xr:uid="{00000000-0005-0000-0000-0000F4640000}"/>
    <cellStyle name="Output 2 2 2 2 4 2" xfId="32027" xr:uid="{6BE9E15E-3B80-45CB-B0CD-E32F7BE3C48A}"/>
    <cellStyle name="Output 2 2 2 2 5" xfId="29431" xr:uid="{00000000-0005-0000-0000-0000F5640000}"/>
    <cellStyle name="Output 2 2 2 2 6" xfId="30506" xr:uid="{933995D5-1AC7-4DA5-9481-B0BE61836167}"/>
    <cellStyle name="Output 2 2 2 3" xfId="25655" xr:uid="{00000000-0005-0000-0000-0000F6640000}"/>
    <cellStyle name="Output 2 2 2 3 2" xfId="27808" xr:uid="{00000000-0005-0000-0000-0000F7640000}"/>
    <cellStyle name="Output 2 2 2 3 2 2" xfId="32395" xr:uid="{548268A3-880C-475A-85E1-ACF533B9BB83}"/>
    <cellStyle name="Output 2 2 2 3 3" xfId="26373" xr:uid="{00000000-0005-0000-0000-0000F8640000}"/>
    <cellStyle name="Output 2 2 2 3 3 2" xfId="31161" xr:uid="{DB9CDCEC-91A2-469B-AD70-B448B07D06A9}"/>
    <cellStyle name="Output 2 2 2 3 4" xfId="26493" xr:uid="{00000000-0005-0000-0000-0000F9640000}"/>
    <cellStyle name="Output 2 2 2 3 4 2" xfId="31281" xr:uid="{7B1DB79D-B650-4F0F-AE6A-4093819F38CB}"/>
    <cellStyle name="Output 2 2 2 3 5" xfId="29432" xr:uid="{00000000-0005-0000-0000-0000FA640000}"/>
    <cellStyle name="Output 2 2 2 3 6" xfId="30649" xr:uid="{4053F19C-5F21-49D9-A45C-CA1DEEED4E11}"/>
    <cellStyle name="Output 2 2 2 4" xfId="27285" xr:uid="{00000000-0005-0000-0000-0000FB640000}"/>
    <cellStyle name="Output 2 2 2 4 2" xfId="31917" xr:uid="{42D0F2B0-2251-48CD-B1F3-E7D626723E74}"/>
    <cellStyle name="Output 2 2 2 5" xfId="26305" xr:uid="{00000000-0005-0000-0000-0000FC640000}"/>
    <cellStyle name="Output 2 2 2 5 2" xfId="31093" xr:uid="{5A4E41E3-BCA7-430E-8CCB-50DE830400B9}"/>
    <cellStyle name="Output 2 2 2 6" xfId="26113" xr:uid="{00000000-0005-0000-0000-0000FD640000}"/>
    <cellStyle name="Output 2 2 2 6 2" xfId="30903" xr:uid="{B0AD8FCA-C033-44E9-9A25-440F6EF94D36}"/>
    <cellStyle name="Output 2 2 2 7" xfId="29430" xr:uid="{00000000-0005-0000-0000-0000FE640000}"/>
    <cellStyle name="Output 2 2 2 8" xfId="30357" xr:uid="{DB5D011C-02C3-4958-9CCF-41F837F64BF4}"/>
    <cellStyle name="Output 2 2 3" xfId="25083" xr:uid="{00000000-0005-0000-0000-0000FF640000}"/>
    <cellStyle name="Output 2 2 3 2" xfId="25416" xr:uid="{00000000-0005-0000-0000-000000650000}"/>
    <cellStyle name="Output 2 2 3 2 2" xfId="27570" xr:uid="{00000000-0005-0000-0000-000001650000}"/>
    <cellStyle name="Output 2 2 3 2 2 2" xfId="32161" xr:uid="{281CD17C-5843-4712-A418-80D255162421}"/>
    <cellStyle name="Output 2 2 3 2 3" xfId="26442" xr:uid="{00000000-0005-0000-0000-000002650000}"/>
    <cellStyle name="Output 2 2 3 2 3 2" xfId="31230" xr:uid="{25CF1797-FDD9-4BC0-BFD2-3EB87D207F26}"/>
    <cellStyle name="Output 2 2 3 2 4" xfId="27020" xr:uid="{00000000-0005-0000-0000-000003650000}"/>
    <cellStyle name="Output 2 2 3 2 4 2" xfId="31780" xr:uid="{3223D64C-54DD-47F9-8468-0804F0F36C5A}"/>
    <cellStyle name="Output 2 2 3 2 5" xfId="29434" xr:uid="{00000000-0005-0000-0000-000004650000}"/>
    <cellStyle name="Output 2 2 3 2 6" xfId="30574" xr:uid="{87F20BB6-52C3-43AA-8F00-5D03A962B8EF}"/>
    <cellStyle name="Output 2 2 3 3" xfId="25683" xr:uid="{00000000-0005-0000-0000-000005650000}"/>
    <cellStyle name="Output 2 2 3 3 2" xfId="27836" xr:uid="{00000000-0005-0000-0000-000006650000}"/>
    <cellStyle name="Output 2 2 3 3 2 2" xfId="32423" xr:uid="{8CEDCD94-5B53-42A0-A097-E682A2A5A511}"/>
    <cellStyle name="Output 2 2 3 3 3" xfId="26720" xr:uid="{00000000-0005-0000-0000-000007650000}"/>
    <cellStyle name="Output 2 2 3 3 3 2" xfId="31481" xr:uid="{30A982CF-ACB3-4DCF-9820-EFA99B1E051A}"/>
    <cellStyle name="Output 2 2 3 3 4" xfId="26435" xr:uid="{00000000-0005-0000-0000-000008650000}"/>
    <cellStyle name="Output 2 2 3 3 4 2" xfId="31223" xr:uid="{434779A2-B846-42DA-A19E-94A3D862EDA5}"/>
    <cellStyle name="Output 2 2 3 3 5" xfId="29435" xr:uid="{00000000-0005-0000-0000-000009650000}"/>
    <cellStyle name="Output 2 2 3 3 6" xfId="30677" xr:uid="{439641A3-24C0-445C-8649-C3298E89CD74}"/>
    <cellStyle name="Output 2 2 3 4" xfId="27370" xr:uid="{00000000-0005-0000-0000-00000A650000}"/>
    <cellStyle name="Output 2 2 3 4 2" xfId="31968" xr:uid="{B18CD462-96CA-4D13-990D-87A4C3134F28}"/>
    <cellStyle name="Output 2 2 3 5" xfId="26961" xr:uid="{00000000-0005-0000-0000-00000B650000}"/>
    <cellStyle name="Output 2 2 3 5 2" xfId="31722" xr:uid="{C2651AC7-0F41-4B9F-B28C-53AF82CC7690}"/>
    <cellStyle name="Output 2 2 3 6" xfId="26821" xr:uid="{00000000-0005-0000-0000-00000C650000}"/>
    <cellStyle name="Output 2 2 3 6 2" xfId="31582" xr:uid="{E79CB48D-99D7-493F-8204-9A38BDC95899}"/>
    <cellStyle name="Output 2 2 3 7" xfId="29433" xr:uid="{00000000-0005-0000-0000-00000D650000}"/>
    <cellStyle name="Output 2 2 3 8" xfId="30385" xr:uid="{6B307353-4838-44E2-AFBC-3A6B8DF7163E}"/>
    <cellStyle name="Output 2 2 4" xfId="25364" xr:uid="{00000000-0005-0000-0000-00000E650000}"/>
    <cellStyle name="Output 2 2 4 2" xfId="27518" xr:uid="{00000000-0005-0000-0000-00000F650000}"/>
    <cellStyle name="Output 2 2 4 2 2" xfId="32109" xr:uid="{B5CBABE0-75E8-49BF-A5DC-2EDC0B073311}"/>
    <cellStyle name="Output 2 2 4 3" xfId="26797" xr:uid="{00000000-0005-0000-0000-000010650000}"/>
    <cellStyle name="Output 2 2 4 3 2" xfId="31558" xr:uid="{B131AB37-2F0E-492A-891B-45AEA76B3DFE}"/>
    <cellStyle name="Output 2 2 4 4" xfId="26975" xr:uid="{00000000-0005-0000-0000-000011650000}"/>
    <cellStyle name="Output 2 2 4 4 2" xfId="31736" xr:uid="{C68E1A18-1DBA-4C1D-9C77-D48802DDE92A}"/>
    <cellStyle name="Output 2 2 4 5" xfId="29436" xr:uid="{00000000-0005-0000-0000-000012650000}"/>
    <cellStyle name="Output 2 2 4 6" xfId="30522" xr:uid="{29A4D768-C374-4DD4-8BE8-A99A7F8DE486}"/>
    <cellStyle name="Output 2 2 5" xfId="25570" xr:uid="{00000000-0005-0000-0000-000013650000}"/>
    <cellStyle name="Output 2 2 5 2" xfId="27723" xr:uid="{00000000-0005-0000-0000-000014650000}"/>
    <cellStyle name="Output 2 2 5 2 2" xfId="32310" xr:uid="{C2D678DA-A022-41EE-856A-A1139E6C85ED}"/>
    <cellStyle name="Output 2 2 5 3" xfId="26274" xr:uid="{00000000-0005-0000-0000-000015650000}"/>
    <cellStyle name="Output 2 2 5 3 2" xfId="31062" xr:uid="{F471183D-5E99-46F2-AE76-5484F587681C}"/>
    <cellStyle name="Output 2 2 5 4" xfId="26859" xr:uid="{00000000-0005-0000-0000-000016650000}"/>
    <cellStyle name="Output 2 2 5 4 2" xfId="31620" xr:uid="{150CF3B9-B9D0-4100-AD08-8076AC0DC192}"/>
    <cellStyle name="Output 2 2 5 5" xfId="29437" xr:uid="{00000000-0005-0000-0000-000017650000}"/>
    <cellStyle name="Output 2 2 5 6" xfId="30627" xr:uid="{59FCEFA5-C7FE-43F0-A70D-F9F78FC3D0D6}"/>
    <cellStyle name="Output 2 2 6" xfId="27095" xr:uid="{00000000-0005-0000-0000-000018650000}"/>
    <cellStyle name="Output 2 2 6 2" xfId="31819" xr:uid="{8B3B49F8-CDC4-41F2-95AC-3EEF0F401DD3}"/>
    <cellStyle name="Output 2 2 7" xfId="26833" xr:uid="{00000000-0005-0000-0000-000019650000}"/>
    <cellStyle name="Output 2 2 7 2" xfId="31594" xr:uid="{DD555F28-E2A7-49E9-8697-20ED9C57FE38}"/>
    <cellStyle name="Output 2 2 8" xfId="26177" xr:uid="{00000000-0005-0000-0000-00001A650000}"/>
    <cellStyle name="Output 2 2 8 2" xfId="30966" xr:uid="{09ACD90A-DCB4-437E-81EE-6C5EC64BAA5D}"/>
    <cellStyle name="Output 2 2 9" xfId="29429" xr:uid="{00000000-0005-0000-0000-00001B650000}"/>
    <cellStyle name="Output 2 3" xfId="24202" xr:uid="{00000000-0005-0000-0000-00001C650000}"/>
    <cellStyle name="Output 2 3 2" xfId="25453" xr:uid="{00000000-0005-0000-0000-00001D650000}"/>
    <cellStyle name="Output 2 3 2 2" xfId="27607" xr:uid="{00000000-0005-0000-0000-00001E650000}"/>
    <cellStyle name="Output 2 3 2 2 2" xfId="32198" xr:uid="{DF210FFD-3CA1-42B1-93BC-520F0F08C91D}"/>
    <cellStyle name="Output 2 3 2 3" xfId="26342" xr:uid="{00000000-0005-0000-0000-00001F650000}"/>
    <cellStyle name="Output 2 3 2 3 2" xfId="31130" xr:uid="{584CF3C1-DCF4-4200-A239-D07A1AE3F827}"/>
    <cellStyle name="Output 2 3 2 4" xfId="27085" xr:uid="{00000000-0005-0000-0000-000020650000}"/>
    <cellStyle name="Output 2 3 2 4 2" xfId="31809" xr:uid="{DA330AEC-ECA9-48EB-BC1C-D7F1A04A6202}"/>
    <cellStyle name="Output 2 3 2 5" xfId="29439" xr:uid="{00000000-0005-0000-0000-000021650000}"/>
    <cellStyle name="Output 2 3 2 6" xfId="30611" xr:uid="{83BFB739-C260-436E-8BE3-EA36933A9687}"/>
    <cellStyle name="Output 2 3 3" xfId="25569" xr:uid="{00000000-0005-0000-0000-000022650000}"/>
    <cellStyle name="Output 2 3 3 2" xfId="27722" xr:uid="{00000000-0005-0000-0000-000023650000}"/>
    <cellStyle name="Output 2 3 3 2 2" xfId="32309" xr:uid="{9C9437C4-32EC-4C88-B97C-ECD919EB8DA7}"/>
    <cellStyle name="Output 2 3 3 3" xfId="26935" xr:uid="{00000000-0005-0000-0000-000024650000}"/>
    <cellStyle name="Output 2 3 3 3 2" xfId="31696" xr:uid="{D0BCD7A6-9F34-49E2-9EF6-C7B97AF4F58A}"/>
    <cellStyle name="Output 2 3 3 4" xfId="26255" xr:uid="{00000000-0005-0000-0000-000025650000}"/>
    <cellStyle name="Output 2 3 3 4 2" xfId="31043" xr:uid="{E1B8F8F2-9175-4034-A52F-572856526372}"/>
    <cellStyle name="Output 2 3 3 5" xfId="29440" xr:uid="{00000000-0005-0000-0000-000026650000}"/>
    <cellStyle name="Output 2 3 3 6" xfId="30626" xr:uid="{E6E4ADC8-35B2-4189-86F7-4FF2BC0F32AA}"/>
    <cellStyle name="Output 2 3 4" xfId="27094" xr:uid="{00000000-0005-0000-0000-000027650000}"/>
    <cellStyle name="Output 2 3 4 2" xfId="31818" xr:uid="{EB9029CB-4289-4ED1-BDCE-F8F177FFFB23}"/>
    <cellStyle name="Output 2 3 5" xfId="26869" xr:uid="{00000000-0005-0000-0000-000028650000}"/>
    <cellStyle name="Output 2 3 5 2" xfId="31630" xr:uid="{8C63DAA5-7C90-4FE2-9B3A-1E1256155BBD}"/>
    <cellStyle name="Output 2 3 6" xfId="26773" xr:uid="{00000000-0005-0000-0000-000029650000}"/>
    <cellStyle name="Output 2 3 6 2" xfId="31534" xr:uid="{4A78A448-212B-4BCB-B418-29671EAE3C33}"/>
    <cellStyle name="Output 2 3 7" xfId="29438" xr:uid="{00000000-0005-0000-0000-00002A650000}"/>
    <cellStyle name="Output 2 3 8" xfId="30271" xr:uid="{9354A33E-795C-4F12-ADF4-6C4A62A2D882}"/>
    <cellStyle name="Output 2 4" xfId="24697" xr:uid="{00000000-0005-0000-0000-00002B650000}"/>
    <cellStyle name="Output 2 4 2" xfId="25449" xr:uid="{00000000-0005-0000-0000-00002C650000}"/>
    <cellStyle name="Output 2 4 2 2" xfId="27603" xr:uid="{00000000-0005-0000-0000-00002D650000}"/>
    <cellStyle name="Output 2 4 2 2 2" xfId="32194" xr:uid="{CD85BCC6-FB4B-4551-B1B7-A75E086A2075}"/>
    <cellStyle name="Output 2 4 2 3" xfId="26992" xr:uid="{00000000-0005-0000-0000-00002E650000}"/>
    <cellStyle name="Output 2 4 2 3 2" xfId="31753" xr:uid="{F395A3D3-FC9D-4659-9F6A-3DFA14EBD1F0}"/>
    <cellStyle name="Output 2 4 2 4" xfId="26102" xr:uid="{00000000-0005-0000-0000-00002F650000}"/>
    <cellStyle name="Output 2 4 2 4 2" xfId="30892" xr:uid="{AA21A2CC-50B5-4116-8051-5D63C1302F95}"/>
    <cellStyle name="Output 2 4 2 5" xfId="29442" xr:uid="{00000000-0005-0000-0000-000030650000}"/>
    <cellStyle name="Output 2 4 2 6" xfId="30607" xr:uid="{CCCE90C1-4F56-4E62-A061-680004B6F070}"/>
    <cellStyle name="Output 2 4 3" xfId="25656" xr:uid="{00000000-0005-0000-0000-000031650000}"/>
    <cellStyle name="Output 2 4 3 2" xfId="27809" xr:uid="{00000000-0005-0000-0000-000032650000}"/>
    <cellStyle name="Output 2 4 3 2 2" xfId="32396" xr:uid="{82BCBA83-1C2F-4B29-BBE8-DF83E4A4E6E8}"/>
    <cellStyle name="Output 2 4 3 3" xfId="26485" xr:uid="{00000000-0005-0000-0000-000033650000}"/>
    <cellStyle name="Output 2 4 3 3 2" xfId="31273" xr:uid="{926CC5B5-ACD6-4EE0-9B93-BE6FA8452264}"/>
    <cellStyle name="Output 2 4 3 4" xfId="26957" xr:uid="{00000000-0005-0000-0000-000034650000}"/>
    <cellStyle name="Output 2 4 3 4 2" xfId="31718" xr:uid="{0C68EBE7-BCFE-454F-8453-DD84AA81D203}"/>
    <cellStyle name="Output 2 4 3 5" xfId="29443" xr:uid="{00000000-0005-0000-0000-000035650000}"/>
    <cellStyle name="Output 2 4 3 6" xfId="30650" xr:uid="{8F3220D4-05D7-4535-A80E-A57CE1391C87}"/>
    <cellStyle name="Output 2 4 4" xfId="27286" xr:uid="{00000000-0005-0000-0000-000036650000}"/>
    <cellStyle name="Output 2 4 4 2" xfId="31918" xr:uid="{48C23195-ECED-448C-8E64-D6C61A702FD7}"/>
    <cellStyle name="Output 2 4 5" xfId="26409" xr:uid="{00000000-0005-0000-0000-000037650000}"/>
    <cellStyle name="Output 2 4 5 2" xfId="31197" xr:uid="{0EBE9790-BD72-4B9F-BE16-5E68E8292592}"/>
    <cellStyle name="Output 2 4 6" xfId="26847" xr:uid="{00000000-0005-0000-0000-000038650000}"/>
    <cellStyle name="Output 2 4 6 2" xfId="31608" xr:uid="{5CEC1917-AE41-422C-A25C-DF2A7D0B04E5}"/>
    <cellStyle name="Output 2 4 7" xfId="29441" xr:uid="{00000000-0005-0000-0000-000039650000}"/>
    <cellStyle name="Output 2 4 8" xfId="30358" xr:uid="{F82DAA41-799F-4F63-8A3D-BF6B06974826}"/>
    <cellStyle name="Output 2 5" xfId="25082" xr:uid="{00000000-0005-0000-0000-00003A650000}"/>
    <cellStyle name="Output 2 5 2" xfId="25315" xr:uid="{00000000-0005-0000-0000-00003B650000}"/>
    <cellStyle name="Output 2 5 2 2" xfId="27469" xr:uid="{00000000-0005-0000-0000-00003C650000}"/>
    <cellStyle name="Output 2 5 2 2 2" xfId="32060" xr:uid="{3A41A2E8-B23F-4EB7-BE7E-F4DB293C517F}"/>
    <cellStyle name="Output 2 5 2 3" xfId="26058" xr:uid="{00000000-0005-0000-0000-00003D650000}"/>
    <cellStyle name="Output 2 5 2 3 2" xfId="30848" xr:uid="{58E4DA8C-8A37-484E-9E16-5D5635F07810}"/>
    <cellStyle name="Output 2 5 2 4" xfId="26212" xr:uid="{00000000-0005-0000-0000-00003E650000}"/>
    <cellStyle name="Output 2 5 2 4 2" xfId="31000" xr:uid="{C7D2B977-2C02-4A8E-8825-75872F3D2C88}"/>
    <cellStyle name="Output 2 5 2 5" xfId="29445" xr:uid="{00000000-0005-0000-0000-00003F650000}"/>
    <cellStyle name="Output 2 5 2 6" xfId="30473" xr:uid="{1E60F62C-E412-4069-BFA9-D7298A664340}"/>
    <cellStyle name="Output 2 5 3" xfId="25682" xr:uid="{00000000-0005-0000-0000-000040650000}"/>
    <cellStyle name="Output 2 5 3 2" xfId="27835" xr:uid="{00000000-0005-0000-0000-000041650000}"/>
    <cellStyle name="Output 2 5 3 2 2" xfId="32422" xr:uid="{86069AF5-1C14-4489-AF6A-91D062A1CD7C}"/>
    <cellStyle name="Output 2 5 3 3" xfId="26523" xr:uid="{00000000-0005-0000-0000-000042650000}"/>
    <cellStyle name="Output 2 5 3 3 2" xfId="31310" xr:uid="{94A0CF26-9178-4C4D-B8F5-FD4A132E2E0D}"/>
    <cellStyle name="Output 2 5 3 4" xfId="26392" xr:uid="{00000000-0005-0000-0000-000043650000}"/>
    <cellStyle name="Output 2 5 3 4 2" xfId="31180" xr:uid="{211B2FC6-FCE1-4CC7-9DD1-05E0B52528F1}"/>
    <cellStyle name="Output 2 5 3 5" xfId="29446" xr:uid="{00000000-0005-0000-0000-000044650000}"/>
    <cellStyle name="Output 2 5 3 6" xfId="30676" xr:uid="{20ADCEBA-4334-4034-B238-F25CEA94F99E}"/>
    <cellStyle name="Output 2 5 4" xfId="27369" xr:uid="{00000000-0005-0000-0000-000045650000}"/>
    <cellStyle name="Output 2 5 4 2" xfId="31967" xr:uid="{CA8F1301-F33E-4BFE-94CB-2B1E76F724F4}"/>
    <cellStyle name="Output 2 5 5" xfId="26200" xr:uid="{00000000-0005-0000-0000-000046650000}"/>
    <cellStyle name="Output 2 5 5 2" xfId="30988" xr:uid="{FF2D9FD0-8B34-4DCA-9FE6-36B522F41A56}"/>
    <cellStyle name="Output 2 5 6" xfId="26703" xr:uid="{00000000-0005-0000-0000-000047650000}"/>
    <cellStyle name="Output 2 5 6 2" xfId="31465" xr:uid="{65E6843C-F6BA-4F64-8E7D-97B8343C9476}"/>
    <cellStyle name="Output 2 5 7" xfId="29444" xr:uid="{00000000-0005-0000-0000-000048650000}"/>
    <cellStyle name="Output 2 5 8" xfId="30384" xr:uid="{2C97CDBD-11DA-4E6F-870A-5A8EA0B5FB0B}"/>
    <cellStyle name="Output 20" xfId="3396" xr:uid="{00000000-0005-0000-0000-000049650000}"/>
    <cellStyle name="Output 21" xfId="3397" xr:uid="{00000000-0005-0000-0000-00004A650000}"/>
    <cellStyle name="Output 22" xfId="3398" xr:uid="{00000000-0005-0000-0000-00004B650000}"/>
    <cellStyle name="Output 23" xfId="3399" xr:uid="{00000000-0005-0000-0000-00004C650000}"/>
    <cellStyle name="Output 24" xfId="3400" xr:uid="{00000000-0005-0000-0000-00004D650000}"/>
    <cellStyle name="Output 25" xfId="3401" xr:uid="{00000000-0005-0000-0000-00004E650000}"/>
    <cellStyle name="Output 26" xfId="3402" xr:uid="{00000000-0005-0000-0000-00004F650000}"/>
    <cellStyle name="Output 27" xfId="3403" xr:uid="{00000000-0005-0000-0000-000050650000}"/>
    <cellStyle name="Output 28" xfId="3404" xr:uid="{00000000-0005-0000-0000-000051650000}"/>
    <cellStyle name="Output 29" xfId="3405" xr:uid="{00000000-0005-0000-0000-000052650000}"/>
    <cellStyle name="Output 3" xfId="3406" xr:uid="{00000000-0005-0000-0000-000053650000}"/>
    <cellStyle name="Output 3 2" xfId="24205" xr:uid="{00000000-0005-0000-0000-000054650000}"/>
    <cellStyle name="Output 3 2 10" xfId="30274" xr:uid="{2A26B280-7488-48E8-BEEC-3698104A611B}"/>
    <cellStyle name="Output 3 2 2" xfId="24694" xr:uid="{00000000-0005-0000-0000-000055650000}"/>
    <cellStyle name="Output 3 2 2 2" xfId="25331" xr:uid="{00000000-0005-0000-0000-000056650000}"/>
    <cellStyle name="Output 3 2 2 2 2" xfId="27485" xr:uid="{00000000-0005-0000-0000-000057650000}"/>
    <cellStyle name="Output 3 2 2 2 2 2" xfId="32076" xr:uid="{7488E164-165C-4FC0-8719-C5C830A42DA8}"/>
    <cellStyle name="Output 3 2 2 2 3" xfId="26341" xr:uid="{00000000-0005-0000-0000-000058650000}"/>
    <cellStyle name="Output 3 2 2 2 3 2" xfId="31129" xr:uid="{B9CC4A1A-CCA9-47C5-B9E2-B3089B2E1083}"/>
    <cellStyle name="Output 3 2 2 2 4" xfId="26432" xr:uid="{00000000-0005-0000-0000-000059650000}"/>
    <cellStyle name="Output 3 2 2 2 4 2" xfId="31220" xr:uid="{231FEAFC-A004-4C0B-B413-1F737E918851}"/>
    <cellStyle name="Output 3 2 2 2 5" xfId="29449" xr:uid="{00000000-0005-0000-0000-00005A650000}"/>
    <cellStyle name="Output 3 2 2 2 6" xfId="30489" xr:uid="{1F4FBDD3-793D-4AE0-9550-AD6D1CF79B19}"/>
    <cellStyle name="Output 3 2 2 3" xfId="25653" xr:uid="{00000000-0005-0000-0000-00005B650000}"/>
    <cellStyle name="Output 3 2 2 3 2" xfId="27806" xr:uid="{00000000-0005-0000-0000-00005C650000}"/>
    <cellStyle name="Output 3 2 2 3 2 2" xfId="32393" xr:uid="{B540B139-07BB-494C-A263-E7D8FA64B388}"/>
    <cellStyle name="Output 3 2 2 3 3" xfId="26934" xr:uid="{00000000-0005-0000-0000-00005D650000}"/>
    <cellStyle name="Output 3 2 2 3 3 2" xfId="31695" xr:uid="{26960753-72BC-4623-8FE4-A992FD56D167}"/>
    <cellStyle name="Output 3 2 2 3 4" xfId="26399" xr:uid="{00000000-0005-0000-0000-00005E650000}"/>
    <cellStyle name="Output 3 2 2 3 4 2" xfId="31187" xr:uid="{15E5EAAB-B889-427B-AAC8-6D751F819B8B}"/>
    <cellStyle name="Output 3 2 2 3 5" xfId="29450" xr:uid="{00000000-0005-0000-0000-00005F650000}"/>
    <cellStyle name="Output 3 2 2 3 6" xfId="30647" xr:uid="{B91BD17B-ECB3-4665-BD8D-4EE939A94E7F}"/>
    <cellStyle name="Output 3 2 2 4" xfId="27283" xr:uid="{00000000-0005-0000-0000-000060650000}"/>
    <cellStyle name="Output 3 2 2 4 2" xfId="31915" xr:uid="{FB840D84-094C-46CA-B4EA-521E7A952A9C}"/>
    <cellStyle name="Output 3 2 2 5" xfId="26868" xr:uid="{00000000-0005-0000-0000-000061650000}"/>
    <cellStyle name="Output 3 2 2 5 2" xfId="31629" xr:uid="{DED0EA34-B1CE-4CAA-BBD3-8F5462FFCD4F}"/>
    <cellStyle name="Output 3 2 2 6" xfId="26265" xr:uid="{00000000-0005-0000-0000-000062650000}"/>
    <cellStyle name="Output 3 2 2 6 2" xfId="31053" xr:uid="{214EA071-C6DC-42B3-B298-DD2456BD84E8}"/>
    <cellStyle name="Output 3 2 2 7" xfId="29448" xr:uid="{00000000-0005-0000-0000-000063650000}"/>
    <cellStyle name="Output 3 2 2 8" xfId="30355" xr:uid="{750F99AB-77EC-47B7-92A0-80A4AA3C7D43}"/>
    <cellStyle name="Output 3 2 3" xfId="25085" xr:uid="{00000000-0005-0000-0000-000064650000}"/>
    <cellStyle name="Output 3 2 3 2" xfId="25430" xr:uid="{00000000-0005-0000-0000-000065650000}"/>
    <cellStyle name="Output 3 2 3 2 2" xfId="27584" xr:uid="{00000000-0005-0000-0000-000066650000}"/>
    <cellStyle name="Output 3 2 3 2 2 2" xfId="32175" xr:uid="{1913AC51-FC5F-43F2-85E3-D6445D7E3670}"/>
    <cellStyle name="Output 3 2 3 2 3" xfId="26991" xr:uid="{00000000-0005-0000-0000-000067650000}"/>
    <cellStyle name="Output 3 2 3 2 3 2" xfId="31752" xr:uid="{3198CCE6-AFB6-4E91-AB1B-6C745F9D5612}"/>
    <cellStyle name="Output 3 2 3 2 4" xfId="26165" xr:uid="{00000000-0005-0000-0000-000068650000}"/>
    <cellStyle name="Output 3 2 3 2 4 2" xfId="30954" xr:uid="{E9BD259B-4935-471A-9823-6DE778B9AEE7}"/>
    <cellStyle name="Output 3 2 3 2 5" xfId="29452" xr:uid="{00000000-0005-0000-0000-000069650000}"/>
    <cellStyle name="Output 3 2 3 2 6" xfId="30588" xr:uid="{765E5510-97E0-455B-94C2-6D814FCFDD81}"/>
    <cellStyle name="Output 3 2 3 3" xfId="25685" xr:uid="{00000000-0005-0000-0000-00006A650000}"/>
    <cellStyle name="Output 3 2 3 3 2" xfId="27838" xr:uid="{00000000-0005-0000-0000-00006B650000}"/>
    <cellStyle name="Output 3 2 3 3 2 2" xfId="32425" xr:uid="{EAB84C10-6A23-4711-ADE4-726A1767C049}"/>
    <cellStyle name="Output 3 2 3 3 3" xfId="26484" xr:uid="{00000000-0005-0000-0000-00006C650000}"/>
    <cellStyle name="Output 3 2 3 3 3 2" xfId="31272" xr:uid="{D2FE5DE9-56E4-4942-AF2E-D2E292D3B07C}"/>
    <cellStyle name="Output 3 2 3 3 4" xfId="26767" xr:uid="{00000000-0005-0000-0000-00006D650000}"/>
    <cellStyle name="Output 3 2 3 3 4 2" xfId="31528" xr:uid="{32D30248-4F2A-49B1-8BDC-09FD9F178375}"/>
    <cellStyle name="Output 3 2 3 3 5" xfId="29453" xr:uid="{00000000-0005-0000-0000-00006E650000}"/>
    <cellStyle name="Output 3 2 3 3 6" xfId="30679" xr:uid="{897A3A4E-07FC-4BF2-8F34-F205721D4106}"/>
    <cellStyle name="Output 3 2 3 4" xfId="27372" xr:uid="{00000000-0005-0000-0000-00006F650000}"/>
    <cellStyle name="Output 3 2 3 4 2" xfId="31970" xr:uid="{D5A78513-BDCE-46D0-83D6-DFFFF1A9E5DA}"/>
    <cellStyle name="Output 3 2 3 5" xfId="26408" xr:uid="{00000000-0005-0000-0000-000070650000}"/>
    <cellStyle name="Output 3 2 3 5 2" xfId="31196" xr:uid="{E4E7E666-E712-4A12-90B2-83A094DBC823}"/>
    <cellStyle name="Output 3 2 3 6" xfId="26420" xr:uid="{00000000-0005-0000-0000-000071650000}"/>
    <cellStyle name="Output 3 2 3 6 2" xfId="31208" xr:uid="{B94CC6A0-9633-4AF4-B484-6E6470A37FF4}"/>
    <cellStyle name="Output 3 2 3 7" xfId="29451" xr:uid="{00000000-0005-0000-0000-000072650000}"/>
    <cellStyle name="Output 3 2 3 8" xfId="30387" xr:uid="{2230571B-5B73-4BB7-8E28-64CC922C59DF}"/>
    <cellStyle name="Output 3 2 4" xfId="25291" xr:uid="{00000000-0005-0000-0000-000073650000}"/>
    <cellStyle name="Output 3 2 4 2" xfId="27446" xr:uid="{00000000-0005-0000-0000-000074650000}"/>
    <cellStyle name="Output 3 2 4 2 2" xfId="32041" xr:uid="{7F54BF0E-98B5-4F73-9029-6B69E2F0BC81}"/>
    <cellStyle name="Output 3 2 4 3" xfId="26199" xr:uid="{00000000-0005-0000-0000-000075650000}"/>
    <cellStyle name="Output 3 2 4 3 2" xfId="30987" xr:uid="{3B625F35-42BC-4A47-8B58-CC654B1E2728}"/>
    <cellStyle name="Output 3 2 4 4" xfId="26296" xr:uid="{00000000-0005-0000-0000-000076650000}"/>
    <cellStyle name="Output 3 2 4 4 2" xfId="31084" xr:uid="{CDC8CFFF-F326-4E58-89AD-4F8622800C29}"/>
    <cellStyle name="Output 3 2 4 5" xfId="29454" xr:uid="{00000000-0005-0000-0000-000077650000}"/>
    <cellStyle name="Output 3 2 4 6" xfId="30454" xr:uid="{2C3EE11F-AACE-426F-B9F7-85E4717F405C}"/>
    <cellStyle name="Output 3 2 5" xfId="25572" xr:uid="{00000000-0005-0000-0000-000078650000}"/>
    <cellStyle name="Output 3 2 5 2" xfId="27725" xr:uid="{00000000-0005-0000-0000-000079650000}"/>
    <cellStyle name="Output 3 2 5 2 2" xfId="32312" xr:uid="{7E82A170-1061-46C8-9CC7-B8484D222DD6}"/>
    <cellStyle name="Output 3 2 5 3" xfId="26057" xr:uid="{00000000-0005-0000-0000-00007A650000}"/>
    <cellStyle name="Output 3 2 5 3 2" xfId="30847" xr:uid="{36CF5F33-5340-475C-9FB7-A12BAB757050}"/>
    <cellStyle name="Output 3 2 5 4" xfId="26825" xr:uid="{00000000-0005-0000-0000-00007B650000}"/>
    <cellStyle name="Output 3 2 5 4 2" xfId="31586" xr:uid="{7364EC0A-6276-45A3-82A3-65BE6E6B5131}"/>
    <cellStyle name="Output 3 2 5 5" xfId="29455" xr:uid="{00000000-0005-0000-0000-00007C650000}"/>
    <cellStyle name="Output 3 2 5 6" xfId="30629" xr:uid="{3C522C64-083D-4E48-843A-535AAF799AA3}"/>
    <cellStyle name="Output 3 2 6" xfId="27097" xr:uid="{00000000-0005-0000-0000-00007D650000}"/>
    <cellStyle name="Output 3 2 6 2" xfId="31821" xr:uid="{08BF1CD2-E348-417E-8BA8-BBE6E1888014}"/>
    <cellStyle name="Output 3 2 7" xfId="26273" xr:uid="{00000000-0005-0000-0000-00007E650000}"/>
    <cellStyle name="Output 3 2 7 2" xfId="31061" xr:uid="{AE7F386A-B039-4966-8C61-F6A00BDA3C53}"/>
    <cellStyle name="Output 3 2 8" xfId="27087" xr:uid="{00000000-0005-0000-0000-00007F650000}"/>
    <cellStyle name="Output 3 2 8 2" xfId="31811" xr:uid="{1E84F317-68CA-4F0A-B1F9-0469F25ADC7B}"/>
    <cellStyle name="Output 3 2 9" xfId="29447" xr:uid="{00000000-0005-0000-0000-000080650000}"/>
    <cellStyle name="Output 3 3" xfId="24204" xr:uid="{00000000-0005-0000-0000-000081650000}"/>
    <cellStyle name="Output 3 3 2" xfId="25301" xr:uid="{00000000-0005-0000-0000-000082650000}"/>
    <cellStyle name="Output 3 3 2 2" xfId="27455" xr:uid="{00000000-0005-0000-0000-000083650000}"/>
    <cellStyle name="Output 3 3 2 2 2" xfId="32047" xr:uid="{C803FF56-7B9C-441A-94D7-ED884C5B05B8}"/>
    <cellStyle name="Output 3 3 2 3" xfId="26687" xr:uid="{00000000-0005-0000-0000-000084650000}"/>
    <cellStyle name="Output 3 3 2 3 2" xfId="31449" xr:uid="{6B72D10E-0749-4E86-8B4C-AE6368250C62}"/>
    <cellStyle name="Output 3 3 2 4" xfId="26316" xr:uid="{00000000-0005-0000-0000-000085650000}"/>
    <cellStyle name="Output 3 3 2 4 2" xfId="31104" xr:uid="{78F5F27F-897E-4424-AF70-8E28126EC55C}"/>
    <cellStyle name="Output 3 3 2 5" xfId="29457" xr:uid="{00000000-0005-0000-0000-000086650000}"/>
    <cellStyle name="Output 3 3 2 6" xfId="30460" xr:uid="{9FB50E51-8A5D-4CE8-93E0-C582F8739036}"/>
    <cellStyle name="Output 3 3 3" xfId="25571" xr:uid="{00000000-0005-0000-0000-000087650000}"/>
    <cellStyle name="Output 3 3 3 2" xfId="27724" xr:uid="{00000000-0005-0000-0000-000088650000}"/>
    <cellStyle name="Output 3 3 3 2 2" xfId="32311" xr:uid="{0EA6FF67-D80D-47CE-9F04-8EE7A86D3730}"/>
    <cellStyle name="Output 3 3 3 3" xfId="26757" xr:uid="{00000000-0005-0000-0000-000089650000}"/>
    <cellStyle name="Output 3 3 3 3 2" xfId="31518" xr:uid="{B8523047-418B-4933-9F57-776516022B48}"/>
    <cellStyle name="Output 3 3 3 4" xfId="26348" xr:uid="{00000000-0005-0000-0000-00008A650000}"/>
    <cellStyle name="Output 3 3 3 4 2" xfId="31136" xr:uid="{C17F693D-4336-4715-A4F7-2DACC21033FB}"/>
    <cellStyle name="Output 3 3 3 5" xfId="29458" xr:uid="{00000000-0005-0000-0000-00008B650000}"/>
    <cellStyle name="Output 3 3 3 6" xfId="30628" xr:uid="{494D6980-D536-4258-9851-B766800DF1B1}"/>
    <cellStyle name="Output 3 3 4" xfId="27096" xr:uid="{00000000-0005-0000-0000-00008C650000}"/>
    <cellStyle name="Output 3 3 4 2" xfId="31820" xr:uid="{F76C237F-A817-4B8B-A3B0-75B0B7F4B017}"/>
    <cellStyle name="Output 3 3 5" xfId="26522" xr:uid="{00000000-0005-0000-0000-00008D650000}"/>
    <cellStyle name="Output 3 3 5 2" xfId="31309" xr:uid="{E1574523-B1BB-4A6E-ABF4-53A6648D1EC4}"/>
    <cellStyle name="Output 3 3 6" xfId="26466" xr:uid="{00000000-0005-0000-0000-00008E650000}"/>
    <cellStyle name="Output 3 3 6 2" xfId="31254" xr:uid="{0BAB0FF3-3135-45D5-AE31-9FC3F56F3962}"/>
    <cellStyle name="Output 3 3 7" xfId="29456" xr:uid="{00000000-0005-0000-0000-00008F650000}"/>
    <cellStyle name="Output 3 3 8" xfId="30273" xr:uid="{1AF8186D-D079-48E5-A1A4-352BEF5DD113}"/>
    <cellStyle name="Output 3 4" xfId="24695" xr:uid="{00000000-0005-0000-0000-000090650000}"/>
    <cellStyle name="Output 3 4 2" xfId="25432" xr:uid="{00000000-0005-0000-0000-000091650000}"/>
    <cellStyle name="Output 3 4 2 2" xfId="27586" xr:uid="{00000000-0005-0000-0000-000092650000}"/>
    <cellStyle name="Output 3 4 2 2 2" xfId="32177" xr:uid="{81C6FE3D-C914-40E6-B007-0BA59B66C6BD}"/>
    <cellStyle name="Output 3 4 2 3" xfId="26832" xr:uid="{00000000-0005-0000-0000-000093650000}"/>
    <cellStyle name="Output 3 4 2 3 2" xfId="31593" xr:uid="{3A751743-FAE8-433E-B913-B3701EA15B4E}"/>
    <cellStyle name="Output 3 4 2 4" xfId="27301" xr:uid="{00000000-0005-0000-0000-000094650000}"/>
    <cellStyle name="Output 3 4 2 4 2" xfId="31930" xr:uid="{F3EAE003-843F-4ACF-9404-DF4A2D5BA588}"/>
    <cellStyle name="Output 3 4 2 5" xfId="29460" xr:uid="{00000000-0005-0000-0000-000095650000}"/>
    <cellStyle name="Output 3 4 2 6" xfId="30590" xr:uid="{E8F0EF19-6CF6-4900-929F-83575BBEB9DB}"/>
    <cellStyle name="Output 3 4 3" xfId="25654" xr:uid="{00000000-0005-0000-0000-000096650000}"/>
    <cellStyle name="Output 3 4 3 2" xfId="27807" xr:uid="{00000000-0005-0000-0000-000097650000}"/>
    <cellStyle name="Output 3 4 3 2 2" xfId="32394" xr:uid="{B3E4D8F2-166F-4620-AD96-A36C253866D1}"/>
    <cellStyle name="Output 3 4 3 3" xfId="26304" xr:uid="{00000000-0005-0000-0000-000098650000}"/>
    <cellStyle name="Output 3 4 3 3 2" xfId="31092" xr:uid="{FA4903FC-7DC3-462B-BD8C-158A1958EB1D}"/>
    <cellStyle name="Output 3 4 3 4" xfId="26986" xr:uid="{00000000-0005-0000-0000-000099650000}"/>
    <cellStyle name="Output 3 4 3 4 2" xfId="31747" xr:uid="{2637A803-BD27-4E34-85B3-A55DCFE95A00}"/>
    <cellStyle name="Output 3 4 3 5" xfId="29461" xr:uid="{00000000-0005-0000-0000-00009A650000}"/>
    <cellStyle name="Output 3 4 3 6" xfId="30648" xr:uid="{9E888293-0095-41C1-91B2-C09C7DE1D941}"/>
    <cellStyle name="Output 3 4 4" xfId="27284" xr:uid="{00000000-0005-0000-0000-00009B650000}"/>
    <cellStyle name="Output 3 4 4 2" xfId="31916" xr:uid="{FE46649B-CB34-4FAF-8B60-ECB0661E523F}"/>
    <cellStyle name="Output 3 4 5" xfId="26232" xr:uid="{00000000-0005-0000-0000-00009C650000}"/>
    <cellStyle name="Output 3 4 5 2" xfId="31020" xr:uid="{068FBBF0-A979-40FB-A401-D0522AB9EADA}"/>
    <cellStyle name="Output 3 4 6" xfId="26211" xr:uid="{00000000-0005-0000-0000-00009D650000}"/>
    <cellStyle name="Output 3 4 6 2" xfId="30999" xr:uid="{BD79A07E-B0FA-4724-A695-1F9D4DB10FCB}"/>
    <cellStyle name="Output 3 4 7" xfId="29459" xr:uid="{00000000-0005-0000-0000-00009E650000}"/>
    <cellStyle name="Output 3 4 8" xfId="30356" xr:uid="{F7781ABB-DB4B-4D71-971F-E8C1830B035F}"/>
    <cellStyle name="Output 3 5" xfId="25084" xr:uid="{00000000-0005-0000-0000-00009F650000}"/>
    <cellStyle name="Output 3 5 2" xfId="25329" xr:uid="{00000000-0005-0000-0000-0000A0650000}"/>
    <cellStyle name="Output 3 5 2 2" xfId="27483" xr:uid="{00000000-0005-0000-0000-0000A1650000}"/>
    <cellStyle name="Output 3 5 2 2 2" xfId="32074" xr:uid="{1529C002-ACB6-4989-A679-774A0D144E00}"/>
    <cellStyle name="Output 3 5 2 3" xfId="26372" xr:uid="{00000000-0005-0000-0000-0000A2650000}"/>
    <cellStyle name="Output 3 5 2 3 2" xfId="31160" xr:uid="{4D95A527-CD61-4B65-8DBE-A5343F355E80}"/>
    <cellStyle name="Output 3 5 2 4" xfId="26492" xr:uid="{00000000-0005-0000-0000-0000A3650000}"/>
    <cellStyle name="Output 3 5 2 4 2" xfId="31280" xr:uid="{6405EFEA-4612-4912-90F6-172B0F641266}"/>
    <cellStyle name="Output 3 5 2 5" xfId="29463" xr:uid="{00000000-0005-0000-0000-0000A4650000}"/>
    <cellStyle name="Output 3 5 2 6" xfId="30487" xr:uid="{2F1D2CF8-4A5A-4B80-BC9C-6A709A98C3D6}"/>
    <cellStyle name="Output 3 5 3" xfId="25684" xr:uid="{00000000-0005-0000-0000-0000A5650000}"/>
    <cellStyle name="Output 3 5 3 2" xfId="27837" xr:uid="{00000000-0005-0000-0000-0000A6650000}"/>
    <cellStyle name="Output 3 5 3 2 2" xfId="32424" xr:uid="{B18842C8-1A6B-445F-81B7-745147CAC293}"/>
    <cellStyle name="Output 3 5 3 3" xfId="26960" xr:uid="{00000000-0005-0000-0000-0000A7650000}"/>
    <cellStyle name="Output 3 5 3 3 2" xfId="31721" xr:uid="{078F0A7D-D752-40D2-8235-CEBEEA733443}"/>
    <cellStyle name="Output 3 5 3 4" xfId="26791" xr:uid="{00000000-0005-0000-0000-0000A8650000}"/>
    <cellStyle name="Output 3 5 3 4 2" xfId="31552" xr:uid="{2225498F-B6B3-45D4-8F63-2B64E0C41753}"/>
    <cellStyle name="Output 3 5 3 5" xfId="29464" xr:uid="{00000000-0005-0000-0000-0000A9650000}"/>
    <cellStyle name="Output 3 5 3 6" xfId="30678" xr:uid="{7504C6FB-025E-4EE0-B5A6-D04CA296E85E}"/>
    <cellStyle name="Output 3 5 4" xfId="27371" xr:uid="{00000000-0005-0000-0000-0000AA650000}"/>
    <cellStyle name="Output 3 5 4 2" xfId="31969" xr:uid="{042F8C3A-CA1B-4967-AA75-DDA77369E675}"/>
    <cellStyle name="Output 3 5 5" xfId="26898" xr:uid="{00000000-0005-0000-0000-0000AB650000}"/>
    <cellStyle name="Output 3 5 5 2" xfId="31659" xr:uid="{8B426CCF-9543-409D-A8B7-6454DE4CF4E0}"/>
    <cellStyle name="Output 3 5 6" xfId="26512" xr:uid="{00000000-0005-0000-0000-0000AC650000}"/>
    <cellStyle name="Output 3 5 6 2" xfId="31300" xr:uid="{597020EC-C5D3-4EEC-8C65-914C04CF3456}"/>
    <cellStyle name="Output 3 5 7" xfId="29462" xr:uid="{00000000-0005-0000-0000-0000AD650000}"/>
    <cellStyle name="Output 3 5 8" xfId="30386" xr:uid="{A4AB3468-99B1-4BFD-8456-D4C429C5BF66}"/>
    <cellStyle name="Output 30" xfId="3407" xr:uid="{00000000-0005-0000-0000-0000AE650000}"/>
    <cellStyle name="Output 31" xfId="3408" xr:uid="{00000000-0005-0000-0000-0000AF650000}"/>
    <cellStyle name="Output 32" xfId="3409" xr:uid="{00000000-0005-0000-0000-0000B0650000}"/>
    <cellStyle name="Output 33" xfId="3410" xr:uid="{00000000-0005-0000-0000-0000B1650000}"/>
    <cellStyle name="Output 34" xfId="3411" xr:uid="{00000000-0005-0000-0000-0000B2650000}"/>
    <cellStyle name="Output 35" xfId="3412" xr:uid="{00000000-0005-0000-0000-0000B3650000}"/>
    <cellStyle name="Output 36" xfId="3413" xr:uid="{00000000-0005-0000-0000-0000B4650000}"/>
    <cellStyle name="Output 37" xfId="3414" xr:uid="{00000000-0005-0000-0000-0000B5650000}"/>
    <cellStyle name="Output 38" xfId="3415" xr:uid="{00000000-0005-0000-0000-0000B6650000}"/>
    <cellStyle name="Output 39" xfId="3416" xr:uid="{00000000-0005-0000-0000-0000B7650000}"/>
    <cellStyle name="Output 4" xfId="3417" xr:uid="{00000000-0005-0000-0000-0000B8650000}"/>
    <cellStyle name="Output 4 2" xfId="24206" xr:uid="{00000000-0005-0000-0000-0000B9650000}"/>
    <cellStyle name="Output 4 2 2" xfId="25373" xr:uid="{00000000-0005-0000-0000-0000BA650000}"/>
    <cellStyle name="Output 4 2 2 2" xfId="27527" xr:uid="{00000000-0005-0000-0000-0000BB650000}"/>
    <cellStyle name="Output 4 2 2 2 2" xfId="32118" xr:uid="{3D8A2EC9-FCDE-4402-8C54-7AD770E4D412}"/>
    <cellStyle name="Output 4 2 2 3" xfId="26521" xr:uid="{00000000-0005-0000-0000-0000BC650000}"/>
    <cellStyle name="Output 4 2 2 3 2" xfId="31308" xr:uid="{190E44AD-0DCE-48A8-9E6D-35F49CC8A774}"/>
    <cellStyle name="Output 4 2 2 4" xfId="26505" xr:uid="{00000000-0005-0000-0000-0000BD650000}"/>
    <cellStyle name="Output 4 2 2 4 2" xfId="31293" xr:uid="{20A711CF-F736-4C95-BB93-576C4D81ABBB}"/>
    <cellStyle name="Output 4 2 2 5" xfId="29466" xr:uid="{00000000-0005-0000-0000-0000BE650000}"/>
    <cellStyle name="Output 4 2 2 6" xfId="30531" xr:uid="{E73A6EAC-057F-4752-8B55-F733F1A02183}"/>
    <cellStyle name="Output 4 2 3" xfId="25573" xr:uid="{00000000-0005-0000-0000-0000BF650000}"/>
    <cellStyle name="Output 4 2 3 2" xfId="27726" xr:uid="{00000000-0005-0000-0000-0000C0650000}"/>
    <cellStyle name="Output 4 2 3 2 2" xfId="32313" xr:uid="{8EBCF177-B770-443A-A1D9-8B52CB9E0BFE}"/>
    <cellStyle name="Output 4 2 3 3" xfId="26686" xr:uid="{00000000-0005-0000-0000-0000C1650000}"/>
    <cellStyle name="Output 4 2 3 3 2" xfId="31448" xr:uid="{47501D18-58D2-4C58-A9F1-30B97789C270}"/>
    <cellStyle name="Output 4 2 3 4" xfId="26731" xr:uid="{00000000-0005-0000-0000-0000C2650000}"/>
    <cellStyle name="Output 4 2 3 4 2" xfId="31492" xr:uid="{1A71CF52-4D4E-4EFA-9B90-F80838774782}"/>
    <cellStyle name="Output 4 2 3 5" xfId="29467" xr:uid="{00000000-0005-0000-0000-0000C3650000}"/>
    <cellStyle name="Output 4 2 3 6" xfId="30630" xr:uid="{F68B1B98-EE55-44A1-940C-EE7BE2ACFADB}"/>
    <cellStyle name="Output 4 2 4" xfId="27098" xr:uid="{00000000-0005-0000-0000-0000C4650000}"/>
    <cellStyle name="Output 4 2 4 2" xfId="31822" xr:uid="{E9F8F9BB-95C6-4E2E-BC5A-9BBA70910C39}"/>
    <cellStyle name="Output 4 2 5" xfId="26056" xr:uid="{00000000-0005-0000-0000-0000C5650000}"/>
    <cellStyle name="Output 4 2 5 2" xfId="30846" xr:uid="{B527F1C7-BF9A-4B99-8E25-4851191FC4E5}"/>
    <cellStyle name="Output 4 2 6" xfId="26431" xr:uid="{00000000-0005-0000-0000-0000C6650000}"/>
    <cellStyle name="Output 4 2 6 2" xfId="31219" xr:uid="{BFA2808E-F39D-4B8A-B9CF-07768CD78273}"/>
    <cellStyle name="Output 4 2 7" xfId="29465" xr:uid="{00000000-0005-0000-0000-0000C7650000}"/>
    <cellStyle name="Output 4 2 8" xfId="30275" xr:uid="{826C8349-8605-4D62-BC9E-794BCE666ACD}"/>
    <cellStyle name="Output 4 3" xfId="24693" xr:uid="{00000000-0005-0000-0000-0000C8650000}"/>
    <cellStyle name="Output 4 3 2" xfId="25417" xr:uid="{00000000-0005-0000-0000-0000C9650000}"/>
    <cellStyle name="Output 4 3 2 2" xfId="27571" xr:uid="{00000000-0005-0000-0000-0000CA650000}"/>
    <cellStyle name="Output 4 3 2 2 2" xfId="32162" xr:uid="{B2A34967-EFC7-45AA-A1EB-8FFABFC11428}"/>
    <cellStyle name="Output 4 3 2 3" xfId="26231" xr:uid="{00000000-0005-0000-0000-0000CB650000}"/>
    <cellStyle name="Output 4 3 2 3 2" xfId="31019" xr:uid="{9DF52E42-47C3-4EBA-A101-A21696FCCC92}"/>
    <cellStyle name="Output 4 3 2 4" xfId="26510" xr:uid="{00000000-0005-0000-0000-0000CC650000}"/>
    <cellStyle name="Output 4 3 2 4 2" xfId="31298" xr:uid="{6F0F686D-5CFB-4027-98EC-BB2A0C242998}"/>
    <cellStyle name="Output 4 3 2 5" xfId="29469" xr:uid="{00000000-0005-0000-0000-0000CD650000}"/>
    <cellStyle name="Output 4 3 2 6" xfId="30575" xr:uid="{F464DB54-45E7-4A63-A500-DF28582A7A0D}"/>
    <cellStyle name="Output 4 3 3" xfId="25652" xr:uid="{00000000-0005-0000-0000-0000CE650000}"/>
    <cellStyle name="Output 4 3 3 2" xfId="27805" xr:uid="{00000000-0005-0000-0000-0000CF650000}"/>
    <cellStyle name="Output 4 3 3 2 2" xfId="32392" xr:uid="{DA04AE6B-EB07-4CB9-831E-23492BFACE35}"/>
    <cellStyle name="Output 4 3 3 3" xfId="26831" xr:uid="{00000000-0005-0000-0000-0000D0650000}"/>
    <cellStyle name="Output 4 3 3 3 2" xfId="31592" xr:uid="{AC92D269-B1F3-4D41-9369-92711CAFE336}"/>
    <cellStyle name="Output 4 3 3 4" xfId="26471" xr:uid="{00000000-0005-0000-0000-0000D1650000}"/>
    <cellStyle name="Output 4 3 3 4 2" xfId="31259" xr:uid="{728FE5C9-8CFC-4E74-B088-EFBE12B47675}"/>
    <cellStyle name="Output 4 3 3 5" xfId="29470" xr:uid="{00000000-0005-0000-0000-0000D2650000}"/>
    <cellStyle name="Output 4 3 3 6" xfId="30646" xr:uid="{600880FF-D840-43D7-B555-9A5957E9C98E}"/>
    <cellStyle name="Output 4 3 4" xfId="27282" xr:uid="{00000000-0005-0000-0000-0000D3650000}"/>
    <cellStyle name="Output 4 3 4 2" xfId="31914" xr:uid="{ABF405BA-82A0-40E9-908A-FB769B4EC3BD}"/>
    <cellStyle name="Output 4 3 5" xfId="26756" xr:uid="{00000000-0005-0000-0000-0000D4650000}"/>
    <cellStyle name="Output 4 3 5 2" xfId="31517" xr:uid="{79CEAE65-F505-44C4-886C-42EA9D4EC755}"/>
    <cellStyle name="Output 4 3 6" xfId="26509" xr:uid="{00000000-0005-0000-0000-0000D5650000}"/>
    <cellStyle name="Output 4 3 6 2" xfId="31297" xr:uid="{33B13523-CE3B-4118-AEA9-7D76BDECF7EC}"/>
    <cellStyle name="Output 4 3 7" xfId="29468" xr:uid="{00000000-0005-0000-0000-0000D6650000}"/>
    <cellStyle name="Output 4 3 8" xfId="30354" xr:uid="{81EE0AEB-7B18-4244-9A58-1DC964FE0D11}"/>
    <cellStyle name="Output 4 4" xfId="25086" xr:uid="{00000000-0005-0000-0000-0000D7650000}"/>
    <cellStyle name="Output 4 4 2" xfId="25346" xr:uid="{00000000-0005-0000-0000-0000D8650000}"/>
    <cellStyle name="Output 4 4 2 2" xfId="27500" xr:uid="{00000000-0005-0000-0000-0000D9650000}"/>
    <cellStyle name="Output 4 4 2 2 2" xfId="32091" xr:uid="{F5BB273A-1729-4705-A182-2D9E5545EF1B}"/>
    <cellStyle name="Output 4 4 2 3" xfId="26902" xr:uid="{00000000-0005-0000-0000-0000DA650000}"/>
    <cellStyle name="Output 4 4 2 3 2" xfId="31663" xr:uid="{9A848791-22C8-41AF-9B3F-3FD903B00D81}"/>
    <cellStyle name="Output 4 4 2 4" xfId="26169" xr:uid="{00000000-0005-0000-0000-0000DB650000}"/>
    <cellStyle name="Output 4 4 2 4 2" xfId="30958" xr:uid="{746A65C9-7C43-4EA7-B6D1-34D12B31B222}"/>
    <cellStyle name="Output 4 4 2 5" xfId="29472" xr:uid="{00000000-0005-0000-0000-0000DC650000}"/>
    <cellStyle name="Output 4 4 2 6" xfId="30504" xr:uid="{4AC06288-C896-4AF1-A601-A2750F14C762}"/>
    <cellStyle name="Output 4 4 3" xfId="25686" xr:uid="{00000000-0005-0000-0000-0000DD650000}"/>
    <cellStyle name="Output 4 4 3 2" xfId="27839" xr:uid="{00000000-0005-0000-0000-0000DE650000}"/>
    <cellStyle name="Output 4 4 3 2 2" xfId="32426" xr:uid="{70CDABC8-4430-410A-9A85-AE636EAB0401}"/>
    <cellStyle name="Output 4 4 3 3" xfId="26376" xr:uid="{00000000-0005-0000-0000-0000DF650000}"/>
    <cellStyle name="Output 4 4 3 3 2" xfId="31164" xr:uid="{15A44261-61B2-4C87-B666-C2E2CFB7E95A}"/>
    <cellStyle name="Output 4 4 3 4" xfId="26091" xr:uid="{00000000-0005-0000-0000-0000E0650000}"/>
    <cellStyle name="Output 4 4 3 4 2" xfId="30881" xr:uid="{903CA740-CD32-4BA3-AFE2-0CF87691D600}"/>
    <cellStyle name="Output 4 4 3 5" xfId="29473" xr:uid="{00000000-0005-0000-0000-0000E1650000}"/>
    <cellStyle name="Output 4 4 3 6" xfId="30680" xr:uid="{F174372C-933D-4A1E-963F-0E87EC0FC3D5}"/>
    <cellStyle name="Output 4 4 4" xfId="27373" xr:uid="{00000000-0005-0000-0000-0000E2650000}"/>
    <cellStyle name="Output 4 4 4 2" xfId="31971" xr:uid="{1153D6D7-83BC-4B17-A8E8-16161C9E2EEF}"/>
    <cellStyle name="Output 4 4 5" xfId="26303" xr:uid="{00000000-0005-0000-0000-0000E3650000}"/>
    <cellStyle name="Output 4 4 5 2" xfId="31091" xr:uid="{A3C758BF-4EA4-4052-B7CC-4F37FA88F457}"/>
    <cellStyle name="Output 4 4 6" xfId="26112" xr:uid="{00000000-0005-0000-0000-0000E4650000}"/>
    <cellStyle name="Output 4 4 6 2" xfId="30902" xr:uid="{0457C529-81C3-417C-9200-8E23C6B6927F}"/>
    <cellStyle name="Output 4 4 7" xfId="29471" xr:uid="{00000000-0005-0000-0000-0000E5650000}"/>
    <cellStyle name="Output 4 4 8" xfId="30388" xr:uid="{C8A28406-8FF6-43BE-BADF-6DF050F23B9C}"/>
    <cellStyle name="Output 40" xfId="3418" xr:uid="{00000000-0005-0000-0000-0000E6650000}"/>
    <cellStyle name="Output 41" xfId="3419" xr:uid="{00000000-0005-0000-0000-0000E7650000}"/>
    <cellStyle name="Output 42" xfId="3420" xr:uid="{00000000-0005-0000-0000-0000E8650000}"/>
    <cellStyle name="Output 43" xfId="3421" xr:uid="{00000000-0005-0000-0000-0000E9650000}"/>
    <cellStyle name="Output 44" xfId="3422" xr:uid="{00000000-0005-0000-0000-0000EA650000}"/>
    <cellStyle name="Output 45" xfId="3423" xr:uid="{00000000-0005-0000-0000-0000EB650000}"/>
    <cellStyle name="Output 46" xfId="3424" xr:uid="{00000000-0005-0000-0000-0000EC650000}"/>
    <cellStyle name="Output 47" xfId="3425" xr:uid="{00000000-0005-0000-0000-0000ED650000}"/>
    <cellStyle name="Output 48" xfId="3426" xr:uid="{00000000-0005-0000-0000-0000EE650000}"/>
    <cellStyle name="Output 49" xfId="3427" xr:uid="{00000000-0005-0000-0000-0000EF650000}"/>
    <cellStyle name="Output 5" xfId="3428" xr:uid="{00000000-0005-0000-0000-0000F0650000}"/>
    <cellStyle name="Output 5 2" xfId="24207" xr:uid="{00000000-0005-0000-0000-0000F1650000}"/>
    <cellStyle name="Output 5 2 2" xfId="25386" xr:uid="{00000000-0005-0000-0000-0000F2650000}"/>
    <cellStyle name="Output 5 2 2 2" xfId="27540" xr:uid="{00000000-0005-0000-0000-0000F3650000}"/>
    <cellStyle name="Output 5 2 2 2 2" xfId="32131" xr:uid="{C21299F5-DA9E-4C54-A67A-95D720D819F6}"/>
    <cellStyle name="Output 5 2 2 3" xfId="26055" xr:uid="{00000000-0005-0000-0000-0000F4650000}"/>
    <cellStyle name="Output 5 2 2 3 2" xfId="30845" xr:uid="{EF415332-278B-44C4-8208-615650DE093B}"/>
    <cellStyle name="Output 5 2 2 4" xfId="26105" xr:uid="{00000000-0005-0000-0000-0000F5650000}"/>
    <cellStyle name="Output 5 2 2 4 2" xfId="30895" xr:uid="{580B5F9A-5A13-470D-939F-747EB3F1C18B}"/>
    <cellStyle name="Output 5 2 2 5" xfId="29475" xr:uid="{00000000-0005-0000-0000-0000F6650000}"/>
    <cellStyle name="Output 5 2 2 6" xfId="30544" xr:uid="{749853D3-EE64-4713-BBB3-C3BC14602863}"/>
    <cellStyle name="Output 5 2 3" xfId="25574" xr:uid="{00000000-0005-0000-0000-0000F7650000}"/>
    <cellStyle name="Output 5 2 3 2" xfId="27727" xr:uid="{00000000-0005-0000-0000-0000F8650000}"/>
    <cellStyle name="Output 5 2 3 2 2" xfId="32314" xr:uid="{8CB0A743-5058-4DB6-AE0C-F2EDFD7CB0FF}"/>
    <cellStyle name="Output 5 2 3 3" xfId="26520" xr:uid="{00000000-0005-0000-0000-0000F9650000}"/>
    <cellStyle name="Output 5 2 3 3 2" xfId="31307" xr:uid="{6238FD2B-41A9-498E-8B49-B58DACAE9A7B}"/>
    <cellStyle name="Output 5 2 3 4" xfId="26128" xr:uid="{00000000-0005-0000-0000-0000FA650000}"/>
    <cellStyle name="Output 5 2 3 4 2" xfId="30918" xr:uid="{082167CB-57D2-41CF-B6AD-5229A155B581}"/>
    <cellStyle name="Output 5 2 3 5" xfId="29476" xr:uid="{00000000-0005-0000-0000-0000FB650000}"/>
    <cellStyle name="Output 5 2 3 6" xfId="30631" xr:uid="{F11CE463-7741-4D1E-A37A-685A9F7A9BE3}"/>
    <cellStyle name="Output 5 2 4" xfId="27099" xr:uid="{00000000-0005-0000-0000-0000FC650000}"/>
    <cellStyle name="Output 5 2 4 2" xfId="31823" xr:uid="{EDB0AA9C-4AD0-4035-B6AF-236916A0C727}"/>
    <cellStyle name="Output 5 2 5" xfId="26198" xr:uid="{00000000-0005-0000-0000-0000FD650000}"/>
    <cellStyle name="Output 5 2 5 2" xfId="30986" xr:uid="{20A33222-5F4A-4AAE-A1FF-9D6D722B3E65}"/>
    <cellStyle name="Output 5 2 6" xfId="26973" xr:uid="{00000000-0005-0000-0000-0000FE650000}"/>
    <cellStyle name="Output 5 2 6 2" xfId="31734" xr:uid="{80602983-75E9-4400-BA0E-6FFC1343DDD6}"/>
    <cellStyle name="Output 5 2 7" xfId="29474" xr:uid="{00000000-0005-0000-0000-0000FF650000}"/>
    <cellStyle name="Output 5 2 8" xfId="30276" xr:uid="{224B722A-2DC7-470C-858C-9DB2446F1C42}"/>
    <cellStyle name="Output 5 3" xfId="24692" xr:uid="{00000000-0005-0000-0000-000000660000}"/>
    <cellStyle name="Output 5 3 2" xfId="25316" xr:uid="{00000000-0005-0000-0000-000001660000}"/>
    <cellStyle name="Output 5 3 2 2" xfId="27470" xr:uid="{00000000-0005-0000-0000-000002660000}"/>
    <cellStyle name="Output 5 3 2 2 2" xfId="32061" xr:uid="{9FEC8E8F-C04C-4A97-9F74-4830A94CADD1}"/>
    <cellStyle name="Output 5 3 2 3" xfId="26755" xr:uid="{00000000-0005-0000-0000-000003660000}"/>
    <cellStyle name="Output 5 3 2 3 2" xfId="31516" xr:uid="{7A8C561D-2ECC-4EBD-9352-87B17EBE84E0}"/>
    <cellStyle name="Output 5 3 2 4" xfId="26139" xr:uid="{00000000-0005-0000-0000-000004660000}"/>
    <cellStyle name="Output 5 3 2 4 2" xfId="30929" xr:uid="{1973B49D-2C10-4A5D-9BE3-AA81E77CC702}"/>
    <cellStyle name="Output 5 3 2 5" xfId="29478" xr:uid="{00000000-0005-0000-0000-000005660000}"/>
    <cellStyle name="Output 5 3 2 6" xfId="30474" xr:uid="{AFB0E1F2-7B89-4ADC-8B2D-70EC9CDD84A6}"/>
    <cellStyle name="Output 5 3 3" xfId="25651" xr:uid="{00000000-0005-0000-0000-000006660000}"/>
    <cellStyle name="Output 5 3 3 2" xfId="27804" xr:uid="{00000000-0005-0000-0000-000007660000}"/>
    <cellStyle name="Output 5 3 3 2 2" xfId="32391" xr:uid="{DE24E81E-B3D8-4C0C-B94D-5522B9A2F146}"/>
    <cellStyle name="Output 5 3 3 3" xfId="26230" xr:uid="{00000000-0005-0000-0000-000008660000}"/>
    <cellStyle name="Output 5 3 3 3 2" xfId="31018" xr:uid="{5B6473A3-9447-4325-9B53-D5B3C41FCB50}"/>
    <cellStyle name="Output 5 3 3 4" xfId="26835" xr:uid="{00000000-0005-0000-0000-000009660000}"/>
    <cellStyle name="Output 5 3 3 4 2" xfId="31596" xr:uid="{5D65A81A-0872-4220-A8B5-EBA6C9760E14}"/>
    <cellStyle name="Output 5 3 3 5" xfId="29479" xr:uid="{00000000-0005-0000-0000-00000A660000}"/>
    <cellStyle name="Output 5 3 3 6" xfId="30645" xr:uid="{443AA39F-8282-4A09-AE1C-C3B3A9EA33D3}"/>
    <cellStyle name="Output 5 3 4" xfId="27281" xr:uid="{00000000-0005-0000-0000-00000B660000}"/>
    <cellStyle name="Output 5 3 4 2" xfId="31913" xr:uid="{9C12D475-3910-47DA-965D-AF3C3412661E}"/>
    <cellStyle name="Output 5 3 5" xfId="26685" xr:uid="{00000000-0005-0000-0000-00000C660000}"/>
    <cellStyle name="Output 5 3 5 2" xfId="31447" xr:uid="{5A915660-2CB4-47B8-9DD8-7AC570690A8C}"/>
    <cellStyle name="Output 5 3 6" xfId="26851" xr:uid="{00000000-0005-0000-0000-00000D660000}"/>
    <cellStyle name="Output 5 3 6 2" xfId="31612" xr:uid="{59123FFA-454E-4721-8C9E-8E3857274875}"/>
    <cellStyle name="Output 5 3 7" xfId="29477" xr:uid="{00000000-0005-0000-0000-00000E660000}"/>
    <cellStyle name="Output 5 3 8" xfId="30353" xr:uid="{390D1A66-D87E-4166-80E8-4142049C3384}"/>
    <cellStyle name="Output 5 4" xfId="25087" xr:uid="{00000000-0005-0000-0000-00000F660000}"/>
    <cellStyle name="Output 5 4 2" xfId="25447" xr:uid="{00000000-0005-0000-0000-000010660000}"/>
    <cellStyle name="Output 5 4 2 2" xfId="27601" xr:uid="{00000000-0005-0000-0000-000011660000}"/>
    <cellStyle name="Output 5 4 2 2 2" xfId="32192" xr:uid="{C7725F63-0F79-41B1-B97A-FA5CF32977A8}"/>
    <cellStyle name="Output 5 4 2 3" xfId="26302" xr:uid="{00000000-0005-0000-0000-000012660000}"/>
    <cellStyle name="Output 5 4 2 3 2" xfId="31090" xr:uid="{A1BBA7A3-50E7-4A92-B47E-7EC97B0155B0}"/>
    <cellStyle name="Output 5 4 2 4" xfId="26297" xr:uid="{00000000-0005-0000-0000-000013660000}"/>
    <cellStyle name="Output 5 4 2 4 2" xfId="31085" xr:uid="{4DFD09A5-6866-435C-A6C6-C60046A7560A}"/>
    <cellStyle name="Output 5 4 2 5" xfId="29481" xr:uid="{00000000-0005-0000-0000-000014660000}"/>
    <cellStyle name="Output 5 4 2 6" xfId="30605" xr:uid="{20004057-9A16-4489-AFA4-ACA6683613B9}"/>
    <cellStyle name="Output 5 4 3" xfId="25687" xr:uid="{00000000-0005-0000-0000-000015660000}"/>
    <cellStyle name="Output 5 4 3 2" xfId="27840" xr:uid="{00000000-0005-0000-0000-000016660000}"/>
    <cellStyle name="Output 5 4 3 2 2" xfId="32427" xr:uid="{4E8EA835-B3CC-436A-88C7-1C4CAB3A6CDD}"/>
    <cellStyle name="Output 5 4 3 3" xfId="26897" xr:uid="{00000000-0005-0000-0000-000017660000}"/>
    <cellStyle name="Output 5 4 3 3 2" xfId="31658" xr:uid="{2D633D92-955E-4E6F-826B-6D4CEC307816}"/>
    <cellStyle name="Output 5 4 3 4" xfId="26977" xr:uid="{00000000-0005-0000-0000-000018660000}"/>
    <cellStyle name="Output 5 4 3 4 2" xfId="31738" xr:uid="{EABB6049-9B33-4F26-A608-6EB0F6D80D45}"/>
    <cellStyle name="Output 5 4 3 5" xfId="29482" xr:uid="{00000000-0005-0000-0000-000019660000}"/>
    <cellStyle name="Output 5 4 3 6" xfId="30681" xr:uid="{0547B335-1A1D-464D-889E-50868DCBC76D}"/>
    <cellStyle name="Output 5 4 4" xfId="27374" xr:uid="{00000000-0005-0000-0000-00001A660000}"/>
    <cellStyle name="Output 5 4 4 2" xfId="31972" xr:uid="{09B5B18C-0A33-43C6-8F49-0E7E646FAA82}"/>
    <cellStyle name="Output 5 4 5" xfId="26830" xr:uid="{00000000-0005-0000-0000-00001B660000}"/>
    <cellStyle name="Output 5 4 5 2" xfId="31591" xr:uid="{598E9AAB-5CB6-4EFB-8C20-AC1B749AB475}"/>
    <cellStyle name="Output 5 4 6" xfId="26697" xr:uid="{00000000-0005-0000-0000-00001C660000}"/>
    <cellStyle name="Output 5 4 6 2" xfId="31459" xr:uid="{F0D3363E-AC87-470A-8443-A862BFF19447}"/>
    <cellStyle name="Output 5 4 7" xfId="29480" xr:uid="{00000000-0005-0000-0000-00001D660000}"/>
    <cellStyle name="Output 5 4 8" xfId="30389" xr:uid="{3072FB48-8F1B-43E3-90B5-D7C94F566F7A}"/>
    <cellStyle name="Output 50" xfId="3429" xr:uid="{00000000-0005-0000-0000-00001E660000}"/>
    <cellStyle name="Output 51" xfId="3430" xr:uid="{00000000-0005-0000-0000-00001F660000}"/>
    <cellStyle name="Output 52" xfId="3431" xr:uid="{00000000-0005-0000-0000-000020660000}"/>
    <cellStyle name="Output 53" xfId="3432" xr:uid="{00000000-0005-0000-0000-000021660000}"/>
    <cellStyle name="Output 54" xfId="3433" xr:uid="{00000000-0005-0000-0000-000022660000}"/>
    <cellStyle name="Output 55" xfId="3434" xr:uid="{00000000-0005-0000-0000-000023660000}"/>
    <cellStyle name="Output 56" xfId="3435" xr:uid="{00000000-0005-0000-0000-000024660000}"/>
    <cellStyle name="Output 57" xfId="3436" xr:uid="{00000000-0005-0000-0000-000025660000}"/>
    <cellStyle name="Output 58" xfId="3437" xr:uid="{00000000-0005-0000-0000-000026660000}"/>
    <cellStyle name="Output 59" xfId="3438" xr:uid="{00000000-0005-0000-0000-000027660000}"/>
    <cellStyle name="Output 6" xfId="3439" xr:uid="{00000000-0005-0000-0000-000028660000}"/>
    <cellStyle name="Output 60" xfId="3440" xr:uid="{00000000-0005-0000-0000-000029660000}"/>
    <cellStyle name="Output 61" xfId="3441" xr:uid="{00000000-0005-0000-0000-00002A660000}"/>
    <cellStyle name="Output 62" xfId="3442" xr:uid="{00000000-0005-0000-0000-00002B660000}"/>
    <cellStyle name="Output 63" xfId="3443" xr:uid="{00000000-0005-0000-0000-00002C660000}"/>
    <cellStyle name="Output 64" xfId="3444" xr:uid="{00000000-0005-0000-0000-00002D660000}"/>
    <cellStyle name="Output 65" xfId="3445" xr:uid="{00000000-0005-0000-0000-00002E660000}"/>
    <cellStyle name="Output 66" xfId="3446" xr:uid="{00000000-0005-0000-0000-00002F660000}"/>
    <cellStyle name="Output 67" xfId="3447" xr:uid="{00000000-0005-0000-0000-000030660000}"/>
    <cellStyle name="Output 68" xfId="3448" xr:uid="{00000000-0005-0000-0000-000031660000}"/>
    <cellStyle name="Output 69" xfId="3449" xr:uid="{00000000-0005-0000-0000-000032660000}"/>
    <cellStyle name="Output 7" xfId="3450" xr:uid="{00000000-0005-0000-0000-000033660000}"/>
    <cellStyle name="Output 70" xfId="3451" xr:uid="{00000000-0005-0000-0000-000034660000}"/>
    <cellStyle name="Output 71" xfId="3452" xr:uid="{00000000-0005-0000-0000-000035660000}"/>
    <cellStyle name="Output 72" xfId="3453" xr:uid="{00000000-0005-0000-0000-000036660000}"/>
    <cellStyle name="Output 8" xfId="3454" xr:uid="{00000000-0005-0000-0000-000037660000}"/>
    <cellStyle name="Output 9" xfId="3455" xr:uid="{00000000-0005-0000-0000-000038660000}"/>
    <cellStyle name="Output Amounts" xfId="580" xr:uid="{00000000-0005-0000-0000-000039660000}"/>
    <cellStyle name="Output Amounts 2" xfId="3456" xr:uid="{00000000-0005-0000-0000-00003A660000}"/>
    <cellStyle name="Output Amounts 2 2" xfId="24208" xr:uid="{00000000-0005-0000-0000-00003B660000}"/>
    <cellStyle name="Output Amounts 3" xfId="13903" xr:uid="{00000000-0005-0000-0000-00003C660000}"/>
    <cellStyle name="Output Column Headings" xfId="3457" xr:uid="{00000000-0005-0000-0000-00003D660000}"/>
    <cellStyle name="Output Line Items" xfId="581" xr:uid="{00000000-0005-0000-0000-00003E660000}"/>
    <cellStyle name="Output Line Items 2" xfId="3458" xr:uid="{00000000-0005-0000-0000-00003F660000}"/>
    <cellStyle name="Output Line Items 3" xfId="13904" xr:uid="{00000000-0005-0000-0000-000040660000}"/>
    <cellStyle name="Output Report Heading" xfId="3459" xr:uid="{00000000-0005-0000-0000-000041660000}"/>
    <cellStyle name="Output Report Title" xfId="3460" xr:uid="{00000000-0005-0000-0000-000042660000}"/>
    <cellStyle name="Page Heading Large" xfId="582" xr:uid="{00000000-0005-0000-0000-000043660000}"/>
    <cellStyle name="Page Heading Small" xfId="583" xr:uid="{00000000-0005-0000-0000-000044660000}"/>
    <cellStyle name="Password" xfId="63" xr:uid="{00000000-0005-0000-0000-000045660000}"/>
    <cellStyle name="Password 2" xfId="24525" xr:uid="{00000000-0005-0000-0000-000046660000}"/>
    <cellStyle name="Password 2 2" xfId="27923" xr:uid="{00000000-0005-0000-0000-000047660000}"/>
    <cellStyle name="Password 2 2 2" xfId="32481" xr:uid="{4B9F2FAA-841D-4817-9798-5F63593C9445}"/>
    <cellStyle name="pct_sub" xfId="584" xr:uid="{00000000-0005-0000-0000-000048660000}"/>
    <cellStyle name="Percen - Style1" xfId="64" xr:uid="{00000000-0005-0000-0000-000049660000}"/>
    <cellStyle name="Percen - Style2" xfId="65" xr:uid="{00000000-0005-0000-0000-00004A660000}"/>
    <cellStyle name="Percent" xfId="25793" builtinId="5"/>
    <cellStyle name="Percent (0)" xfId="585" xr:uid="{00000000-0005-0000-0000-00004C660000}"/>
    <cellStyle name="Percent (0) 2" xfId="26048" xr:uid="{00000000-0005-0000-0000-00004D660000}"/>
    <cellStyle name="Percent [1]" xfId="586" xr:uid="{00000000-0005-0000-0000-00004E660000}"/>
    <cellStyle name="Percent [2]" xfId="66" xr:uid="{00000000-0005-0000-0000-00004F660000}"/>
    <cellStyle name="Percent [2] 2" xfId="25814" xr:uid="{00000000-0005-0000-0000-000050660000}"/>
    <cellStyle name="Percent 10" xfId="205" xr:uid="{00000000-0005-0000-0000-000051660000}"/>
    <cellStyle name="Percent 10 2" xfId="25895" xr:uid="{00000000-0005-0000-0000-000052660000}"/>
    <cellStyle name="Percent 11" xfId="206" xr:uid="{00000000-0005-0000-0000-000053660000}"/>
    <cellStyle name="Percent 11 2" xfId="25896" xr:uid="{00000000-0005-0000-0000-000054660000}"/>
    <cellStyle name="Percent 12" xfId="207" xr:uid="{00000000-0005-0000-0000-000055660000}"/>
    <cellStyle name="Percent 12 2" xfId="25897" xr:uid="{00000000-0005-0000-0000-000056660000}"/>
    <cellStyle name="Percent 13" xfId="208" xr:uid="{00000000-0005-0000-0000-000057660000}"/>
    <cellStyle name="Percent 13 2" xfId="25898" xr:uid="{00000000-0005-0000-0000-000058660000}"/>
    <cellStyle name="Percent 14" xfId="209" xr:uid="{00000000-0005-0000-0000-000059660000}"/>
    <cellStyle name="Percent 14 2" xfId="25899" xr:uid="{00000000-0005-0000-0000-00005A660000}"/>
    <cellStyle name="Percent 15" xfId="210" xr:uid="{00000000-0005-0000-0000-00005B660000}"/>
    <cellStyle name="Percent 15 2" xfId="25900" xr:uid="{00000000-0005-0000-0000-00005C660000}"/>
    <cellStyle name="Percent 16" xfId="211" xr:uid="{00000000-0005-0000-0000-00005D660000}"/>
    <cellStyle name="Percent 16 2" xfId="25901" xr:uid="{00000000-0005-0000-0000-00005E660000}"/>
    <cellStyle name="Percent 17" xfId="212" xr:uid="{00000000-0005-0000-0000-00005F660000}"/>
    <cellStyle name="Percent 17 2" xfId="25902" xr:uid="{00000000-0005-0000-0000-000060660000}"/>
    <cellStyle name="Percent 18" xfId="286" xr:uid="{00000000-0005-0000-0000-000061660000}"/>
    <cellStyle name="Percent 18 2" xfId="25943" xr:uid="{00000000-0005-0000-0000-000062660000}"/>
    <cellStyle name="Percent 19" xfId="287" xr:uid="{00000000-0005-0000-0000-000063660000}"/>
    <cellStyle name="Percent 19 2" xfId="25944" xr:uid="{00000000-0005-0000-0000-000064660000}"/>
    <cellStyle name="Percent 2" xfId="67" xr:uid="{00000000-0005-0000-0000-000065660000}"/>
    <cellStyle name="Percent 2 10" xfId="12601" xr:uid="{00000000-0005-0000-0000-000066660000}"/>
    <cellStyle name="Percent 2 11" xfId="24210" xr:uid="{00000000-0005-0000-0000-000067660000}"/>
    <cellStyle name="Percent 2 12" xfId="25748" xr:uid="{00000000-0005-0000-0000-000068660000}"/>
    <cellStyle name="Percent 2 2" xfId="213" xr:uid="{00000000-0005-0000-0000-000069660000}"/>
    <cellStyle name="Percent 2 2 2" xfId="467" xr:uid="{00000000-0005-0000-0000-00006A660000}"/>
    <cellStyle name="Percent 2 2 2 2" xfId="13831" xr:uid="{00000000-0005-0000-0000-00006B660000}"/>
    <cellStyle name="Percent 2 2 3" xfId="663" xr:uid="{00000000-0005-0000-0000-00006C660000}"/>
    <cellStyle name="Percent 2 2 4" xfId="23897" xr:uid="{00000000-0005-0000-0000-00006D660000}"/>
    <cellStyle name="Percent 2 2 5" xfId="25903" xr:uid="{00000000-0005-0000-0000-00006E660000}"/>
    <cellStyle name="Percent 2 3" xfId="358" xr:uid="{00000000-0005-0000-0000-00006F660000}"/>
    <cellStyle name="Percent 2 3 2" xfId="441" xr:uid="{00000000-0005-0000-0000-000070660000}"/>
    <cellStyle name="Percent 2 3 2 2" xfId="527" xr:uid="{00000000-0005-0000-0000-000071660000}"/>
    <cellStyle name="Percent 2 3 2 2 2" xfId="13890" xr:uid="{00000000-0005-0000-0000-000072660000}"/>
    <cellStyle name="Percent 2 3 2 3" xfId="13813" xr:uid="{00000000-0005-0000-0000-000073660000}"/>
    <cellStyle name="Percent 2 3 3" xfId="490" xr:uid="{00000000-0005-0000-0000-000074660000}"/>
    <cellStyle name="Percent 2 3 3 2" xfId="13853" xr:uid="{00000000-0005-0000-0000-000075660000}"/>
    <cellStyle name="Percent 2 3 4" xfId="13768" xr:uid="{00000000-0005-0000-0000-000076660000}"/>
    <cellStyle name="Percent 2 3 5" xfId="24211" xr:uid="{00000000-0005-0000-0000-000077660000}"/>
    <cellStyle name="Percent 2 3 5 2" xfId="27101" xr:uid="{00000000-0005-0000-0000-000078660000}"/>
    <cellStyle name="Percent 2 4" xfId="410" xr:uid="{00000000-0005-0000-0000-000079660000}"/>
    <cellStyle name="Percent 2 4 2" xfId="510" xr:uid="{00000000-0005-0000-0000-00007A660000}"/>
    <cellStyle name="Percent 2 4 2 2" xfId="13873" xr:uid="{00000000-0005-0000-0000-00007B660000}"/>
    <cellStyle name="Percent 2 4 3" xfId="13792" xr:uid="{00000000-0005-0000-0000-00007C660000}"/>
    <cellStyle name="Percent 2 4 4" xfId="24212" xr:uid="{00000000-0005-0000-0000-00007D660000}"/>
    <cellStyle name="Percent 2 4 4 2" xfId="27102" xr:uid="{00000000-0005-0000-0000-00007E660000}"/>
    <cellStyle name="Percent 2 5" xfId="466" xr:uid="{00000000-0005-0000-0000-00007F660000}"/>
    <cellStyle name="Percent 2 5 2" xfId="13830" xr:uid="{00000000-0005-0000-0000-000080660000}"/>
    <cellStyle name="Percent 2 5 3" xfId="24213" xr:uid="{00000000-0005-0000-0000-000081660000}"/>
    <cellStyle name="Percent 2 5 3 2" xfId="27103" xr:uid="{00000000-0005-0000-0000-000082660000}"/>
    <cellStyle name="Percent 2 6" xfId="475" xr:uid="{00000000-0005-0000-0000-000083660000}"/>
    <cellStyle name="Percent 2 6 2" xfId="13838" xr:uid="{00000000-0005-0000-0000-000084660000}"/>
    <cellStyle name="Percent 2 6 3" xfId="24214" xr:uid="{00000000-0005-0000-0000-000085660000}"/>
    <cellStyle name="Percent 2 6 3 2" xfId="27104" xr:uid="{00000000-0005-0000-0000-000086660000}"/>
    <cellStyle name="Percent 2 7" xfId="662" xr:uid="{00000000-0005-0000-0000-000087660000}"/>
    <cellStyle name="Percent 2 7 2" xfId="13914" xr:uid="{00000000-0005-0000-0000-000088660000}"/>
    <cellStyle name="Percent 2 7 3" xfId="24215" xr:uid="{00000000-0005-0000-0000-000089660000}"/>
    <cellStyle name="Percent 2 7 3 2" xfId="27105" xr:uid="{00000000-0005-0000-0000-00008A660000}"/>
    <cellStyle name="Percent 2 8" xfId="3461" xr:uid="{00000000-0005-0000-0000-00008B660000}"/>
    <cellStyle name="Percent 2 8 2" xfId="24216" xr:uid="{00000000-0005-0000-0000-00008C660000}"/>
    <cellStyle name="Percent 2 8 2 2" xfId="27106" xr:uid="{00000000-0005-0000-0000-00008D660000}"/>
    <cellStyle name="Percent 2 9" xfId="13619" xr:uid="{00000000-0005-0000-0000-00008E660000}"/>
    <cellStyle name="Percent 20" xfId="296" xr:uid="{00000000-0005-0000-0000-00008F660000}"/>
    <cellStyle name="Percent 20 2" xfId="25949" xr:uid="{00000000-0005-0000-0000-000090660000}"/>
    <cellStyle name="Percent 21" xfId="297" xr:uid="{00000000-0005-0000-0000-000091660000}"/>
    <cellStyle name="Percent 21 2" xfId="25950" xr:uid="{00000000-0005-0000-0000-000092660000}"/>
    <cellStyle name="Percent 22" xfId="298" xr:uid="{00000000-0005-0000-0000-000093660000}"/>
    <cellStyle name="Percent 22 2" xfId="25951" xr:uid="{00000000-0005-0000-0000-000094660000}"/>
    <cellStyle name="Percent 23" xfId="299" xr:uid="{00000000-0005-0000-0000-000095660000}"/>
    <cellStyle name="Percent 23 2" xfId="25952" xr:uid="{00000000-0005-0000-0000-000096660000}"/>
    <cellStyle name="Percent 24" xfId="304" xr:uid="{00000000-0005-0000-0000-000097660000}"/>
    <cellStyle name="Percent 24 2" xfId="25955" xr:uid="{00000000-0005-0000-0000-000098660000}"/>
    <cellStyle name="Percent 25" xfId="305" xr:uid="{00000000-0005-0000-0000-000099660000}"/>
    <cellStyle name="Percent 25 2" xfId="25956" xr:uid="{00000000-0005-0000-0000-00009A660000}"/>
    <cellStyle name="Percent 26" xfId="325" xr:uid="{00000000-0005-0000-0000-00009B660000}"/>
    <cellStyle name="Percent 26 2" xfId="25967" xr:uid="{00000000-0005-0000-0000-00009C660000}"/>
    <cellStyle name="Percent 27" xfId="326" xr:uid="{00000000-0005-0000-0000-00009D660000}"/>
    <cellStyle name="Percent 27 2" xfId="25968" xr:uid="{00000000-0005-0000-0000-00009E660000}"/>
    <cellStyle name="Percent 28" xfId="327" xr:uid="{00000000-0005-0000-0000-00009F660000}"/>
    <cellStyle name="Percent 28 2" xfId="25969" xr:uid="{00000000-0005-0000-0000-0000A0660000}"/>
    <cellStyle name="Percent 29" xfId="328" xr:uid="{00000000-0005-0000-0000-0000A1660000}"/>
    <cellStyle name="Percent 29 2" xfId="25970" xr:uid="{00000000-0005-0000-0000-0000A2660000}"/>
    <cellStyle name="Percent 3" xfId="68" xr:uid="{00000000-0005-0000-0000-0000A3660000}"/>
    <cellStyle name="Percent 3 10" xfId="25088" xr:uid="{00000000-0005-0000-0000-0000A4660000}"/>
    <cellStyle name="Percent 3 11" xfId="25815" xr:uid="{00000000-0005-0000-0000-0000A5660000}"/>
    <cellStyle name="Percent 3 2" xfId="171" xr:uid="{00000000-0005-0000-0000-0000A6660000}"/>
    <cellStyle name="Percent 3 2 2" xfId="362" xr:uid="{00000000-0005-0000-0000-0000A7660000}"/>
    <cellStyle name="Percent 3 2 2 2" xfId="444" xr:uid="{00000000-0005-0000-0000-0000A8660000}"/>
    <cellStyle name="Percent 3 2 2 2 2" xfId="530" xr:uid="{00000000-0005-0000-0000-0000A9660000}"/>
    <cellStyle name="Percent 3 2 2 2 2 2" xfId="13893" xr:uid="{00000000-0005-0000-0000-0000AA660000}"/>
    <cellStyle name="Percent 3 2 2 2 3" xfId="13816" xr:uid="{00000000-0005-0000-0000-0000AB660000}"/>
    <cellStyle name="Percent 3 2 2 3" xfId="493" xr:uid="{00000000-0005-0000-0000-0000AC660000}"/>
    <cellStyle name="Percent 3 2 2 3 2" xfId="13856" xr:uid="{00000000-0005-0000-0000-0000AD660000}"/>
    <cellStyle name="Percent 3 2 2 4" xfId="13772" xr:uid="{00000000-0005-0000-0000-0000AE660000}"/>
    <cellStyle name="Percent 3 2 2 5" xfId="24468" xr:uid="{00000000-0005-0000-0000-0000AF660000}"/>
    <cellStyle name="Percent 3 2 2 6" xfId="24910" xr:uid="{00000000-0005-0000-0000-0000B0660000}"/>
    <cellStyle name="Percent 3 2 2 7" xfId="25271" xr:uid="{00000000-0005-0000-0000-0000B1660000}"/>
    <cellStyle name="Percent 3 2 3" xfId="424" xr:uid="{00000000-0005-0000-0000-0000B2660000}"/>
    <cellStyle name="Percent 3 2 3 2" xfId="515" xr:uid="{00000000-0005-0000-0000-0000B3660000}"/>
    <cellStyle name="Percent 3 2 3 2 2" xfId="13878" xr:uid="{00000000-0005-0000-0000-0000B4660000}"/>
    <cellStyle name="Percent 3 2 3 3" xfId="13801" xr:uid="{00000000-0005-0000-0000-0000B5660000}"/>
    <cellStyle name="Percent 3 2 4" xfId="478" xr:uid="{00000000-0005-0000-0000-0000B6660000}"/>
    <cellStyle name="Percent 3 2 4 2" xfId="13841" xr:uid="{00000000-0005-0000-0000-0000B7660000}"/>
    <cellStyle name="Percent 3 2 5" xfId="13686" xr:uid="{00000000-0005-0000-0000-0000B8660000}"/>
    <cellStyle name="Percent 3 2 6" xfId="24218" xr:uid="{00000000-0005-0000-0000-0000B9660000}"/>
    <cellStyle name="Percent 3 2 7" xfId="24763" xr:uid="{00000000-0005-0000-0000-0000BA660000}"/>
    <cellStyle name="Percent 3 2 8" xfId="25089" xr:uid="{00000000-0005-0000-0000-0000BB660000}"/>
    <cellStyle name="Percent 3 3" xfId="214" xr:uid="{00000000-0005-0000-0000-0000BC660000}"/>
    <cellStyle name="Percent 3 3 2" xfId="368" xr:uid="{00000000-0005-0000-0000-0000BD660000}"/>
    <cellStyle name="Percent 3 3 2 2" xfId="450" xr:uid="{00000000-0005-0000-0000-0000BE660000}"/>
    <cellStyle name="Percent 3 3 2 2 2" xfId="536" xr:uid="{00000000-0005-0000-0000-0000BF660000}"/>
    <cellStyle name="Percent 3 3 2 2 2 2" xfId="13899" xr:uid="{00000000-0005-0000-0000-0000C0660000}"/>
    <cellStyle name="Percent 3 3 2 2 3" xfId="13822" xr:uid="{00000000-0005-0000-0000-0000C1660000}"/>
    <cellStyle name="Percent 3 3 2 3" xfId="499" xr:uid="{00000000-0005-0000-0000-0000C2660000}"/>
    <cellStyle name="Percent 3 3 2 3 2" xfId="13862" xr:uid="{00000000-0005-0000-0000-0000C3660000}"/>
    <cellStyle name="Percent 3 3 2 4" xfId="13778" xr:uid="{00000000-0005-0000-0000-0000C4660000}"/>
    <cellStyle name="Percent 3 3 3" xfId="431" xr:uid="{00000000-0005-0000-0000-0000C5660000}"/>
    <cellStyle name="Percent 3 3 3 2" xfId="521" xr:uid="{00000000-0005-0000-0000-0000C6660000}"/>
    <cellStyle name="Percent 3 3 3 2 2" xfId="13884" xr:uid="{00000000-0005-0000-0000-0000C7660000}"/>
    <cellStyle name="Percent 3 3 3 3" xfId="13807" xr:uid="{00000000-0005-0000-0000-0000C8660000}"/>
    <cellStyle name="Percent 3 3 4" xfId="484" xr:uid="{00000000-0005-0000-0000-0000C9660000}"/>
    <cellStyle name="Percent 3 3 4 2" xfId="13847" xr:uid="{00000000-0005-0000-0000-0000CA660000}"/>
    <cellStyle name="Percent 3 3 5" xfId="13704" xr:uid="{00000000-0005-0000-0000-0000CB660000}"/>
    <cellStyle name="Percent 3 3 6" xfId="24467" xr:uid="{00000000-0005-0000-0000-0000CC660000}"/>
    <cellStyle name="Percent 3 3 7" xfId="24909" xr:uid="{00000000-0005-0000-0000-0000CD660000}"/>
    <cellStyle name="Percent 3 3 8" xfId="25270" xr:uid="{00000000-0005-0000-0000-0000CE660000}"/>
    <cellStyle name="Percent 3 4" xfId="3621" xr:uid="{00000000-0005-0000-0000-0000CF660000}"/>
    <cellStyle name="Percent 3 5" xfId="13620" xr:uid="{00000000-0005-0000-0000-0000D0660000}"/>
    <cellStyle name="Percent 3 5 2" xfId="26562" xr:uid="{00000000-0005-0000-0000-0000D1660000}"/>
    <cellStyle name="Percent 3 6" xfId="13598" xr:uid="{00000000-0005-0000-0000-0000D2660000}"/>
    <cellStyle name="Percent 3 7" xfId="23907" xr:uid="{00000000-0005-0000-0000-0000D3660000}"/>
    <cellStyle name="Percent 3 8" xfId="24217" xr:uid="{00000000-0005-0000-0000-0000D4660000}"/>
    <cellStyle name="Percent 3 9" xfId="24762" xr:uid="{00000000-0005-0000-0000-0000D5660000}"/>
    <cellStyle name="Percent 30" xfId="329" xr:uid="{00000000-0005-0000-0000-0000D6660000}"/>
    <cellStyle name="Percent 30 2" xfId="25971" xr:uid="{00000000-0005-0000-0000-0000D7660000}"/>
    <cellStyle name="Percent 31" xfId="330" xr:uid="{00000000-0005-0000-0000-0000D8660000}"/>
    <cellStyle name="Percent 31 2" xfId="25972" xr:uid="{00000000-0005-0000-0000-0000D9660000}"/>
    <cellStyle name="Percent 32" xfId="331" xr:uid="{00000000-0005-0000-0000-0000DA660000}"/>
    <cellStyle name="Percent 32 2" xfId="25973" xr:uid="{00000000-0005-0000-0000-0000DB660000}"/>
    <cellStyle name="Percent 33" xfId="332" xr:uid="{00000000-0005-0000-0000-0000DC660000}"/>
    <cellStyle name="Percent 33 2" xfId="25974" xr:uid="{00000000-0005-0000-0000-0000DD660000}"/>
    <cellStyle name="Percent 34" xfId="344" xr:uid="{00000000-0005-0000-0000-0000DE660000}"/>
    <cellStyle name="Percent 34 2" xfId="25982" xr:uid="{00000000-0005-0000-0000-0000DF660000}"/>
    <cellStyle name="Percent 35" xfId="345" xr:uid="{00000000-0005-0000-0000-0000E0660000}"/>
    <cellStyle name="Percent 35 2" xfId="25983" xr:uid="{00000000-0005-0000-0000-0000E1660000}"/>
    <cellStyle name="Percent 36" xfId="346" xr:uid="{00000000-0005-0000-0000-0000E2660000}"/>
    <cellStyle name="Percent 36 2" xfId="25984" xr:uid="{00000000-0005-0000-0000-0000E3660000}"/>
    <cellStyle name="Percent 37" xfId="347" xr:uid="{00000000-0005-0000-0000-0000E4660000}"/>
    <cellStyle name="Percent 37 2" xfId="25985" xr:uid="{00000000-0005-0000-0000-0000E5660000}"/>
    <cellStyle name="Percent 38" xfId="396" xr:uid="{00000000-0005-0000-0000-0000E6660000}"/>
    <cellStyle name="Percent 38 2" xfId="26006" xr:uid="{00000000-0005-0000-0000-0000E7660000}"/>
    <cellStyle name="Percent 39" xfId="372" xr:uid="{00000000-0005-0000-0000-0000E8660000}"/>
    <cellStyle name="Percent 39 2" xfId="502" xr:uid="{00000000-0005-0000-0000-0000E9660000}"/>
    <cellStyle name="Percent 39 2 2" xfId="13865" xr:uid="{00000000-0005-0000-0000-0000EA660000}"/>
    <cellStyle name="Percent 39 3" xfId="13781" xr:uid="{00000000-0005-0000-0000-0000EB660000}"/>
    <cellStyle name="Percent 4" xfId="69" xr:uid="{00000000-0005-0000-0000-0000EC660000}"/>
    <cellStyle name="Percent 4 2" xfId="24304" xr:uid="{00000000-0005-0000-0000-0000ED660000}"/>
    <cellStyle name="Percent 4 2 2" xfId="27140" xr:uid="{00000000-0005-0000-0000-0000EE660000}"/>
    <cellStyle name="Percent 4 3" xfId="24219" xr:uid="{00000000-0005-0000-0000-0000EF660000}"/>
    <cellStyle name="Percent 4 4" xfId="25792" xr:uid="{00000000-0005-0000-0000-0000F0660000}"/>
    <cellStyle name="Percent 40" xfId="418" xr:uid="{00000000-0005-0000-0000-0000F1660000}"/>
    <cellStyle name="Percent 40 2" xfId="511" xr:uid="{00000000-0005-0000-0000-0000F2660000}"/>
    <cellStyle name="Percent 40 2 2" xfId="13874" xr:uid="{00000000-0005-0000-0000-0000F3660000}"/>
    <cellStyle name="Percent 40 3" xfId="13797" xr:uid="{00000000-0005-0000-0000-0000F4660000}"/>
    <cellStyle name="Percent 41" xfId="432" xr:uid="{00000000-0005-0000-0000-0000F5660000}"/>
    <cellStyle name="Percent 41 2" xfId="522" xr:uid="{00000000-0005-0000-0000-0000F6660000}"/>
    <cellStyle name="Percent 41 2 2" xfId="13885" xr:uid="{00000000-0005-0000-0000-0000F7660000}"/>
    <cellStyle name="Percent 41 3" xfId="13808" xr:uid="{00000000-0005-0000-0000-0000F8660000}"/>
    <cellStyle name="Percent 42" xfId="453" xr:uid="{00000000-0005-0000-0000-0000F9660000}"/>
    <cellStyle name="Percent 42 2" xfId="539" xr:uid="{00000000-0005-0000-0000-0000FA660000}"/>
    <cellStyle name="Percent 42 2 2" xfId="13902" xr:uid="{00000000-0005-0000-0000-0000FB660000}"/>
    <cellStyle name="Percent 42 3" xfId="13825" xr:uid="{00000000-0005-0000-0000-0000FC660000}"/>
    <cellStyle name="Percent 43" xfId="13602" xr:uid="{00000000-0005-0000-0000-0000FD660000}"/>
    <cellStyle name="Percent 43 2" xfId="26555" xr:uid="{00000000-0005-0000-0000-0000FE660000}"/>
    <cellStyle name="Percent 44" xfId="23887" xr:uid="{00000000-0005-0000-0000-0000FF660000}"/>
    <cellStyle name="Percent 45" xfId="23890" xr:uid="{00000000-0005-0000-0000-000000670000}"/>
    <cellStyle name="Percent 46" xfId="23894" xr:uid="{00000000-0005-0000-0000-000001670000}"/>
    <cellStyle name="Percent 47" xfId="4" xr:uid="{00000000-0005-0000-0000-000002670000}"/>
    <cellStyle name="Percent 47 2" xfId="25798" xr:uid="{00000000-0005-0000-0000-000003670000}"/>
    <cellStyle name="Percent 48" xfId="25279" xr:uid="{00000000-0005-0000-0000-000004670000}"/>
    <cellStyle name="Percent 48 2" xfId="27434" xr:uid="{00000000-0005-0000-0000-000005670000}"/>
    <cellStyle name="Percent 49" xfId="25292" xr:uid="{00000000-0005-0000-0000-000006670000}"/>
    <cellStyle name="Percent 49 2" xfId="27447" xr:uid="{00000000-0005-0000-0000-000007670000}"/>
    <cellStyle name="Percent 5" xfId="70" xr:uid="{00000000-0005-0000-0000-000008670000}"/>
    <cellStyle name="Percent 5 2" xfId="24292" xr:uid="{00000000-0005-0000-0000-000009670000}"/>
    <cellStyle name="Percent 5 3" xfId="25816" xr:uid="{00000000-0005-0000-0000-00000A670000}"/>
    <cellStyle name="Percent 50" xfId="25458" xr:uid="{00000000-0005-0000-0000-00000B670000}"/>
    <cellStyle name="Percent 50 2" xfId="27611" xr:uid="{00000000-0005-0000-0000-00000C670000}"/>
    <cellStyle name="Percent 51" xfId="25749" xr:uid="{00000000-0005-0000-0000-00000D670000}"/>
    <cellStyle name="Percent 52" xfId="25756" xr:uid="{00000000-0005-0000-0000-00000E670000}"/>
    <cellStyle name="Percent 53" xfId="25758" xr:uid="{00000000-0005-0000-0000-00000F670000}"/>
    <cellStyle name="Percent 54" xfId="25762" xr:uid="{00000000-0005-0000-0000-000010670000}"/>
    <cellStyle name="Percent 55" xfId="25763" xr:uid="{00000000-0005-0000-0000-000011670000}"/>
    <cellStyle name="Percent 6" xfId="215" xr:uid="{00000000-0005-0000-0000-000012670000}"/>
    <cellStyle name="Percent 6 2" xfId="664" xr:uid="{00000000-0005-0000-0000-000013670000}"/>
    <cellStyle name="Percent 6 2 2" xfId="24480" xr:uid="{00000000-0005-0000-0000-000014670000}"/>
    <cellStyle name="Percent 6 2 3" xfId="24912" xr:uid="{00000000-0005-0000-0000-000015670000}"/>
    <cellStyle name="Percent 6 2 4" xfId="25272" xr:uid="{00000000-0005-0000-0000-000016670000}"/>
    <cellStyle name="Percent 6 3" xfId="24294" xr:uid="{00000000-0005-0000-0000-000017670000}"/>
    <cellStyle name="Percent 6 4" xfId="24775" xr:uid="{00000000-0005-0000-0000-000018670000}"/>
    <cellStyle name="Percent 6 5" xfId="25144" xr:uid="{00000000-0005-0000-0000-000019670000}"/>
    <cellStyle name="Percent 6 6" xfId="25904" xr:uid="{00000000-0005-0000-0000-00001A670000}"/>
    <cellStyle name="Percent 7" xfId="216" xr:uid="{00000000-0005-0000-0000-00001B670000}"/>
    <cellStyle name="Percent 7 2" xfId="25905" xr:uid="{00000000-0005-0000-0000-00001C670000}"/>
    <cellStyle name="Percent 8" xfId="217" xr:uid="{00000000-0005-0000-0000-00001D670000}"/>
    <cellStyle name="Percent 8 2" xfId="25906" xr:uid="{00000000-0005-0000-0000-00001E670000}"/>
    <cellStyle name="Percent 9" xfId="218" xr:uid="{00000000-0005-0000-0000-00001F670000}"/>
    <cellStyle name="Percent 9 2" xfId="25907" xr:uid="{00000000-0005-0000-0000-000020670000}"/>
    <cellStyle name="Percent Hard" xfId="587" xr:uid="{00000000-0005-0000-0000-000021670000}"/>
    <cellStyle name="Percent Hard 2" xfId="24220" xr:uid="{00000000-0005-0000-0000-000022670000}"/>
    <cellStyle name="Percent(0)" xfId="71" xr:uid="{00000000-0005-0000-0000-000023670000}"/>
    <cellStyle name="Percentage" xfId="588" xr:uid="{00000000-0005-0000-0000-000024670000}"/>
    <cellStyle name="Perlong" xfId="589" xr:uid="{00000000-0005-0000-0000-000025670000}"/>
    <cellStyle name="Private" xfId="590" xr:uid="{00000000-0005-0000-0000-000026670000}"/>
    <cellStyle name="Private 2" xfId="24780" xr:uid="{00000000-0005-0000-0000-000027670000}"/>
    <cellStyle name="Private1" xfId="591" xr:uid="{00000000-0005-0000-0000-000028670000}"/>
    <cellStyle name="Private1 2" xfId="24221" xr:uid="{00000000-0005-0000-0000-000029670000}"/>
    <cellStyle name="r" xfId="592" xr:uid="{00000000-0005-0000-0000-00002A670000}"/>
    <cellStyle name="r 2" xfId="24222" xr:uid="{00000000-0005-0000-0000-00002B670000}"/>
    <cellStyle name="r_10_21 A&amp;G Review" xfId="593" xr:uid="{00000000-0005-0000-0000-00002C670000}"/>
    <cellStyle name="r_10_21 A&amp;G Review 2" xfId="24223" xr:uid="{00000000-0005-0000-0000-00002D670000}"/>
    <cellStyle name="r_10_21 A&amp;G Review Raul" xfId="594" xr:uid="{00000000-0005-0000-0000-00002E670000}"/>
    <cellStyle name="r_10_21 A&amp;G Review Raul 2" xfId="24224" xr:uid="{00000000-0005-0000-0000-00002F670000}"/>
    <cellStyle name="r_10-17" xfId="595" xr:uid="{00000000-0005-0000-0000-000030670000}"/>
    <cellStyle name="r_10-17 2" xfId="24225" xr:uid="{00000000-0005-0000-0000-000031670000}"/>
    <cellStyle name="r_2003 Reduction &amp; Sensitivities" xfId="596" xr:uid="{00000000-0005-0000-0000-000032670000}"/>
    <cellStyle name="r_2003 Reduction &amp; Sensitivities 2" xfId="24226" xr:uid="{00000000-0005-0000-0000-000033670000}"/>
    <cellStyle name="r_2003BudgetVariances" xfId="597" xr:uid="{00000000-0005-0000-0000-000034670000}"/>
    <cellStyle name="r_2003BudgetVariances 2" xfId="24227" xr:uid="{00000000-0005-0000-0000-000035670000}"/>
    <cellStyle name="r_Aug 02 FOR" xfId="598" xr:uid="{00000000-0005-0000-0000-000036670000}"/>
    <cellStyle name="r_Aug 02 FOR 2" xfId="24228" xr:uid="{00000000-0005-0000-0000-000037670000}"/>
    <cellStyle name="r_forecastTools6" xfId="599" xr:uid="{00000000-0005-0000-0000-000038670000}"/>
    <cellStyle name="r_forecastTools6 2" xfId="24229" xr:uid="{00000000-0005-0000-0000-000039670000}"/>
    <cellStyle name="r_Interest model" xfId="600" xr:uid="{00000000-0005-0000-0000-00003A670000}"/>
    <cellStyle name="r_Interest model 2" xfId="24230" xr:uid="{00000000-0005-0000-0000-00003B670000}"/>
    <cellStyle name="r_Interest model_PGE FS 1999 - 2006 10-23 V1 - for budget pres" xfId="601" xr:uid="{00000000-0005-0000-0000-00003C670000}"/>
    <cellStyle name="r_Interest model_PGE FS 1999 - 2006 10-23 V1 - for budget pres 2" xfId="24231" xr:uid="{00000000-0005-0000-0000-00003D670000}"/>
    <cellStyle name="r_Mary Cilia Model with Current Projections (LINKED)" xfId="602" xr:uid="{00000000-0005-0000-0000-00003E670000}"/>
    <cellStyle name="r_Mary Cilia Model with Current Projections (LINKED) 2" xfId="24232" xr:uid="{00000000-0005-0000-0000-00003F670000}"/>
    <cellStyle name="r_OpCo and Prelim Budget-2003 Final" xfId="603" xr:uid="{00000000-0005-0000-0000-000040670000}"/>
    <cellStyle name="r_OpCo and Prelim Budget-2003 Final 2" xfId="24233" xr:uid="{00000000-0005-0000-0000-000041670000}"/>
    <cellStyle name="r_OpCo and Prelim Budget-2003 Final_PGE FS 1999 - 2006 10-23 V1 - for budget pres" xfId="604" xr:uid="{00000000-0005-0000-0000-000042670000}"/>
    <cellStyle name="r_OpCo and Prelim Budget-2003 Final_PGE FS 1999 - 2006 10-23 V1 - for budget pres 2" xfId="24234" xr:uid="{00000000-0005-0000-0000-000043670000}"/>
    <cellStyle name="r_PGE FS 1999 - 2006 10-23 V1 - for budget pres" xfId="605" xr:uid="{00000000-0005-0000-0000-000044670000}"/>
    <cellStyle name="r_PGE FS 1999 - 2006 10-23 V1 - for budget pres 2" xfId="24235" xr:uid="{00000000-0005-0000-0000-000045670000}"/>
    <cellStyle name="r_PGE OpCo Forecast for Budget Presentation" xfId="606" xr:uid="{00000000-0005-0000-0000-000046670000}"/>
    <cellStyle name="r_PGE OpCo Forecast for Budget Presentation 2" xfId="24236" xr:uid="{00000000-0005-0000-0000-000047670000}"/>
    <cellStyle name="r_PGG Draft Cons Forecast 4-14 Revised" xfId="607" xr:uid="{00000000-0005-0000-0000-000048670000}"/>
    <cellStyle name="r_PGG Draft Cons Forecast 4-14 Revised 2" xfId="24237" xr:uid="{00000000-0005-0000-0000-000049670000}"/>
    <cellStyle name="r_PGG Draft Cons Forecast 4-14 Revised_PGE FS 1999 - 2006 10-23 V1 - for budget pres" xfId="608" xr:uid="{00000000-0005-0000-0000-00004A670000}"/>
    <cellStyle name="r_PGG Draft Cons Forecast 4-14 Revised_PGE FS 1999 - 2006 10-23 V1 - for budget pres 2" xfId="24238" xr:uid="{00000000-0005-0000-0000-00004B670000}"/>
    <cellStyle name="r_Reg Assets &amp; Liab" xfId="609" xr:uid="{00000000-0005-0000-0000-00004C670000}"/>
    <cellStyle name="r_Reg Assets &amp; Liab 2" xfId="24239" xr:uid="{00000000-0005-0000-0000-00004D670000}"/>
    <cellStyle name="r_Summary" xfId="610" xr:uid="{00000000-0005-0000-0000-00004E670000}"/>
    <cellStyle name="r_Summary - OpCo and Prelim Budget-2003 Final" xfId="611" xr:uid="{00000000-0005-0000-0000-00004F670000}"/>
    <cellStyle name="r_Summary - OpCo and Prelim Budget-2003 Final 2" xfId="24241" xr:uid="{00000000-0005-0000-0000-000050670000}"/>
    <cellStyle name="r_Summary - OpCo and Prelim Budget-2003 Final_PGE FS 1999 - 2006 10-23 V1 - for budget pres" xfId="612" xr:uid="{00000000-0005-0000-0000-000051670000}"/>
    <cellStyle name="r_Summary - OpCo and Prelim Budget-2003 Final_PGE FS 1999 - 2006 10-23 V1 - for budget pres 2" xfId="24242" xr:uid="{00000000-0005-0000-0000-000052670000}"/>
    <cellStyle name="r_Summary 10" xfId="24465" xr:uid="{00000000-0005-0000-0000-000053670000}"/>
    <cellStyle name="r_Summary 11" xfId="24393" xr:uid="{00000000-0005-0000-0000-000054670000}"/>
    <cellStyle name="r_Summary 12" xfId="24418" xr:uid="{00000000-0005-0000-0000-000055670000}"/>
    <cellStyle name="r_Summary 13" xfId="24395" xr:uid="{00000000-0005-0000-0000-000056670000}"/>
    <cellStyle name="r_Summary 14" xfId="24475" xr:uid="{00000000-0005-0000-0000-000057670000}"/>
    <cellStyle name="r_Summary 15" xfId="24396" xr:uid="{00000000-0005-0000-0000-000058670000}"/>
    <cellStyle name="r_Summary 16" xfId="24415" xr:uid="{00000000-0005-0000-0000-000059670000}"/>
    <cellStyle name="r_Summary 17" xfId="24397" xr:uid="{00000000-0005-0000-0000-00005A670000}"/>
    <cellStyle name="r_Summary 18" xfId="24414" xr:uid="{00000000-0005-0000-0000-00005B670000}"/>
    <cellStyle name="r_Summary 19" xfId="24499" xr:uid="{00000000-0005-0000-0000-00005C670000}"/>
    <cellStyle name="r_Summary 2" xfId="24240" xr:uid="{00000000-0005-0000-0000-00005D670000}"/>
    <cellStyle name="r_Summary 20" xfId="24413" xr:uid="{00000000-0005-0000-0000-00005E670000}"/>
    <cellStyle name="r_Summary 21" xfId="24398" xr:uid="{00000000-0005-0000-0000-00005F670000}"/>
    <cellStyle name="r_Summary 22" xfId="24412" xr:uid="{00000000-0005-0000-0000-000060670000}"/>
    <cellStyle name="r_Summary 23" xfId="24505" xr:uid="{00000000-0005-0000-0000-000061670000}"/>
    <cellStyle name="r_Summary 24" xfId="24410" xr:uid="{00000000-0005-0000-0000-000062670000}"/>
    <cellStyle name="r_Summary 25" xfId="24492" xr:uid="{00000000-0005-0000-0000-000063670000}"/>
    <cellStyle name="r_Summary 26" xfId="24473" xr:uid="{00000000-0005-0000-0000-000064670000}"/>
    <cellStyle name="r_Summary 3" xfId="24312" xr:uid="{00000000-0005-0000-0000-000065670000}"/>
    <cellStyle name="r_Summary 4" xfId="24308" xr:uid="{00000000-0005-0000-0000-000066670000}"/>
    <cellStyle name="r_Summary 5" xfId="24313" xr:uid="{00000000-0005-0000-0000-000067670000}"/>
    <cellStyle name="r_Summary 6" xfId="24472" xr:uid="{00000000-0005-0000-0000-000068670000}"/>
    <cellStyle name="r_Summary 7" xfId="24486" xr:uid="{00000000-0005-0000-0000-000069670000}"/>
    <cellStyle name="r_Summary 8" xfId="24469" xr:uid="{00000000-0005-0000-0000-00006A670000}"/>
    <cellStyle name="r_Summary 9" xfId="24504" xr:uid="{00000000-0005-0000-0000-00006B670000}"/>
    <cellStyle name="r_Summary_PGE FS 1999 - 2006 10-23 V1 - for budget pres" xfId="613" xr:uid="{00000000-0005-0000-0000-00006C670000}"/>
    <cellStyle name="r_Summary_PGE FS 1999 - 2006 10-23 V1 - for budget pres 2" xfId="24243" xr:uid="{00000000-0005-0000-0000-00006D670000}"/>
    <cellStyle name="ReportTitlePrompt" xfId="3462" xr:uid="{00000000-0005-0000-0000-00006E670000}"/>
    <cellStyle name="ReportTitleValue" xfId="3463" xr:uid="{00000000-0005-0000-0000-00006F670000}"/>
    <cellStyle name="Right" xfId="614" xr:uid="{00000000-0005-0000-0000-000070670000}"/>
    <cellStyle name="Right 2" xfId="24244" xr:uid="{00000000-0005-0000-0000-000071670000}"/>
    <cellStyle name="RowAcctAbovePrompt" xfId="3464" xr:uid="{00000000-0005-0000-0000-000072670000}"/>
    <cellStyle name="RowAcctSOBAbovePrompt" xfId="3465" xr:uid="{00000000-0005-0000-0000-000073670000}"/>
    <cellStyle name="RowAcctSOBValue" xfId="3466" xr:uid="{00000000-0005-0000-0000-000074670000}"/>
    <cellStyle name="RowAcctValue" xfId="3467" xr:uid="{00000000-0005-0000-0000-000075670000}"/>
    <cellStyle name="RowAttrAbovePrompt" xfId="3468" xr:uid="{00000000-0005-0000-0000-000076670000}"/>
    <cellStyle name="RowAttrValue" xfId="3469" xr:uid="{00000000-0005-0000-0000-000077670000}"/>
    <cellStyle name="RowColSetAbovePrompt" xfId="3470" xr:uid="{00000000-0005-0000-0000-000078670000}"/>
    <cellStyle name="RowColSetLeftPrompt" xfId="3471" xr:uid="{00000000-0005-0000-0000-000079670000}"/>
    <cellStyle name="RowColSetValue" xfId="3472" xr:uid="{00000000-0005-0000-0000-00007A670000}"/>
    <cellStyle name="RowLeftPrompt" xfId="3473" xr:uid="{00000000-0005-0000-0000-00007B670000}"/>
    <cellStyle name="SampleUsingFormatMask" xfId="3474" xr:uid="{00000000-0005-0000-0000-00007C670000}"/>
    <cellStyle name="SampleWithNoFormatMask" xfId="3475" xr:uid="{00000000-0005-0000-0000-00007D670000}"/>
    <cellStyle name="SAPBEXaggData" xfId="72" xr:uid="{00000000-0005-0000-0000-00007E670000}"/>
    <cellStyle name="SAPBEXaggData 2" xfId="13621" xr:uid="{00000000-0005-0000-0000-00007F670000}"/>
    <cellStyle name="SAPBEXaggData 2 2" xfId="25459" xr:uid="{00000000-0005-0000-0000-000080670000}"/>
    <cellStyle name="SAPBEXaggData 2 2 2" xfId="27612" xr:uid="{00000000-0005-0000-0000-000081670000}"/>
    <cellStyle name="SAPBEXaggData 2 2 2 2" xfId="32199" xr:uid="{7A7BD6F2-74F0-4048-8D37-2C46C5430AF4}"/>
    <cellStyle name="SAPBEXaggData 2 2 3" xfId="27933" xr:uid="{00000000-0005-0000-0000-000082670000}"/>
    <cellStyle name="SAPBEXaggData 2 2 3 2" xfId="32491" xr:uid="{3F83CFB6-827B-45AA-8D60-9E0DBAE8668E}"/>
    <cellStyle name="SAPBEXaggData 2 2 4" xfId="26086" xr:uid="{00000000-0005-0000-0000-000083670000}"/>
    <cellStyle name="SAPBEXaggData 2 2 4 2" xfId="30876" xr:uid="{99B58365-E574-4F2F-A259-B0562D23FF59}"/>
    <cellStyle name="SAPBEXaggData 2 2 5" xfId="29485" xr:uid="{00000000-0005-0000-0000-000084670000}"/>
    <cellStyle name="SAPBEXaggData 2 3" xfId="26563" xr:uid="{00000000-0005-0000-0000-000085670000}"/>
    <cellStyle name="SAPBEXaggData 2 3 2" xfId="31341" xr:uid="{AE0C367D-55E8-4404-BD2F-62CC8EA70B88}"/>
    <cellStyle name="SAPBEXaggData 2 4" xfId="27932" xr:uid="{00000000-0005-0000-0000-000086670000}"/>
    <cellStyle name="SAPBEXaggData 2 4 2" xfId="32490" xr:uid="{43D3AFEE-79CD-4E89-BE34-7C3ADB0ADBA4}"/>
    <cellStyle name="SAPBEXaggData 2 5" xfId="26182" xr:uid="{00000000-0005-0000-0000-000087670000}"/>
    <cellStyle name="SAPBEXaggData 2 5 2" xfId="30970" xr:uid="{76FB0124-5DEF-43D7-B453-15A9F7696749}"/>
    <cellStyle name="SAPBEXaggData 2 6" xfId="29484" xr:uid="{00000000-0005-0000-0000-000088670000}"/>
    <cellStyle name="SAPBEXaggData 2 7" xfId="30161" xr:uid="{92D858B1-E627-4278-8819-66066A4D4964}"/>
    <cellStyle name="SAPBEXaggData 3" xfId="24686" xr:uid="{00000000-0005-0000-0000-000089670000}"/>
    <cellStyle name="SAPBEXaggData 3 2" xfId="25423" xr:uid="{00000000-0005-0000-0000-00008A670000}"/>
    <cellStyle name="SAPBEXaggData 3 2 2" xfId="27577" xr:uid="{00000000-0005-0000-0000-00008B670000}"/>
    <cellStyle name="SAPBEXaggData 3 2 2 2" xfId="32168" xr:uid="{2177028A-E649-4749-8CF0-FE23E34394AA}"/>
    <cellStyle name="SAPBEXaggData 3 2 3" xfId="27935" xr:uid="{00000000-0005-0000-0000-00008C670000}"/>
    <cellStyle name="SAPBEXaggData 3 2 3 2" xfId="32493" xr:uid="{7BE0B56B-1AA1-4FAC-BDE4-7DFF8E096042}"/>
    <cellStyle name="SAPBEXaggData 3 2 4" xfId="26481" xr:uid="{00000000-0005-0000-0000-00008D670000}"/>
    <cellStyle name="SAPBEXaggData 3 2 4 2" xfId="31269" xr:uid="{D1DA1C18-EEF4-42D5-8980-11501320D07B}"/>
    <cellStyle name="SAPBEXaggData 3 2 5" xfId="29487" xr:uid="{00000000-0005-0000-0000-00008E670000}"/>
    <cellStyle name="SAPBEXaggData 3 2 6" xfId="30581" xr:uid="{E6267DBD-8039-4504-902D-3554711A2BB6}"/>
    <cellStyle name="SAPBEXaggData 3 3" xfId="25649" xr:uid="{00000000-0005-0000-0000-00008F670000}"/>
    <cellStyle name="SAPBEXaggData 3 3 2" xfId="27802" xr:uid="{00000000-0005-0000-0000-000090670000}"/>
    <cellStyle name="SAPBEXaggData 3 3 2 2" xfId="32389" xr:uid="{5B7352C9-F2B0-441C-9330-A7D74409D31B}"/>
    <cellStyle name="SAPBEXaggData 3 3 3" xfId="27936" xr:uid="{00000000-0005-0000-0000-000091670000}"/>
    <cellStyle name="SAPBEXaggData 3 3 3 2" xfId="32494" xr:uid="{44C476FD-528D-438E-A0A4-90B87E382C75}"/>
    <cellStyle name="SAPBEXaggData 3 3 4" xfId="26358" xr:uid="{00000000-0005-0000-0000-000092670000}"/>
    <cellStyle name="SAPBEXaggData 3 3 4 2" xfId="31146" xr:uid="{9614230F-CCB2-43FF-AE48-096DA24E68BF}"/>
    <cellStyle name="SAPBEXaggData 3 3 5" xfId="29488" xr:uid="{00000000-0005-0000-0000-000093670000}"/>
    <cellStyle name="SAPBEXaggData 3 4" xfId="27276" xr:uid="{00000000-0005-0000-0000-000094670000}"/>
    <cellStyle name="SAPBEXaggData 3 4 2" xfId="31911" xr:uid="{3CA71A48-4CF2-41B3-95D8-E85DF320C1E4}"/>
    <cellStyle name="SAPBEXaggData 3 5" xfId="27934" xr:uid="{00000000-0005-0000-0000-000095670000}"/>
    <cellStyle name="SAPBEXaggData 3 5 2" xfId="32492" xr:uid="{E48813A4-1068-4662-8CAC-621E63E9FE0E}"/>
    <cellStyle name="SAPBEXaggData 3 6" xfId="27002" xr:uid="{00000000-0005-0000-0000-000096670000}"/>
    <cellStyle name="SAPBEXaggData 3 6 2" xfId="31762" xr:uid="{1BC70BF3-7B93-48B2-871E-B34DAD7E576D}"/>
    <cellStyle name="SAPBEXaggData 3 7" xfId="29486" xr:uid="{00000000-0005-0000-0000-000097670000}"/>
    <cellStyle name="SAPBEXaggData 3 8" xfId="30351" xr:uid="{D5FBE9D2-09EE-41AE-A0D5-FDAB7AB77243}"/>
    <cellStyle name="SAPBEXaggData 4" xfId="25090" xr:uid="{00000000-0005-0000-0000-000098670000}"/>
    <cellStyle name="SAPBEXaggData 4 2" xfId="25284" xr:uid="{00000000-0005-0000-0000-000099670000}"/>
    <cellStyle name="SAPBEXaggData 4 2 2" xfId="27439" xr:uid="{00000000-0005-0000-0000-00009A670000}"/>
    <cellStyle name="SAPBEXaggData 4 2 2 2" xfId="32034" xr:uid="{B7CCC9D9-DA77-4CEE-BDBD-7235D8D30763}"/>
    <cellStyle name="SAPBEXaggData 4 2 3" xfId="27938" xr:uid="{00000000-0005-0000-0000-00009B670000}"/>
    <cellStyle name="SAPBEXaggData 4 2 3 2" xfId="32496" xr:uid="{FDAF7F3A-7EC0-4DCB-BF25-DA2B4B608BAF}"/>
    <cellStyle name="SAPBEXaggData 4 2 4" xfId="26504" xr:uid="{00000000-0005-0000-0000-00009C670000}"/>
    <cellStyle name="SAPBEXaggData 4 2 4 2" xfId="31292" xr:uid="{24268017-52C5-4E53-99C6-95B155F82897}"/>
    <cellStyle name="SAPBEXaggData 4 2 5" xfId="29490" xr:uid="{00000000-0005-0000-0000-00009D670000}"/>
    <cellStyle name="SAPBEXaggData 4 2 6" xfId="30447" xr:uid="{306C7358-CA26-4C50-AC08-159431AB7203}"/>
    <cellStyle name="SAPBEXaggData 4 3" xfId="25688" xr:uid="{00000000-0005-0000-0000-00009E670000}"/>
    <cellStyle name="SAPBEXaggData 4 3 2" xfId="27841" xr:uid="{00000000-0005-0000-0000-00009F670000}"/>
    <cellStyle name="SAPBEXaggData 4 3 2 2" xfId="32428" xr:uid="{07B83BB5-F8BE-4AD7-B2DD-EB548DA503D4}"/>
    <cellStyle name="SAPBEXaggData 4 3 3" xfId="27939" xr:uid="{00000000-0005-0000-0000-0000A0670000}"/>
    <cellStyle name="SAPBEXaggData 4 3 3 2" xfId="32497" xr:uid="{C31DE5D4-A8BD-494B-A31C-0B4EE801E6D3}"/>
    <cellStyle name="SAPBEXaggData 4 3 4" xfId="26153" xr:uid="{00000000-0005-0000-0000-0000A1670000}"/>
    <cellStyle name="SAPBEXaggData 4 3 4 2" xfId="30942" xr:uid="{901AD129-07F0-4424-A1DF-4AA7E9794EF9}"/>
    <cellStyle name="SAPBEXaggData 4 3 5" xfId="29491" xr:uid="{00000000-0005-0000-0000-0000A2670000}"/>
    <cellStyle name="SAPBEXaggData 4 3 6" xfId="30682" xr:uid="{7F262843-D914-46D2-98D9-21C54EBE1B58}"/>
    <cellStyle name="SAPBEXaggData 4 4" xfId="27375" xr:uid="{00000000-0005-0000-0000-0000A3670000}"/>
    <cellStyle name="SAPBEXaggData 4 4 2" xfId="31973" xr:uid="{463B635B-ADB9-49A3-9B5F-83825B88A49E}"/>
    <cellStyle name="SAPBEXaggData 4 5" xfId="27937" xr:uid="{00000000-0005-0000-0000-0000A4670000}"/>
    <cellStyle name="SAPBEXaggData 4 5 2" xfId="32495" xr:uid="{0E83D1A1-AACB-4FA7-BF79-E019B2F1BF1A}"/>
    <cellStyle name="SAPBEXaggData 4 6" xfId="26340" xr:uid="{00000000-0005-0000-0000-0000A5670000}"/>
    <cellStyle name="SAPBEXaggData 4 6 2" xfId="31128" xr:uid="{F8E6DAAB-A447-4C67-A238-00D1C1C24663}"/>
    <cellStyle name="SAPBEXaggData 4 7" xfId="29489" xr:uid="{00000000-0005-0000-0000-0000A6670000}"/>
    <cellStyle name="SAPBEXaggData 4 8" xfId="30390" xr:uid="{9C6A030D-0E4A-4472-9A6F-CE456E731981}"/>
    <cellStyle name="SAPBEXaggData 5" xfId="25817" xr:uid="{00000000-0005-0000-0000-0000A7670000}"/>
    <cellStyle name="SAPBEXaggData 5 2" xfId="30736" xr:uid="{FED3BBE0-F082-4204-B863-D7617B8A5650}"/>
    <cellStyle name="SAPBEXaggData 6" xfId="27931" xr:uid="{00000000-0005-0000-0000-0000A8670000}"/>
    <cellStyle name="SAPBEXaggData 6 2" xfId="32489" xr:uid="{BD633FB8-8F1F-4B50-BEB1-4926BD139C99}"/>
    <cellStyle name="SAPBEXaggData 7" xfId="26998" xr:uid="{00000000-0005-0000-0000-0000A9670000}"/>
    <cellStyle name="SAPBEXaggData 7 2" xfId="31759" xr:uid="{EC77DD63-4189-4254-BF4B-FFE0552C27B4}"/>
    <cellStyle name="SAPBEXaggData 8" xfId="29483" xr:uid="{00000000-0005-0000-0000-0000AA670000}"/>
    <cellStyle name="SAPBEXaggDataEmph" xfId="73" xr:uid="{00000000-0005-0000-0000-0000AB670000}"/>
    <cellStyle name="SAPBEXaggDataEmph 2" xfId="13622" xr:uid="{00000000-0005-0000-0000-0000AC670000}"/>
    <cellStyle name="SAPBEXaggDataEmph 2 2" xfId="25460" xr:uid="{00000000-0005-0000-0000-0000AD670000}"/>
    <cellStyle name="SAPBEXaggDataEmph 2 2 2" xfId="27613" xr:uid="{00000000-0005-0000-0000-0000AE670000}"/>
    <cellStyle name="SAPBEXaggDataEmph 2 2 2 2" xfId="32200" xr:uid="{9943412C-6B52-4057-85AC-B04ACBF651A9}"/>
    <cellStyle name="SAPBEXaggDataEmph 2 2 3" xfId="27942" xr:uid="{00000000-0005-0000-0000-0000AF670000}"/>
    <cellStyle name="SAPBEXaggDataEmph 2 2 3 2" xfId="32500" xr:uid="{3BF38509-B45F-47B1-AEE8-8F7854496A73}"/>
    <cellStyle name="SAPBEXaggDataEmph 2 2 4" xfId="26454" xr:uid="{00000000-0005-0000-0000-0000B0670000}"/>
    <cellStyle name="SAPBEXaggDataEmph 2 2 4 2" xfId="31242" xr:uid="{4A25A63D-F6FA-443A-8064-9F640FDFBA8F}"/>
    <cellStyle name="SAPBEXaggDataEmph 2 2 5" xfId="29494" xr:uid="{00000000-0005-0000-0000-0000B1670000}"/>
    <cellStyle name="SAPBEXaggDataEmph 2 3" xfId="26564" xr:uid="{00000000-0005-0000-0000-0000B2670000}"/>
    <cellStyle name="SAPBEXaggDataEmph 2 3 2" xfId="31342" xr:uid="{7366461D-9A5B-4041-860D-2947FC0B5C30}"/>
    <cellStyle name="SAPBEXaggDataEmph 2 4" xfId="27941" xr:uid="{00000000-0005-0000-0000-0000B3670000}"/>
    <cellStyle name="SAPBEXaggDataEmph 2 4 2" xfId="32499" xr:uid="{79E0896B-F8DA-4D2E-9C7F-02663A4C12AE}"/>
    <cellStyle name="SAPBEXaggDataEmph 2 5" xfId="26221" xr:uid="{00000000-0005-0000-0000-0000B4670000}"/>
    <cellStyle name="SAPBEXaggDataEmph 2 5 2" xfId="31009" xr:uid="{574C99AF-6BE7-40EC-957A-F1188AC7ED24}"/>
    <cellStyle name="SAPBEXaggDataEmph 2 6" xfId="29493" xr:uid="{00000000-0005-0000-0000-0000B5670000}"/>
    <cellStyle name="SAPBEXaggDataEmph 2 7" xfId="30162" xr:uid="{8FE27431-2CAD-4331-8C47-A09783957E5F}"/>
    <cellStyle name="SAPBEXaggDataEmph 3" xfId="24685" xr:uid="{00000000-0005-0000-0000-0000B6670000}"/>
    <cellStyle name="SAPBEXaggDataEmph 3 2" xfId="25322" xr:uid="{00000000-0005-0000-0000-0000B7670000}"/>
    <cellStyle name="SAPBEXaggDataEmph 3 2 2" xfId="27476" xr:uid="{00000000-0005-0000-0000-0000B8670000}"/>
    <cellStyle name="SAPBEXaggDataEmph 3 2 2 2" xfId="32067" xr:uid="{54DF0BB1-1063-4734-9211-483F57E4A3FB}"/>
    <cellStyle name="SAPBEXaggDataEmph 3 2 3" xfId="27944" xr:uid="{00000000-0005-0000-0000-0000B9670000}"/>
    <cellStyle name="SAPBEXaggDataEmph 3 2 3 2" xfId="32502" xr:uid="{D54AF13A-C036-48AA-952E-643A94995A50}"/>
    <cellStyle name="SAPBEXaggDataEmph 3 2 4" xfId="26909" xr:uid="{00000000-0005-0000-0000-0000BA670000}"/>
    <cellStyle name="SAPBEXaggDataEmph 3 2 4 2" xfId="31670" xr:uid="{9C449592-6412-4942-9F70-82C88C19C940}"/>
    <cellStyle name="SAPBEXaggDataEmph 3 2 5" xfId="29496" xr:uid="{00000000-0005-0000-0000-0000BB670000}"/>
    <cellStyle name="SAPBEXaggDataEmph 3 2 6" xfId="30480" xr:uid="{20CF48F5-71EC-45DC-922B-9D2A5F39DF0C}"/>
    <cellStyle name="SAPBEXaggDataEmph 3 3" xfId="25648" xr:uid="{00000000-0005-0000-0000-0000BC670000}"/>
    <cellStyle name="SAPBEXaggDataEmph 3 3 2" xfId="27801" xr:uid="{00000000-0005-0000-0000-0000BD670000}"/>
    <cellStyle name="SAPBEXaggDataEmph 3 3 2 2" xfId="32388" xr:uid="{BFAB6168-AB07-4884-8CFC-CB0608DCBE83}"/>
    <cellStyle name="SAPBEXaggDataEmph 3 3 3" xfId="27945" xr:uid="{00000000-0005-0000-0000-0000BE670000}"/>
    <cellStyle name="SAPBEXaggDataEmph 3 3 3 2" xfId="32503" xr:uid="{31D00C29-2572-4244-B638-06A4A865FAEF}"/>
    <cellStyle name="SAPBEXaggDataEmph 3 3 4" xfId="26754" xr:uid="{00000000-0005-0000-0000-0000BF670000}"/>
    <cellStyle name="SAPBEXaggDataEmph 3 3 4 2" xfId="31515" xr:uid="{F46301EF-2C38-4D50-AD77-C96A69D2628D}"/>
    <cellStyle name="SAPBEXaggDataEmph 3 3 5" xfId="29497" xr:uid="{00000000-0005-0000-0000-0000C0670000}"/>
    <cellStyle name="SAPBEXaggDataEmph 3 4" xfId="27275" xr:uid="{00000000-0005-0000-0000-0000C1670000}"/>
    <cellStyle name="SAPBEXaggDataEmph 3 4 2" xfId="31910" xr:uid="{23641B80-D9D0-4CFF-8D2B-130AD0BF4D03}"/>
    <cellStyle name="SAPBEXaggDataEmph 3 5" xfId="27943" xr:uid="{00000000-0005-0000-0000-0000C2670000}"/>
    <cellStyle name="SAPBEXaggDataEmph 3 5 2" xfId="32501" xr:uid="{13EF1773-6FD1-4D83-A330-8EC15923685B}"/>
    <cellStyle name="SAPBEXaggDataEmph 3 6" xfId="26335" xr:uid="{00000000-0005-0000-0000-0000C3670000}"/>
    <cellStyle name="SAPBEXaggDataEmph 3 6 2" xfId="31123" xr:uid="{B0912D5A-4199-4E2F-82B5-0A57B390166A}"/>
    <cellStyle name="SAPBEXaggDataEmph 3 7" xfId="29495" xr:uid="{00000000-0005-0000-0000-0000C4670000}"/>
    <cellStyle name="SAPBEXaggDataEmph 3 8" xfId="30350" xr:uid="{CE8C22E6-CB94-4204-8026-F5795026450D}"/>
    <cellStyle name="SAPBEXaggDataEmph 4" xfId="25091" xr:uid="{00000000-0005-0000-0000-0000C5670000}"/>
    <cellStyle name="SAPBEXaggDataEmph 4 2" xfId="25367" xr:uid="{00000000-0005-0000-0000-0000C6670000}"/>
    <cellStyle name="SAPBEXaggDataEmph 4 2 2" xfId="27521" xr:uid="{00000000-0005-0000-0000-0000C7670000}"/>
    <cellStyle name="SAPBEXaggDataEmph 4 2 2 2" xfId="32112" xr:uid="{C60A40D3-CA18-440D-84D5-97A0AB28A92B}"/>
    <cellStyle name="SAPBEXaggDataEmph 4 2 3" xfId="27947" xr:uid="{00000000-0005-0000-0000-0000C8670000}"/>
    <cellStyle name="SAPBEXaggDataEmph 4 2 3 2" xfId="32505" xr:uid="{74ADEB43-6520-48C9-93DA-575FF4DF576F}"/>
    <cellStyle name="SAPBEXaggDataEmph 4 2 4" xfId="26168" xr:uid="{00000000-0005-0000-0000-0000C9670000}"/>
    <cellStyle name="SAPBEXaggDataEmph 4 2 4 2" xfId="30957" xr:uid="{7498BD9D-4CFA-4BA3-A766-D10F4DADCFC5}"/>
    <cellStyle name="SAPBEXaggDataEmph 4 2 5" xfId="29499" xr:uid="{00000000-0005-0000-0000-0000CA670000}"/>
    <cellStyle name="SAPBEXaggDataEmph 4 2 6" xfId="30525" xr:uid="{0DF722A9-6088-4F15-8DF4-B550AD786D53}"/>
    <cellStyle name="SAPBEXaggDataEmph 4 3" xfId="25689" xr:uid="{00000000-0005-0000-0000-0000CB670000}"/>
    <cellStyle name="SAPBEXaggDataEmph 4 3 2" xfId="27842" xr:uid="{00000000-0005-0000-0000-0000CC670000}"/>
    <cellStyle name="SAPBEXaggDataEmph 4 3 2 2" xfId="32429" xr:uid="{6D1EF92A-2F89-4686-BD41-5D42C59E3E95}"/>
    <cellStyle name="SAPBEXaggDataEmph 4 3 3" xfId="27948" xr:uid="{00000000-0005-0000-0000-0000CD670000}"/>
    <cellStyle name="SAPBEXaggDataEmph 4 3 3 2" xfId="32506" xr:uid="{014DF5EE-92F5-45CB-84FA-9CC5EC3D2E70}"/>
    <cellStyle name="SAPBEXaggDataEmph 4 3 4" xfId="26948" xr:uid="{00000000-0005-0000-0000-0000CE670000}"/>
    <cellStyle name="SAPBEXaggDataEmph 4 3 4 2" xfId="31709" xr:uid="{1F734CDA-9E62-4294-ABFB-DEDC42CE4FE5}"/>
    <cellStyle name="SAPBEXaggDataEmph 4 3 5" xfId="29500" xr:uid="{00000000-0005-0000-0000-0000CF670000}"/>
    <cellStyle name="SAPBEXaggDataEmph 4 3 6" xfId="30683" xr:uid="{2AE0CF79-EC92-429E-872B-1F1F038F54D9}"/>
    <cellStyle name="SAPBEXaggDataEmph 4 4" xfId="27376" xr:uid="{00000000-0005-0000-0000-0000D0670000}"/>
    <cellStyle name="SAPBEXaggDataEmph 4 4 2" xfId="31974" xr:uid="{08031EE0-56B8-4D53-96A5-435E3924EC4F}"/>
    <cellStyle name="SAPBEXaggDataEmph 4 5" xfId="27946" xr:uid="{00000000-0005-0000-0000-0000D1670000}"/>
    <cellStyle name="SAPBEXaggDataEmph 4 5 2" xfId="32504" xr:uid="{C924DCD7-521E-4822-A44C-DACCFA12BDD1}"/>
    <cellStyle name="SAPBEXaggDataEmph 4 6" xfId="26469" xr:uid="{00000000-0005-0000-0000-0000D2670000}"/>
    <cellStyle name="SAPBEXaggDataEmph 4 6 2" xfId="31257" xr:uid="{17D2FE2B-EE31-4346-A44A-9C14017DC7A2}"/>
    <cellStyle name="SAPBEXaggDataEmph 4 7" xfId="29498" xr:uid="{00000000-0005-0000-0000-0000D3670000}"/>
    <cellStyle name="SAPBEXaggDataEmph 4 8" xfId="30391" xr:uid="{A84C56A4-17F0-4821-9032-911516372ACB}"/>
    <cellStyle name="SAPBEXaggDataEmph 5" xfId="25818" xr:uid="{00000000-0005-0000-0000-0000D4670000}"/>
    <cellStyle name="SAPBEXaggDataEmph 5 2" xfId="30737" xr:uid="{B8528054-D1B1-4038-8ADF-60AA48A9EC58}"/>
    <cellStyle name="SAPBEXaggDataEmph 6" xfId="27940" xr:uid="{00000000-0005-0000-0000-0000D5670000}"/>
    <cellStyle name="SAPBEXaggDataEmph 6 2" xfId="32498" xr:uid="{5847BF2B-83B2-49AD-B8D3-94C31F1E910B}"/>
    <cellStyle name="SAPBEXaggDataEmph 7" xfId="26491" xr:uid="{00000000-0005-0000-0000-0000D6670000}"/>
    <cellStyle name="SAPBEXaggDataEmph 7 2" xfId="31279" xr:uid="{0A8DB18F-F016-424D-97B4-F9ADB4A9F546}"/>
    <cellStyle name="SAPBEXaggDataEmph 8" xfId="29492" xr:uid="{00000000-0005-0000-0000-0000D7670000}"/>
    <cellStyle name="SAPBEXaggItem" xfId="74" xr:uid="{00000000-0005-0000-0000-0000D8670000}"/>
    <cellStyle name="SAPBEXaggItem 10" xfId="24684" xr:uid="{00000000-0005-0000-0000-0000D9670000}"/>
    <cellStyle name="SAPBEXaggItem 10 2" xfId="25409" xr:uid="{00000000-0005-0000-0000-0000DA670000}"/>
    <cellStyle name="SAPBEXaggItem 10 2 2" xfId="27563" xr:uid="{00000000-0005-0000-0000-0000DB670000}"/>
    <cellStyle name="SAPBEXaggItem 10 2 2 2" xfId="32154" xr:uid="{B74521FE-3223-4315-B9F7-61B24C7722D1}"/>
    <cellStyle name="SAPBEXaggItem 10 2 3" xfId="27951" xr:uid="{00000000-0005-0000-0000-0000DC670000}"/>
    <cellStyle name="SAPBEXaggItem 10 2 3 2" xfId="32509" xr:uid="{8E92B197-D23C-46DE-B3A6-F5AEE1E594A1}"/>
    <cellStyle name="SAPBEXaggItem 10 2 4" xfId="26166" xr:uid="{00000000-0005-0000-0000-0000DD670000}"/>
    <cellStyle name="SAPBEXaggItem 10 2 4 2" xfId="30955" xr:uid="{28491B5D-5E3F-4863-993D-5098E5BD2FD5}"/>
    <cellStyle name="SAPBEXaggItem 10 2 5" xfId="29503" xr:uid="{00000000-0005-0000-0000-0000DE670000}"/>
    <cellStyle name="SAPBEXaggItem 10 2 6" xfId="30567" xr:uid="{087DDFF5-E1C2-4399-9217-80D462584BD0}"/>
    <cellStyle name="SAPBEXaggItem 10 3" xfId="25647" xr:uid="{00000000-0005-0000-0000-0000DF670000}"/>
    <cellStyle name="SAPBEXaggItem 10 3 2" xfId="27800" xr:uid="{00000000-0005-0000-0000-0000E0670000}"/>
    <cellStyle name="SAPBEXaggItem 10 3 2 2" xfId="32387" xr:uid="{072507D8-4F56-461F-87DD-3E5504A66281}"/>
    <cellStyle name="SAPBEXaggItem 10 3 3" xfId="27952" xr:uid="{00000000-0005-0000-0000-0000E1670000}"/>
    <cellStyle name="SAPBEXaggItem 10 3 3 2" xfId="32510" xr:uid="{8F26D6BE-33FF-46CF-B902-F04EAB5440C3}"/>
    <cellStyle name="SAPBEXaggItem 10 3 4" xfId="26882" xr:uid="{00000000-0005-0000-0000-0000E2670000}"/>
    <cellStyle name="SAPBEXaggItem 10 3 4 2" xfId="31643" xr:uid="{1F3F05EC-9B52-4B68-8634-3F260E3E6DEC}"/>
    <cellStyle name="SAPBEXaggItem 10 3 5" xfId="29504" xr:uid="{00000000-0005-0000-0000-0000E3670000}"/>
    <cellStyle name="SAPBEXaggItem 10 4" xfId="27274" xr:uid="{00000000-0005-0000-0000-0000E4670000}"/>
    <cellStyle name="SAPBEXaggItem 10 4 2" xfId="31909" xr:uid="{A1C4326E-6013-4ECF-A55C-5471B7C7F821}"/>
    <cellStyle name="SAPBEXaggItem 10 5" xfId="27950" xr:uid="{00000000-0005-0000-0000-0000E5670000}"/>
    <cellStyle name="SAPBEXaggItem 10 5 2" xfId="32508" xr:uid="{F5277112-7DF0-4B8D-9164-B8663DE8CEF8}"/>
    <cellStyle name="SAPBEXaggItem 10 6" xfId="26857" xr:uid="{00000000-0005-0000-0000-0000E6670000}"/>
    <cellStyle name="SAPBEXaggItem 10 6 2" xfId="31618" xr:uid="{9C4842F1-45BB-4F44-88A1-95852B3A1866}"/>
    <cellStyle name="SAPBEXaggItem 10 7" xfId="29502" xr:uid="{00000000-0005-0000-0000-0000E7670000}"/>
    <cellStyle name="SAPBEXaggItem 10 8" xfId="30349" xr:uid="{D4A5156A-0B15-4B6E-A55D-63F7DFA21BE2}"/>
    <cellStyle name="SAPBEXaggItem 11" xfId="25092" xr:uid="{00000000-0005-0000-0000-0000E8670000}"/>
    <cellStyle name="SAPBEXaggItem 11 2" xfId="25381" xr:uid="{00000000-0005-0000-0000-0000E9670000}"/>
    <cellStyle name="SAPBEXaggItem 11 2 2" xfId="27535" xr:uid="{00000000-0005-0000-0000-0000EA670000}"/>
    <cellStyle name="SAPBEXaggItem 11 2 2 2" xfId="32126" xr:uid="{9EF60B37-DA76-47E9-AA2B-F013E73D8547}"/>
    <cellStyle name="SAPBEXaggItem 11 2 3" xfId="27954" xr:uid="{00000000-0005-0000-0000-0000EB670000}"/>
    <cellStyle name="SAPBEXaggItem 11 2 3 2" xfId="32512" xr:uid="{D4AA14C8-5798-4FA9-B1FA-69FD2FF5A912}"/>
    <cellStyle name="SAPBEXaggItem 11 2 4" xfId="26406" xr:uid="{00000000-0005-0000-0000-0000EC670000}"/>
    <cellStyle name="SAPBEXaggItem 11 2 4 2" xfId="31194" xr:uid="{8C113BAD-F87E-4528-B8E6-E39F9AC629DC}"/>
    <cellStyle name="SAPBEXaggItem 11 2 5" xfId="29506" xr:uid="{00000000-0005-0000-0000-0000ED670000}"/>
    <cellStyle name="SAPBEXaggItem 11 2 6" xfId="30539" xr:uid="{9053DE92-000A-4A2D-A739-A4DFF2169072}"/>
    <cellStyle name="SAPBEXaggItem 11 3" xfId="25690" xr:uid="{00000000-0005-0000-0000-0000EE670000}"/>
    <cellStyle name="SAPBEXaggItem 11 3 2" xfId="27843" xr:uid="{00000000-0005-0000-0000-0000EF670000}"/>
    <cellStyle name="SAPBEXaggItem 11 3 2 2" xfId="32430" xr:uid="{3917EC53-AED7-4A4A-A917-7FB25A88AE77}"/>
    <cellStyle name="SAPBEXaggItem 11 3 3" xfId="27955" xr:uid="{00000000-0005-0000-0000-0000F0670000}"/>
    <cellStyle name="SAPBEXaggItem 11 3 3 2" xfId="32513" xr:uid="{21A5235B-3031-4DFB-9FB6-1D326A7F0F52}"/>
    <cellStyle name="SAPBEXaggItem 11 3 4" xfId="26301" xr:uid="{00000000-0005-0000-0000-0000F1670000}"/>
    <cellStyle name="SAPBEXaggItem 11 3 4 2" xfId="31089" xr:uid="{85F038BF-B8F1-465E-82BE-8E5EB06A0DF3}"/>
    <cellStyle name="SAPBEXaggItem 11 3 5" xfId="29507" xr:uid="{00000000-0005-0000-0000-0000F2670000}"/>
    <cellStyle name="SAPBEXaggItem 11 3 6" xfId="30684" xr:uid="{0AECF593-E8A6-48AF-9EAD-894F056B0478}"/>
    <cellStyle name="SAPBEXaggItem 11 4" xfId="27377" xr:uid="{00000000-0005-0000-0000-0000F3670000}"/>
    <cellStyle name="SAPBEXaggItem 11 4 2" xfId="31975" xr:uid="{8304FCC8-0802-4D5D-8448-ED0454F17D0D}"/>
    <cellStyle name="SAPBEXaggItem 11 5" xfId="27953" xr:uid="{00000000-0005-0000-0000-0000F4670000}"/>
    <cellStyle name="SAPBEXaggItem 11 5 2" xfId="32511" xr:uid="{25658C88-2B1B-4681-8D31-1076576BB356}"/>
    <cellStyle name="SAPBEXaggItem 11 6" xfId="26383" xr:uid="{00000000-0005-0000-0000-0000F5670000}"/>
    <cellStyle name="SAPBEXaggItem 11 6 2" xfId="31171" xr:uid="{7D0356DA-B7A3-484B-8302-C3C25C3622A2}"/>
    <cellStyle name="SAPBEXaggItem 11 7" xfId="29505" xr:uid="{00000000-0005-0000-0000-0000F6670000}"/>
    <cellStyle name="SAPBEXaggItem 11 8" xfId="30392" xr:uid="{4D7370D3-43AD-4149-B84C-E3D9D496FBEA}"/>
    <cellStyle name="SAPBEXaggItem 12" xfId="25819" xr:uid="{00000000-0005-0000-0000-0000F7670000}"/>
    <cellStyle name="SAPBEXaggItem 12 2" xfId="30738" xr:uid="{C44E6247-E667-40D1-AD82-825B574EB392}"/>
    <cellStyle name="SAPBEXaggItem 13" xfId="27949" xr:uid="{00000000-0005-0000-0000-0000F8670000}"/>
    <cellStyle name="SAPBEXaggItem 13 2" xfId="32507" xr:uid="{2176C963-0CFC-416B-A0B4-232FAA12E1E8}"/>
    <cellStyle name="SAPBEXaggItem 14" xfId="26205" xr:uid="{00000000-0005-0000-0000-0000F9670000}"/>
    <cellStyle name="SAPBEXaggItem 14 2" xfId="30993" xr:uid="{6862602F-FADD-4028-B18E-34A738147A8F}"/>
    <cellStyle name="SAPBEXaggItem 15" xfId="29501" xr:uid="{00000000-0005-0000-0000-0000FA670000}"/>
    <cellStyle name="SAPBEXaggItem 2" xfId="75" xr:uid="{00000000-0005-0000-0000-0000FB670000}"/>
    <cellStyle name="SAPBEXaggItem 2 2" xfId="13624" xr:uid="{00000000-0005-0000-0000-0000FC670000}"/>
    <cellStyle name="SAPBEXaggItem 2 2 2" xfId="25462" xr:uid="{00000000-0005-0000-0000-0000FD670000}"/>
    <cellStyle name="SAPBEXaggItem 2 2 2 2" xfId="27615" xr:uid="{00000000-0005-0000-0000-0000FE670000}"/>
    <cellStyle name="SAPBEXaggItem 2 2 2 2 2" xfId="32202" xr:uid="{30541DEC-64B5-4BE6-83BD-03894DAA1359}"/>
    <cellStyle name="SAPBEXaggItem 2 2 2 3" xfId="27958" xr:uid="{00000000-0005-0000-0000-0000FF670000}"/>
    <cellStyle name="SAPBEXaggItem 2 2 2 3 2" xfId="32516" xr:uid="{243936E6-9CCC-4ADE-B24B-B103CA1240FE}"/>
    <cellStyle name="SAPBEXaggItem 2 2 2 4" xfId="26317" xr:uid="{00000000-0005-0000-0000-000000680000}"/>
    <cellStyle name="SAPBEXaggItem 2 2 2 4 2" xfId="31105" xr:uid="{3A9F09F0-3B32-45E4-9A11-A75A646612DE}"/>
    <cellStyle name="SAPBEXaggItem 2 2 2 5" xfId="29510" xr:uid="{00000000-0005-0000-0000-000001680000}"/>
    <cellStyle name="SAPBEXaggItem 2 2 3" xfId="26566" xr:uid="{00000000-0005-0000-0000-000002680000}"/>
    <cellStyle name="SAPBEXaggItem 2 2 3 2" xfId="31344" xr:uid="{D6E0D68C-EEF2-410B-8506-72321522D36D}"/>
    <cellStyle name="SAPBEXaggItem 2 2 4" xfId="27957" xr:uid="{00000000-0005-0000-0000-000003680000}"/>
    <cellStyle name="SAPBEXaggItem 2 2 4 2" xfId="32515" xr:uid="{2C7299DB-CE41-4D72-BC5B-6BBED918FD1F}"/>
    <cellStyle name="SAPBEXaggItem 2 2 5" xfId="26904" xr:uid="{00000000-0005-0000-0000-000004680000}"/>
    <cellStyle name="SAPBEXaggItem 2 2 5 2" xfId="31665" xr:uid="{506E356D-917B-44CD-8505-8A3C4CA07E7D}"/>
    <cellStyle name="SAPBEXaggItem 2 2 6" xfId="29509" xr:uid="{00000000-0005-0000-0000-000005680000}"/>
    <cellStyle name="SAPBEXaggItem 2 2 7" xfId="30164" xr:uid="{ED9227BC-E626-4CE1-9D94-689DFC627FD4}"/>
    <cellStyle name="SAPBEXaggItem 2 3" xfId="25820" xr:uid="{00000000-0005-0000-0000-000006680000}"/>
    <cellStyle name="SAPBEXaggItem 2 3 2" xfId="30739" xr:uid="{F5DCAC4C-336B-46A1-AB4B-8FBE0EA3C44E}"/>
    <cellStyle name="SAPBEXaggItem 2 4" xfId="27956" xr:uid="{00000000-0005-0000-0000-000007680000}"/>
    <cellStyle name="SAPBEXaggItem 2 4 2" xfId="32514" xr:uid="{E7BB1285-BFD4-4ED4-B845-0F9ED9341F4A}"/>
    <cellStyle name="SAPBEXaggItem 2 5" xfId="26062" xr:uid="{00000000-0005-0000-0000-000008680000}"/>
    <cellStyle name="SAPBEXaggItem 2 5 2" xfId="30852" xr:uid="{443E3975-48FE-4B9B-B914-3E705D7CDB18}"/>
    <cellStyle name="SAPBEXaggItem 2 6" xfId="29508" xr:uid="{00000000-0005-0000-0000-000009680000}"/>
    <cellStyle name="SAPBEXaggItem 3" xfId="219" xr:uid="{00000000-0005-0000-0000-00000A680000}"/>
    <cellStyle name="SAPBEXaggItem 3 2" xfId="13705" xr:uid="{00000000-0005-0000-0000-00000B680000}"/>
    <cellStyle name="SAPBEXaggItem 3 2 2" xfId="25519" xr:uid="{00000000-0005-0000-0000-00000C680000}"/>
    <cellStyle name="SAPBEXaggItem 3 2 2 2" xfId="27672" xr:uid="{00000000-0005-0000-0000-00000D680000}"/>
    <cellStyle name="SAPBEXaggItem 3 2 2 2 2" xfId="32259" xr:uid="{E0D9915F-48B2-4A39-A1C6-B538D9B38EEF}"/>
    <cellStyle name="SAPBEXaggItem 3 2 2 3" xfId="27961" xr:uid="{00000000-0005-0000-0000-00000E680000}"/>
    <cellStyle name="SAPBEXaggItem 3 2 2 3 2" xfId="32519" xr:uid="{A36459F3-A8BF-46E1-99C3-E1E1370FE7E6}"/>
    <cellStyle name="SAPBEXaggItem 3 2 2 4" xfId="26391" xr:uid="{00000000-0005-0000-0000-00000F680000}"/>
    <cellStyle name="SAPBEXaggItem 3 2 2 4 2" xfId="31179" xr:uid="{2001A3B1-D2F7-40F1-9F97-31ECF3C5AB7E}"/>
    <cellStyle name="SAPBEXaggItem 3 2 2 5" xfId="29513" xr:uid="{00000000-0005-0000-0000-000010680000}"/>
    <cellStyle name="SAPBEXaggItem 3 2 3" xfId="26625" xr:uid="{00000000-0005-0000-0000-000011680000}"/>
    <cellStyle name="SAPBEXaggItem 3 2 3 2" xfId="31402" xr:uid="{55D7E3F3-579D-414B-BDD8-77933C8AE563}"/>
    <cellStyle name="SAPBEXaggItem 3 2 4" xfId="27960" xr:uid="{00000000-0005-0000-0000-000012680000}"/>
    <cellStyle name="SAPBEXaggItem 3 2 4 2" xfId="32518" xr:uid="{C9F67F0F-C2F5-4DB9-8A37-DE5151299EA9}"/>
    <cellStyle name="SAPBEXaggItem 3 2 5" xfId="26266" xr:uid="{00000000-0005-0000-0000-000013680000}"/>
    <cellStyle name="SAPBEXaggItem 3 2 5 2" xfId="31054" xr:uid="{2CB9EBD2-ED97-42D5-8BF5-DC9776F42581}"/>
    <cellStyle name="SAPBEXaggItem 3 2 6" xfId="29512" xr:uid="{00000000-0005-0000-0000-000014680000}"/>
    <cellStyle name="SAPBEXaggItem 3 2 7" xfId="30221" xr:uid="{D10B12E2-130C-4B7C-964C-454B96EA5F50}"/>
    <cellStyle name="SAPBEXaggItem 3 3" xfId="25908" xr:uid="{00000000-0005-0000-0000-000015680000}"/>
    <cellStyle name="SAPBEXaggItem 3 3 2" xfId="30797" xr:uid="{93CC1510-AFC5-4F35-890C-252E33BC0A70}"/>
    <cellStyle name="SAPBEXaggItem 3 4" xfId="27959" xr:uid="{00000000-0005-0000-0000-000016680000}"/>
    <cellStyle name="SAPBEXaggItem 3 4 2" xfId="32517" xr:uid="{D92CA0BD-2D77-45C8-82F1-BF46574C2C5B}"/>
    <cellStyle name="SAPBEXaggItem 3 5" xfId="26052" xr:uid="{00000000-0005-0000-0000-000017680000}"/>
    <cellStyle name="SAPBEXaggItem 3 5 2" xfId="30844" xr:uid="{07EC4D8B-E13C-47C3-91FD-1C8BB3D41CEE}"/>
    <cellStyle name="SAPBEXaggItem 3 6" xfId="29511" xr:uid="{00000000-0005-0000-0000-000018680000}"/>
    <cellStyle name="SAPBEXaggItem 4" xfId="220" xr:uid="{00000000-0005-0000-0000-000019680000}"/>
    <cellStyle name="SAPBEXaggItem 4 2" xfId="13706" xr:uid="{00000000-0005-0000-0000-00001A680000}"/>
    <cellStyle name="SAPBEXaggItem 4 2 2" xfId="25520" xr:uid="{00000000-0005-0000-0000-00001B680000}"/>
    <cellStyle name="SAPBEXaggItem 4 2 2 2" xfId="27673" xr:uid="{00000000-0005-0000-0000-00001C680000}"/>
    <cellStyle name="SAPBEXaggItem 4 2 2 2 2" xfId="32260" xr:uid="{12BE9DC6-3CEC-420A-B5DF-31866BD31115}"/>
    <cellStyle name="SAPBEXaggItem 4 2 2 3" xfId="27964" xr:uid="{00000000-0005-0000-0000-00001D680000}"/>
    <cellStyle name="SAPBEXaggItem 4 2 2 3 2" xfId="32522" xr:uid="{3683C39F-22FE-4CFE-8E83-EF5C4FDE981B}"/>
    <cellStyle name="SAPBEXaggItem 4 2 2 4" xfId="27163" xr:uid="{00000000-0005-0000-0000-00001E680000}"/>
    <cellStyle name="SAPBEXaggItem 4 2 2 4 2" xfId="31854" xr:uid="{2C9E21CE-4E16-4A3E-93F1-2B22D5B5B9FF}"/>
    <cellStyle name="SAPBEXaggItem 4 2 2 5" xfId="29516" xr:uid="{00000000-0005-0000-0000-00001F680000}"/>
    <cellStyle name="SAPBEXaggItem 4 2 3" xfId="26626" xr:uid="{00000000-0005-0000-0000-000020680000}"/>
    <cellStyle name="SAPBEXaggItem 4 2 3 2" xfId="31403" xr:uid="{29E490A9-FFE6-4DBB-8117-4AEE49724ED3}"/>
    <cellStyle name="SAPBEXaggItem 4 2 4" xfId="27963" xr:uid="{00000000-0005-0000-0000-000021680000}"/>
    <cellStyle name="SAPBEXaggItem 4 2 4 2" xfId="32521" xr:uid="{2C5E36BC-A357-4C32-BA7C-D8FE10BE020B}"/>
    <cellStyle name="SAPBEXaggItem 4 2 5" xfId="26768" xr:uid="{00000000-0005-0000-0000-000022680000}"/>
    <cellStyle name="SAPBEXaggItem 4 2 5 2" xfId="31529" xr:uid="{B6F2BA62-FD11-4C09-9643-0B51AD09C6A5}"/>
    <cellStyle name="SAPBEXaggItem 4 2 6" xfId="29515" xr:uid="{00000000-0005-0000-0000-000023680000}"/>
    <cellStyle name="SAPBEXaggItem 4 2 7" xfId="30222" xr:uid="{2BD0EDD7-9FF1-4F38-BB5B-89384F5A2462}"/>
    <cellStyle name="SAPBEXaggItem 4 3" xfId="25909" xr:uid="{00000000-0005-0000-0000-000024680000}"/>
    <cellStyle name="SAPBEXaggItem 4 3 2" xfId="30798" xr:uid="{3BB2477D-00FB-4CDC-97E2-DAC118639692}"/>
    <cellStyle name="SAPBEXaggItem 4 4" xfId="27962" xr:uid="{00000000-0005-0000-0000-000025680000}"/>
    <cellStyle name="SAPBEXaggItem 4 4 2" xfId="32520" xr:uid="{6D5015CE-FF43-4B1C-B7CB-18ACE62B6A46}"/>
    <cellStyle name="SAPBEXaggItem 4 5" xfId="26183" xr:uid="{00000000-0005-0000-0000-000026680000}"/>
    <cellStyle name="SAPBEXaggItem 4 5 2" xfId="30971" xr:uid="{C3C28DB1-4E5B-4A9F-B559-C69A309D466D}"/>
    <cellStyle name="SAPBEXaggItem 4 6" xfId="29514" xr:uid="{00000000-0005-0000-0000-000027680000}"/>
    <cellStyle name="SAPBEXaggItem 5" xfId="221" xr:uid="{00000000-0005-0000-0000-000028680000}"/>
    <cellStyle name="SAPBEXaggItem 5 2" xfId="13707" xr:uid="{00000000-0005-0000-0000-000029680000}"/>
    <cellStyle name="SAPBEXaggItem 5 2 2" xfId="25521" xr:uid="{00000000-0005-0000-0000-00002A680000}"/>
    <cellStyle name="SAPBEXaggItem 5 2 2 2" xfId="27674" xr:uid="{00000000-0005-0000-0000-00002B680000}"/>
    <cellStyle name="SAPBEXaggItem 5 2 2 2 2" xfId="32261" xr:uid="{F182A2F6-136E-4C5C-B752-423E88972946}"/>
    <cellStyle name="SAPBEXaggItem 5 2 2 3" xfId="27967" xr:uid="{00000000-0005-0000-0000-00002C680000}"/>
    <cellStyle name="SAPBEXaggItem 5 2 2 3 2" xfId="32525" xr:uid="{21CE2B0C-82D9-4D40-BBE0-03E0CB1F148F}"/>
    <cellStyle name="SAPBEXaggItem 5 2 2 4" xfId="26981" xr:uid="{00000000-0005-0000-0000-00002D680000}"/>
    <cellStyle name="SAPBEXaggItem 5 2 2 4 2" xfId="31742" xr:uid="{5EDE199C-AC74-4F72-A100-2351A2C24FA1}"/>
    <cellStyle name="SAPBEXaggItem 5 2 2 5" xfId="29519" xr:uid="{00000000-0005-0000-0000-00002E680000}"/>
    <cellStyle name="SAPBEXaggItem 5 2 3" xfId="26627" xr:uid="{00000000-0005-0000-0000-00002F680000}"/>
    <cellStyle name="SAPBEXaggItem 5 2 3 2" xfId="31404" xr:uid="{F06AB396-BE62-4021-B130-0CFFC7C032E9}"/>
    <cellStyle name="SAPBEXaggItem 5 2 4" xfId="27966" xr:uid="{00000000-0005-0000-0000-000030680000}"/>
    <cellStyle name="SAPBEXaggItem 5 2 4 2" xfId="32524" xr:uid="{19737641-C03F-4A72-A575-F51089BCABE1}"/>
    <cellStyle name="SAPBEXaggItem 5 2 5" xfId="26119" xr:uid="{00000000-0005-0000-0000-000031680000}"/>
    <cellStyle name="SAPBEXaggItem 5 2 5 2" xfId="30909" xr:uid="{C9550E93-7063-404A-B355-B3C27B905E31}"/>
    <cellStyle name="SAPBEXaggItem 5 2 6" xfId="29518" xr:uid="{00000000-0005-0000-0000-000032680000}"/>
    <cellStyle name="SAPBEXaggItem 5 2 7" xfId="30223" xr:uid="{EC26C7B1-6A5D-420F-B943-F9928E2DB865}"/>
    <cellStyle name="SAPBEXaggItem 5 3" xfId="25910" xr:uid="{00000000-0005-0000-0000-000033680000}"/>
    <cellStyle name="SAPBEXaggItem 5 3 2" xfId="30799" xr:uid="{C46D9E85-4898-4E54-8A1C-59F7B438F9C1}"/>
    <cellStyle name="SAPBEXaggItem 5 4" xfId="27965" xr:uid="{00000000-0005-0000-0000-000034680000}"/>
    <cellStyle name="SAPBEXaggItem 5 4 2" xfId="32523" xr:uid="{7679A9AF-7641-43FE-B6C7-A5314B750B0C}"/>
    <cellStyle name="SAPBEXaggItem 5 5" xfId="26306" xr:uid="{00000000-0005-0000-0000-000035680000}"/>
    <cellStyle name="SAPBEXaggItem 5 5 2" xfId="31094" xr:uid="{E519DC92-CF95-41D7-8289-DB84D6485529}"/>
    <cellStyle name="SAPBEXaggItem 5 6" xfId="29517" xr:uid="{00000000-0005-0000-0000-000036680000}"/>
    <cellStyle name="SAPBEXaggItem 6" xfId="222" xr:uid="{00000000-0005-0000-0000-000037680000}"/>
    <cellStyle name="SAPBEXaggItem 6 2" xfId="13708" xr:uid="{00000000-0005-0000-0000-000038680000}"/>
    <cellStyle name="SAPBEXaggItem 6 2 2" xfId="25522" xr:uid="{00000000-0005-0000-0000-000039680000}"/>
    <cellStyle name="SAPBEXaggItem 6 2 2 2" xfId="27675" xr:uid="{00000000-0005-0000-0000-00003A680000}"/>
    <cellStyle name="SAPBEXaggItem 6 2 2 2 2" xfId="32262" xr:uid="{70242670-B391-433E-A32A-C92D71F3AD0A}"/>
    <cellStyle name="SAPBEXaggItem 6 2 2 3" xfId="27970" xr:uid="{00000000-0005-0000-0000-00003B680000}"/>
    <cellStyle name="SAPBEXaggItem 6 2 2 3 2" xfId="32528" xr:uid="{64E16CD8-6486-4FE8-8F4E-E69AE53A5526}"/>
    <cellStyle name="SAPBEXaggItem 6 2 2 4" xfId="26906" xr:uid="{00000000-0005-0000-0000-00003C680000}"/>
    <cellStyle name="SAPBEXaggItem 6 2 2 4 2" xfId="31667" xr:uid="{D3E14612-9744-4683-93F9-2B2638AA0336}"/>
    <cellStyle name="SAPBEXaggItem 6 2 2 5" xfId="29522" xr:uid="{00000000-0005-0000-0000-00003D680000}"/>
    <cellStyle name="SAPBEXaggItem 6 2 3" xfId="26628" xr:uid="{00000000-0005-0000-0000-00003E680000}"/>
    <cellStyle name="SAPBEXaggItem 6 2 3 2" xfId="31405" xr:uid="{716FFE8D-5284-49AB-89D9-99DE794BA86D}"/>
    <cellStyle name="SAPBEXaggItem 6 2 4" xfId="27969" xr:uid="{00000000-0005-0000-0000-00003F680000}"/>
    <cellStyle name="SAPBEXaggItem 6 2 4 2" xfId="32527" xr:uid="{78C3EFA7-7D05-4EA5-9401-D28A456615DB}"/>
    <cellStyle name="SAPBEXaggItem 6 2 5" xfId="26461" xr:uid="{00000000-0005-0000-0000-000040680000}"/>
    <cellStyle name="SAPBEXaggItem 6 2 5 2" xfId="31249" xr:uid="{99BEE67C-2864-45E8-BB85-005360524347}"/>
    <cellStyle name="SAPBEXaggItem 6 2 6" xfId="29521" xr:uid="{00000000-0005-0000-0000-000041680000}"/>
    <cellStyle name="SAPBEXaggItem 6 2 7" xfId="30224" xr:uid="{B15A37A5-992A-4823-A40D-4B5688652881}"/>
    <cellStyle name="SAPBEXaggItem 6 3" xfId="25911" xr:uid="{00000000-0005-0000-0000-000042680000}"/>
    <cellStyle name="SAPBEXaggItem 6 3 2" xfId="30800" xr:uid="{A0E1E6C9-5E57-4A3B-953C-13A06DD4CFF2}"/>
    <cellStyle name="SAPBEXaggItem 6 4" xfId="27968" xr:uid="{00000000-0005-0000-0000-000043680000}"/>
    <cellStyle name="SAPBEXaggItem 6 4 2" xfId="32526" xr:uid="{785162A5-177D-43D5-82A9-26E82C406B05}"/>
    <cellStyle name="SAPBEXaggItem 6 5" xfId="28548" xr:uid="{00000000-0005-0000-0000-000044680000}"/>
    <cellStyle name="SAPBEXaggItem 6 5 2" xfId="33106" xr:uid="{2467F98B-6CD6-483E-B94B-CC3FF76D9299}"/>
    <cellStyle name="SAPBEXaggItem 6 6" xfId="29520" xr:uid="{00000000-0005-0000-0000-000045680000}"/>
    <cellStyle name="SAPBEXaggItem 7" xfId="223" xr:uid="{00000000-0005-0000-0000-000046680000}"/>
    <cellStyle name="SAPBEXaggItem 7 2" xfId="13709" xr:uid="{00000000-0005-0000-0000-000047680000}"/>
    <cellStyle name="SAPBEXaggItem 7 2 2" xfId="25523" xr:uid="{00000000-0005-0000-0000-000048680000}"/>
    <cellStyle name="SAPBEXaggItem 7 2 2 2" xfId="27676" xr:uid="{00000000-0005-0000-0000-000049680000}"/>
    <cellStyle name="SAPBEXaggItem 7 2 2 2 2" xfId="32263" xr:uid="{EBD34FBB-AB38-416A-B8B3-69982702EC2D}"/>
    <cellStyle name="SAPBEXaggItem 7 2 2 3" xfId="27973" xr:uid="{00000000-0005-0000-0000-00004A680000}"/>
    <cellStyle name="SAPBEXaggItem 7 2 2 3 2" xfId="32531" xr:uid="{BB800DF0-1DAA-4642-936B-B343D0B7F122}"/>
    <cellStyle name="SAPBEXaggItem 7 2 2 4" xfId="26186" xr:uid="{00000000-0005-0000-0000-00004B680000}"/>
    <cellStyle name="SAPBEXaggItem 7 2 2 4 2" xfId="30974" xr:uid="{0947358E-CCFC-4C3B-A089-E811AFFD7A4F}"/>
    <cellStyle name="SAPBEXaggItem 7 2 2 5" xfId="29525" xr:uid="{00000000-0005-0000-0000-00004C680000}"/>
    <cellStyle name="SAPBEXaggItem 7 2 3" xfId="26629" xr:uid="{00000000-0005-0000-0000-00004D680000}"/>
    <cellStyle name="SAPBEXaggItem 7 2 3 2" xfId="31406" xr:uid="{3C3E1C8D-AF5E-4346-9571-C9A85D4981D3}"/>
    <cellStyle name="SAPBEXaggItem 7 2 4" xfId="27972" xr:uid="{00000000-0005-0000-0000-00004E680000}"/>
    <cellStyle name="SAPBEXaggItem 7 2 4 2" xfId="32530" xr:uid="{DC1BEBE2-944A-499F-BB39-BDE5FDD96BE0}"/>
    <cellStyle name="SAPBEXaggItem 7 2 5" xfId="26674" xr:uid="{00000000-0005-0000-0000-00004F680000}"/>
    <cellStyle name="SAPBEXaggItem 7 2 5 2" xfId="31442" xr:uid="{EFC2B2CC-BD19-48E7-ADD3-7633624B8FD2}"/>
    <cellStyle name="SAPBEXaggItem 7 2 6" xfId="29524" xr:uid="{00000000-0005-0000-0000-000050680000}"/>
    <cellStyle name="SAPBEXaggItem 7 2 7" xfId="30225" xr:uid="{93D4D274-EF56-4D53-A2C2-780C19DB2077}"/>
    <cellStyle name="SAPBEXaggItem 7 3" xfId="25912" xr:uid="{00000000-0005-0000-0000-000051680000}"/>
    <cellStyle name="SAPBEXaggItem 7 3 2" xfId="30801" xr:uid="{24FEE470-F957-4AE2-A667-1246E849CB65}"/>
    <cellStyle name="SAPBEXaggItem 7 4" xfId="27971" xr:uid="{00000000-0005-0000-0000-000052680000}"/>
    <cellStyle name="SAPBEXaggItem 7 4 2" xfId="32529" xr:uid="{3785EF5F-7D19-48B9-A212-019611222EE3}"/>
    <cellStyle name="SAPBEXaggItem 7 5" xfId="26552" xr:uid="{00000000-0005-0000-0000-000053680000}"/>
    <cellStyle name="SAPBEXaggItem 7 5 2" xfId="31339" xr:uid="{6C1414BD-BA99-482D-91DF-8FB1FFA52A56}"/>
    <cellStyle name="SAPBEXaggItem 7 6" xfId="29523" xr:uid="{00000000-0005-0000-0000-000054680000}"/>
    <cellStyle name="SAPBEXaggItem 8" xfId="411" xr:uid="{00000000-0005-0000-0000-000055680000}"/>
    <cellStyle name="SAPBEXaggItem 8 2" xfId="13793" xr:uid="{00000000-0005-0000-0000-000056680000}"/>
    <cellStyle name="SAPBEXaggItem 8 2 2" xfId="25551" xr:uid="{00000000-0005-0000-0000-000057680000}"/>
    <cellStyle name="SAPBEXaggItem 8 2 2 2" xfId="27704" xr:uid="{00000000-0005-0000-0000-000058680000}"/>
    <cellStyle name="SAPBEXaggItem 8 2 2 2 2" xfId="32291" xr:uid="{6DC406AE-AFAB-430F-BB81-C19AC3759CAD}"/>
    <cellStyle name="SAPBEXaggItem 8 2 2 3" xfId="27976" xr:uid="{00000000-0005-0000-0000-000059680000}"/>
    <cellStyle name="SAPBEXaggItem 8 2 2 3 2" xfId="32534" xr:uid="{A62B6919-3A28-4B77-9088-6248D3894C4C}"/>
    <cellStyle name="SAPBEXaggItem 8 2 2 4" xfId="26749" xr:uid="{00000000-0005-0000-0000-00005A680000}"/>
    <cellStyle name="SAPBEXaggItem 8 2 2 4 2" xfId="31510" xr:uid="{C5A1CBE1-0A18-4D98-A417-4D7C7C78A386}"/>
    <cellStyle name="SAPBEXaggItem 8 2 2 5" xfId="29528" xr:uid="{00000000-0005-0000-0000-00005B680000}"/>
    <cellStyle name="SAPBEXaggItem 8 2 3" xfId="26668" xr:uid="{00000000-0005-0000-0000-00005C680000}"/>
    <cellStyle name="SAPBEXaggItem 8 2 3 2" xfId="31436" xr:uid="{B03BDD18-ECB6-4043-9A45-CB0F52B045C9}"/>
    <cellStyle name="SAPBEXaggItem 8 2 4" xfId="27975" xr:uid="{00000000-0005-0000-0000-00005D680000}"/>
    <cellStyle name="SAPBEXaggItem 8 2 4 2" xfId="32533" xr:uid="{0E5B1CAB-01AA-4311-94CA-01FE43D408A0}"/>
    <cellStyle name="SAPBEXaggItem 8 2 5" xfId="26268" xr:uid="{00000000-0005-0000-0000-00005E680000}"/>
    <cellStyle name="SAPBEXaggItem 8 2 5 2" xfId="31056" xr:uid="{EE3482CC-69F4-4A2F-8923-9709F6E4F82F}"/>
    <cellStyle name="SAPBEXaggItem 8 2 6" xfId="29527" xr:uid="{00000000-0005-0000-0000-00005F680000}"/>
    <cellStyle name="SAPBEXaggItem 8 2 7" xfId="30253" xr:uid="{CD4C6A4F-2D00-43B8-A2A1-C00F1C983D88}"/>
    <cellStyle name="SAPBEXaggItem 8 3" xfId="26009" xr:uid="{00000000-0005-0000-0000-000060680000}"/>
    <cellStyle name="SAPBEXaggItem 8 3 2" xfId="30830" xr:uid="{F4355A6D-9509-40F8-B850-5671C68611F1}"/>
    <cellStyle name="SAPBEXaggItem 8 4" xfId="27974" xr:uid="{00000000-0005-0000-0000-000061680000}"/>
    <cellStyle name="SAPBEXaggItem 8 4 2" xfId="32532" xr:uid="{AA875B7C-BC23-4749-92BC-B9B05C4B6BAE}"/>
    <cellStyle name="SAPBEXaggItem 8 5" xfId="29181" xr:uid="{00000000-0005-0000-0000-000062680000}"/>
    <cellStyle name="SAPBEXaggItem 8 5 2" xfId="33164" xr:uid="{044A6D63-FE23-47F8-BDF8-EF2266674E38}"/>
    <cellStyle name="SAPBEXaggItem 8 6" xfId="29526" xr:uid="{00000000-0005-0000-0000-000063680000}"/>
    <cellStyle name="SAPBEXaggItem 9" xfId="13623" xr:uid="{00000000-0005-0000-0000-000064680000}"/>
    <cellStyle name="SAPBEXaggItem 9 2" xfId="25461" xr:uid="{00000000-0005-0000-0000-000065680000}"/>
    <cellStyle name="SAPBEXaggItem 9 2 2" xfId="27614" xr:uid="{00000000-0005-0000-0000-000066680000}"/>
    <cellStyle name="SAPBEXaggItem 9 2 2 2" xfId="32201" xr:uid="{6F39F519-175A-4458-A2E2-F7268719BA68}"/>
    <cellStyle name="SAPBEXaggItem 9 2 3" xfId="27978" xr:uid="{00000000-0005-0000-0000-000067680000}"/>
    <cellStyle name="SAPBEXaggItem 9 2 3 2" xfId="32536" xr:uid="{BA009972-05DE-4CB5-9159-D82C0754E3BF}"/>
    <cellStyle name="SAPBEXaggItem 9 2 4" xfId="26932" xr:uid="{00000000-0005-0000-0000-000068680000}"/>
    <cellStyle name="SAPBEXaggItem 9 2 4 2" xfId="31693" xr:uid="{6E2AEDC1-4E65-4E81-AEDB-CA430703B994}"/>
    <cellStyle name="SAPBEXaggItem 9 2 5" xfId="29530" xr:uid="{00000000-0005-0000-0000-000069680000}"/>
    <cellStyle name="SAPBEXaggItem 9 3" xfId="26565" xr:uid="{00000000-0005-0000-0000-00006A680000}"/>
    <cellStyle name="SAPBEXaggItem 9 3 2" xfId="31343" xr:uid="{D1091849-BA48-47B0-A0E7-37C4271F0CEC}"/>
    <cellStyle name="SAPBEXaggItem 9 4" xfId="27977" xr:uid="{00000000-0005-0000-0000-00006B680000}"/>
    <cellStyle name="SAPBEXaggItem 9 4 2" xfId="32535" xr:uid="{5DDDB630-060D-4F5C-AE8A-7E4F56371789}"/>
    <cellStyle name="SAPBEXaggItem 9 5" xfId="26693" xr:uid="{00000000-0005-0000-0000-00006C680000}"/>
    <cellStyle name="SAPBEXaggItem 9 5 2" xfId="31455" xr:uid="{EA69DF50-6BD8-4607-B275-05982B5FC0D9}"/>
    <cellStyle name="SAPBEXaggItem 9 6" xfId="29529" xr:uid="{00000000-0005-0000-0000-00006D680000}"/>
    <cellStyle name="SAPBEXaggItem 9 7" xfId="30163" xr:uid="{FE338DFF-0566-43F1-9D21-BC40584365A3}"/>
    <cellStyle name="SAPBEXaggItem_Copy of xSAPtemp5457" xfId="224" xr:uid="{00000000-0005-0000-0000-00006E680000}"/>
    <cellStyle name="SAPBEXaggItemX" xfId="76" xr:uid="{00000000-0005-0000-0000-00006F680000}"/>
    <cellStyle name="SAPBEXaggItemX 2" xfId="13625" xr:uid="{00000000-0005-0000-0000-000070680000}"/>
    <cellStyle name="SAPBEXaggItemX 2 2" xfId="25463" xr:uid="{00000000-0005-0000-0000-000071680000}"/>
    <cellStyle name="SAPBEXaggItemX 2 2 2" xfId="27616" xr:uid="{00000000-0005-0000-0000-000072680000}"/>
    <cellStyle name="SAPBEXaggItemX 2 2 2 2" xfId="32203" xr:uid="{3D0DDBDD-ECB6-4C89-A9F5-8B3D42B5B212}"/>
    <cellStyle name="SAPBEXaggItemX 2 2 3" xfId="27981" xr:uid="{00000000-0005-0000-0000-000073680000}"/>
    <cellStyle name="SAPBEXaggItemX 2 2 3 2" xfId="32539" xr:uid="{8DFA4C58-695F-4348-93AD-2BC8D97DE1D8}"/>
    <cellStyle name="SAPBEXaggItemX 2 2 4" xfId="26133" xr:uid="{00000000-0005-0000-0000-000074680000}"/>
    <cellStyle name="SAPBEXaggItemX 2 2 4 2" xfId="30923" xr:uid="{7BD78918-C3F4-4C69-BE60-AD3CD26405E7}"/>
    <cellStyle name="SAPBEXaggItemX 2 2 5" xfId="29533" xr:uid="{00000000-0005-0000-0000-000075680000}"/>
    <cellStyle name="SAPBEXaggItemX 2 3" xfId="26567" xr:uid="{00000000-0005-0000-0000-000076680000}"/>
    <cellStyle name="SAPBEXaggItemX 2 3 2" xfId="31345" xr:uid="{88F7FD74-E7E7-4F12-896A-1A971E1122D2}"/>
    <cellStyle name="SAPBEXaggItemX 2 4" xfId="27980" xr:uid="{00000000-0005-0000-0000-000077680000}"/>
    <cellStyle name="SAPBEXaggItemX 2 4 2" xfId="32538" xr:uid="{6634B7BE-23B0-4015-AB5A-D81307B2A401}"/>
    <cellStyle name="SAPBEXaggItemX 2 5" xfId="26518" xr:uid="{00000000-0005-0000-0000-000078680000}"/>
    <cellStyle name="SAPBEXaggItemX 2 5 2" xfId="31306" xr:uid="{C0E7BED4-4E66-4354-A7F2-BF688CE3F0D2}"/>
    <cellStyle name="SAPBEXaggItemX 2 6" xfId="29532" xr:uid="{00000000-0005-0000-0000-000079680000}"/>
    <cellStyle name="SAPBEXaggItemX 2 7" xfId="30165" xr:uid="{A88E2D5C-E34D-4436-A471-5C092A1AD7D6}"/>
    <cellStyle name="SAPBEXaggItemX 3" xfId="24683" xr:uid="{00000000-0005-0000-0000-00007A680000}"/>
    <cellStyle name="SAPBEXaggItemX 3 2" xfId="25307" xr:uid="{00000000-0005-0000-0000-00007B680000}"/>
    <cellStyle name="SAPBEXaggItemX 3 2 2" xfId="27461" xr:uid="{00000000-0005-0000-0000-00007C680000}"/>
    <cellStyle name="SAPBEXaggItemX 3 2 2 2" xfId="32053" xr:uid="{1AFDC90F-B368-4960-8CA2-66D4AB7968AC}"/>
    <cellStyle name="SAPBEXaggItemX 3 2 3" xfId="27983" xr:uid="{00000000-0005-0000-0000-00007D680000}"/>
    <cellStyle name="SAPBEXaggItemX 3 2 3 2" xfId="32541" xr:uid="{E3D80079-1F75-45FF-8268-96B13D753AA7}"/>
    <cellStyle name="SAPBEXaggItemX 3 2 4" xfId="26219" xr:uid="{00000000-0005-0000-0000-00007E680000}"/>
    <cellStyle name="SAPBEXaggItemX 3 2 4 2" xfId="31007" xr:uid="{0C62C2E9-D7C8-4697-8625-4E7930349DF8}"/>
    <cellStyle name="SAPBEXaggItemX 3 2 5" xfId="29535" xr:uid="{00000000-0005-0000-0000-00007F680000}"/>
    <cellStyle name="SAPBEXaggItemX 3 2 6" xfId="30466" xr:uid="{EB379C1D-B549-4431-B94F-557B600FA736}"/>
    <cellStyle name="SAPBEXaggItemX 3 3" xfId="25646" xr:uid="{00000000-0005-0000-0000-000080680000}"/>
    <cellStyle name="SAPBEXaggItemX 3 3 2" xfId="27799" xr:uid="{00000000-0005-0000-0000-000081680000}"/>
    <cellStyle name="SAPBEXaggItemX 3 3 2 2" xfId="32386" xr:uid="{3D69005C-1E99-47E1-A0DF-C3762968EDF4}"/>
    <cellStyle name="SAPBEXaggItemX 3 3 3" xfId="27984" xr:uid="{00000000-0005-0000-0000-000082680000}"/>
    <cellStyle name="SAPBEXaggItemX 3 3 3 2" xfId="32542" xr:uid="{CA5A6CB4-D863-44E1-9501-FF486F065B2B}"/>
    <cellStyle name="SAPBEXaggItemX 3 3 4" xfId="26155" xr:uid="{00000000-0005-0000-0000-000083680000}"/>
    <cellStyle name="SAPBEXaggItemX 3 3 4 2" xfId="30944" xr:uid="{59538DF5-9FBA-425E-8707-AF093049DF6D}"/>
    <cellStyle name="SAPBEXaggItemX 3 3 5" xfId="29536" xr:uid="{00000000-0005-0000-0000-000084680000}"/>
    <cellStyle name="SAPBEXaggItemX 3 4" xfId="27273" xr:uid="{00000000-0005-0000-0000-000085680000}"/>
    <cellStyle name="SAPBEXaggItemX 3 4 2" xfId="31908" xr:uid="{34208321-D694-4D9A-973D-F5BCD079944D}"/>
    <cellStyle name="SAPBEXaggItemX 3 5" xfId="27982" xr:uid="{00000000-0005-0000-0000-000086680000}"/>
    <cellStyle name="SAPBEXaggItemX 3 5 2" xfId="32540" xr:uid="{A69CFC7F-B0CD-4AD8-99E4-58640D9437AB}"/>
    <cellStyle name="SAPBEXaggItemX 3 6" xfId="26397" xr:uid="{00000000-0005-0000-0000-000087680000}"/>
    <cellStyle name="SAPBEXaggItemX 3 6 2" xfId="31185" xr:uid="{86F95E1E-BC1E-4FF6-8F2B-503A51CC5205}"/>
    <cellStyle name="SAPBEXaggItemX 3 7" xfId="29534" xr:uid="{00000000-0005-0000-0000-000088680000}"/>
    <cellStyle name="SAPBEXaggItemX 3 8" xfId="30348" xr:uid="{4425BD61-A63C-48B8-9A45-44CB2286B401}"/>
    <cellStyle name="SAPBEXaggItemX 4" xfId="25093" xr:uid="{00000000-0005-0000-0000-000089680000}"/>
    <cellStyle name="SAPBEXaggItemX 4 2" xfId="25395" xr:uid="{00000000-0005-0000-0000-00008A680000}"/>
    <cellStyle name="SAPBEXaggItemX 4 2 2" xfId="27549" xr:uid="{00000000-0005-0000-0000-00008B680000}"/>
    <cellStyle name="SAPBEXaggItemX 4 2 2 2" xfId="32140" xr:uid="{BC345D24-6B68-448C-B0B6-4ABFFFCD884B}"/>
    <cellStyle name="SAPBEXaggItemX 4 2 3" xfId="27986" xr:uid="{00000000-0005-0000-0000-00008C680000}"/>
    <cellStyle name="SAPBEXaggItemX 4 2 3 2" xfId="32544" xr:uid="{E063319A-C3FB-4269-BD04-3D3064CC6744}"/>
    <cellStyle name="SAPBEXaggItemX 4 2 4" xfId="26434" xr:uid="{00000000-0005-0000-0000-00008D680000}"/>
    <cellStyle name="SAPBEXaggItemX 4 2 4 2" xfId="31222" xr:uid="{C09F4D9E-8699-4F51-9273-0E9BA5F3AD36}"/>
    <cellStyle name="SAPBEXaggItemX 4 2 5" xfId="29538" xr:uid="{00000000-0005-0000-0000-00008E680000}"/>
    <cellStyle name="SAPBEXaggItemX 4 2 6" xfId="30553" xr:uid="{89CA3523-B029-4017-8D75-D77B5F1D5D6D}"/>
    <cellStyle name="SAPBEXaggItemX 4 3" xfId="25691" xr:uid="{00000000-0005-0000-0000-00008F680000}"/>
    <cellStyle name="SAPBEXaggItemX 4 3 2" xfId="27844" xr:uid="{00000000-0005-0000-0000-000090680000}"/>
    <cellStyle name="SAPBEXaggItemX 4 3 2 2" xfId="32431" xr:uid="{D9ADC7DD-7C60-4DCA-8668-1E03A9C2A4F7}"/>
    <cellStyle name="SAPBEXaggItemX 4 3 3" xfId="27987" xr:uid="{00000000-0005-0000-0000-000091680000}"/>
    <cellStyle name="SAPBEXaggItemX 4 3 3 2" xfId="32545" xr:uid="{2E0BF6CA-7DD3-46B5-A1FF-6047CBCFFABD}"/>
    <cellStyle name="SAPBEXaggItemX 4 3 4" xfId="26430" xr:uid="{00000000-0005-0000-0000-000092680000}"/>
    <cellStyle name="SAPBEXaggItemX 4 3 4 2" xfId="31218" xr:uid="{AF88F052-4CE3-461E-ABB1-6DC5857EB68A}"/>
    <cellStyle name="SAPBEXaggItemX 4 3 5" xfId="29539" xr:uid="{00000000-0005-0000-0000-000093680000}"/>
    <cellStyle name="SAPBEXaggItemX 4 3 6" xfId="30685" xr:uid="{F2CE445F-BA63-4C65-92D1-EA0CD236EB36}"/>
    <cellStyle name="SAPBEXaggItemX 4 4" xfId="27378" xr:uid="{00000000-0005-0000-0000-000094680000}"/>
    <cellStyle name="SAPBEXaggItemX 4 4 2" xfId="31976" xr:uid="{597C89C4-CC5E-46F2-8989-D025EFA05486}"/>
    <cellStyle name="SAPBEXaggItemX 4 5" xfId="27985" xr:uid="{00000000-0005-0000-0000-000095680000}"/>
    <cellStyle name="SAPBEXaggItemX 4 5 2" xfId="32543" xr:uid="{6CE6FC7B-1900-42DD-B9B3-BB72A114F1DF}"/>
    <cellStyle name="SAPBEXaggItemX 4 6" xfId="26836" xr:uid="{00000000-0005-0000-0000-000096680000}"/>
    <cellStyle name="SAPBEXaggItemX 4 6 2" xfId="31597" xr:uid="{A9C8BAAE-F7FA-400F-A25E-19C7F8C6B0E3}"/>
    <cellStyle name="SAPBEXaggItemX 4 7" xfId="29537" xr:uid="{00000000-0005-0000-0000-000097680000}"/>
    <cellStyle name="SAPBEXaggItemX 4 8" xfId="30393" xr:uid="{DC93A99E-E1E2-412C-A040-CB0B41549AB8}"/>
    <cellStyle name="SAPBEXaggItemX 5" xfId="25821" xr:uid="{00000000-0005-0000-0000-000098680000}"/>
    <cellStyle name="SAPBEXaggItemX 5 2" xfId="30740" xr:uid="{9C6525B9-86FD-4687-A552-98344B92E680}"/>
    <cellStyle name="SAPBEXaggItemX 6" xfId="27979" xr:uid="{00000000-0005-0000-0000-000099680000}"/>
    <cellStyle name="SAPBEXaggItemX 6 2" xfId="32537" xr:uid="{3036EDFF-E166-43A4-81D3-86C558783986}"/>
    <cellStyle name="SAPBEXaggItemX 7" xfId="26526" xr:uid="{00000000-0005-0000-0000-00009A680000}"/>
    <cellStyle name="SAPBEXaggItemX 7 2" xfId="31313" xr:uid="{95B57073-E330-4FF9-92A7-0DEC45469DC9}"/>
    <cellStyle name="SAPBEXaggItemX 8" xfId="29531" xr:uid="{00000000-0005-0000-0000-00009B680000}"/>
    <cellStyle name="SAPBEXchaText" xfId="6" xr:uid="{00000000-0005-0000-0000-00009C680000}"/>
    <cellStyle name="SAPBEXchaText 2" xfId="77" xr:uid="{00000000-0005-0000-0000-00009D680000}"/>
    <cellStyle name="SAPBEXchaText 2 2" xfId="459" xr:uid="{00000000-0005-0000-0000-00009E680000}"/>
    <cellStyle name="SAPBEXchaText 2 2 2" xfId="13827" xr:uid="{00000000-0005-0000-0000-00009F680000}"/>
    <cellStyle name="SAPBEXchaText 2 2 2 2" xfId="25377" xr:uid="{00000000-0005-0000-0000-0000A0680000}"/>
    <cellStyle name="SAPBEXchaText 2 2 2 2 2" xfId="27531" xr:uid="{00000000-0005-0000-0000-0000A1680000}"/>
    <cellStyle name="SAPBEXchaText 2 2 2 2 2 2" xfId="32122" xr:uid="{517A5F73-21E4-40DE-84F1-B893B929A254}"/>
    <cellStyle name="SAPBEXchaText 2 2 2 2 3" xfId="27991" xr:uid="{00000000-0005-0000-0000-0000A2680000}"/>
    <cellStyle name="SAPBEXchaText 2 2 2 2 3 2" xfId="32549" xr:uid="{95B6FFD3-1CA5-4B5C-ABE4-129AF2BEA197}"/>
    <cellStyle name="SAPBEXchaText 2 2 2 2 4" xfId="26793" xr:uid="{00000000-0005-0000-0000-0000A3680000}"/>
    <cellStyle name="SAPBEXchaText 2 2 2 2 4 2" xfId="31554" xr:uid="{70C3DCD5-2C5A-4810-B0A4-10B82287F78D}"/>
    <cellStyle name="SAPBEXchaText 2 2 2 2 5" xfId="29543" xr:uid="{00000000-0005-0000-0000-0000A4680000}"/>
    <cellStyle name="SAPBEXchaText 2 2 2 2 6" xfId="30535" xr:uid="{A10E716C-137A-4426-9B3C-9B2840608F9C}"/>
    <cellStyle name="SAPBEXchaText 2 2 2 3" xfId="26676" xr:uid="{00000000-0005-0000-0000-0000A5680000}"/>
    <cellStyle name="SAPBEXchaText 2 2 2 3 2" xfId="31443" xr:uid="{E7038897-4D0B-46F9-BF0D-CC14AE84173F}"/>
    <cellStyle name="SAPBEXchaText 2 2 2 4" xfId="27990" xr:uid="{00000000-0005-0000-0000-0000A6680000}"/>
    <cellStyle name="SAPBEXchaText 2 2 2 4 2" xfId="32548" xr:uid="{CFE10A90-AC74-4910-A08F-96351F4DAD22}"/>
    <cellStyle name="SAPBEXchaText 2 2 2 5" xfId="29542" xr:uid="{00000000-0005-0000-0000-0000A7680000}"/>
    <cellStyle name="SAPBEXchaText 2 2 3" xfId="26024" xr:uid="{00000000-0005-0000-0000-0000A8680000}"/>
    <cellStyle name="SAPBEXchaText 2 2 3 2" xfId="30834" xr:uid="{FD43B60E-CE47-4291-B7B1-EF599EEC9107}"/>
    <cellStyle name="SAPBEXchaText 2 2 4" xfId="27989" xr:uid="{00000000-0005-0000-0000-0000A9680000}"/>
    <cellStyle name="SAPBEXchaText 2 2 4 2" xfId="32547" xr:uid="{68AD3618-1FC3-44DA-8F85-A5DC29FDDE07}"/>
    <cellStyle name="SAPBEXchaText 2 2 5" xfId="29541" xr:uid="{00000000-0005-0000-0000-0000AA680000}"/>
    <cellStyle name="SAPBEXchaText 2 3" xfId="13626" xr:uid="{00000000-0005-0000-0000-0000AB680000}"/>
    <cellStyle name="SAPBEXchaText 2 3 2" xfId="25464" xr:uid="{00000000-0005-0000-0000-0000AC680000}"/>
    <cellStyle name="SAPBEXchaText 2 3 2 2" xfId="27617" xr:uid="{00000000-0005-0000-0000-0000AD680000}"/>
    <cellStyle name="SAPBEXchaText 2 3 2 2 2" xfId="32204" xr:uid="{3BDE0E90-0D5A-4A9A-87E7-45293BB26F63}"/>
    <cellStyle name="SAPBEXchaText 2 3 2 3" xfId="27993" xr:uid="{00000000-0005-0000-0000-0000AE680000}"/>
    <cellStyle name="SAPBEXchaText 2 3 2 3 2" xfId="32551" xr:uid="{9CA5A6D7-FFB7-4D95-85F4-CEE67D218524}"/>
    <cellStyle name="SAPBEXchaText 2 3 2 4" xfId="26286" xr:uid="{00000000-0005-0000-0000-0000AF680000}"/>
    <cellStyle name="SAPBEXchaText 2 3 2 4 2" xfId="31074" xr:uid="{C2B17216-A434-4F85-9D52-2448DA7A68E4}"/>
    <cellStyle name="SAPBEXchaText 2 3 2 5" xfId="29545" xr:uid="{00000000-0005-0000-0000-0000B0680000}"/>
    <cellStyle name="SAPBEXchaText 2 3 3" xfId="26568" xr:uid="{00000000-0005-0000-0000-0000B1680000}"/>
    <cellStyle name="SAPBEXchaText 2 3 3 2" xfId="31346" xr:uid="{2EDAD17F-BA8F-45DB-BB4E-BD5442817DCF}"/>
    <cellStyle name="SAPBEXchaText 2 3 4" xfId="27992" xr:uid="{00000000-0005-0000-0000-0000B2680000}"/>
    <cellStyle name="SAPBEXchaText 2 3 4 2" xfId="32550" xr:uid="{5E657833-0B6A-4719-B011-17FBB558EF2C}"/>
    <cellStyle name="SAPBEXchaText 2 3 5" xfId="26254" xr:uid="{00000000-0005-0000-0000-0000B3680000}"/>
    <cellStyle name="SAPBEXchaText 2 3 5 2" xfId="31042" xr:uid="{EEE72D27-03AE-4A34-B5B6-E0333C3D02EC}"/>
    <cellStyle name="SAPBEXchaText 2 3 6" xfId="29544" xr:uid="{00000000-0005-0000-0000-0000B4680000}"/>
    <cellStyle name="SAPBEXchaText 2 3 7" xfId="30166" xr:uid="{0595B4A8-BA58-41F6-B03E-EB4B668E4A63}"/>
    <cellStyle name="SAPBEXchaText 2 4" xfId="25822" xr:uid="{00000000-0005-0000-0000-0000B5680000}"/>
    <cellStyle name="SAPBEXchaText 2 4 2" xfId="30741" xr:uid="{7E802401-D9F8-47F3-A5B1-F0D625054632}"/>
    <cellStyle name="SAPBEXchaText 2 5" xfId="27988" xr:uid="{00000000-0005-0000-0000-0000B6680000}"/>
    <cellStyle name="SAPBEXchaText 2 5 2" xfId="32546" xr:uid="{CFE6E22C-DFD6-459F-AC7A-CF8B1CED5293}"/>
    <cellStyle name="SAPBEXchaText 2 6" xfId="26197" xr:uid="{00000000-0005-0000-0000-0000B7680000}"/>
    <cellStyle name="SAPBEXchaText 2 6 2" xfId="30985" xr:uid="{EB2351C8-693D-4C07-804D-D4AD7EDD5817}"/>
    <cellStyle name="SAPBEXchaText 2 7" xfId="29540" xr:uid="{00000000-0005-0000-0000-0000B8680000}"/>
    <cellStyle name="SAPBEXchaText 3" xfId="78" xr:uid="{00000000-0005-0000-0000-0000B9680000}"/>
    <cellStyle name="SAPBEXchaText 3 2" xfId="225" xr:uid="{00000000-0005-0000-0000-0000BA680000}"/>
    <cellStyle name="SAPBEXchaText 3 2 2" xfId="13710" xr:uid="{00000000-0005-0000-0000-0000BB680000}"/>
    <cellStyle name="SAPBEXchaText 3 2 2 2" xfId="25524" xr:uid="{00000000-0005-0000-0000-0000BC680000}"/>
    <cellStyle name="SAPBEXchaText 3 2 2 2 2" xfId="27677" xr:uid="{00000000-0005-0000-0000-0000BD680000}"/>
    <cellStyle name="SAPBEXchaText 3 2 2 2 2 2" xfId="32264" xr:uid="{7E294FA4-D9D0-4353-946D-CD0AC4C4C2BB}"/>
    <cellStyle name="SAPBEXchaText 3 2 2 2 3" xfId="27996" xr:uid="{00000000-0005-0000-0000-0000BE680000}"/>
    <cellStyle name="SAPBEXchaText 3 2 2 2 3 2" xfId="32554" xr:uid="{37132518-9494-4D51-92FF-FF36C4F07C3C}"/>
    <cellStyle name="SAPBEXchaText 3 2 2 2 4" xfId="27166" xr:uid="{00000000-0005-0000-0000-0000BF680000}"/>
    <cellStyle name="SAPBEXchaText 3 2 2 2 4 2" xfId="31856" xr:uid="{928CE0B0-0B8C-47E4-9F0A-600A7874C460}"/>
    <cellStyle name="SAPBEXchaText 3 2 2 2 5" xfId="29548" xr:uid="{00000000-0005-0000-0000-0000C0680000}"/>
    <cellStyle name="SAPBEXchaText 3 2 2 3" xfId="26630" xr:uid="{00000000-0005-0000-0000-0000C1680000}"/>
    <cellStyle name="SAPBEXchaText 3 2 2 3 2" xfId="31407" xr:uid="{1EF6FF5A-AD51-4EB0-8C08-C4DD97CAE6ED}"/>
    <cellStyle name="SAPBEXchaText 3 2 2 4" xfId="27995" xr:uid="{00000000-0005-0000-0000-0000C2680000}"/>
    <cellStyle name="SAPBEXchaText 3 2 2 4 2" xfId="32553" xr:uid="{8DAF9132-47F6-47F0-BD66-B95009B883F2}"/>
    <cellStyle name="SAPBEXchaText 3 2 2 5" xfId="26428" xr:uid="{00000000-0005-0000-0000-0000C3680000}"/>
    <cellStyle name="SAPBEXchaText 3 2 2 5 2" xfId="31216" xr:uid="{12152ADC-110A-4DD1-B433-EB74331DD682}"/>
    <cellStyle name="SAPBEXchaText 3 2 2 6" xfId="29547" xr:uid="{00000000-0005-0000-0000-0000C4680000}"/>
    <cellStyle name="SAPBEXchaText 3 2 2 7" xfId="30226" xr:uid="{0CFC239E-80EA-4315-99EA-AAB53E6A5BFE}"/>
    <cellStyle name="SAPBEXchaText 3 2 3" xfId="25913" xr:uid="{00000000-0005-0000-0000-0000C5680000}"/>
    <cellStyle name="SAPBEXchaText 3 2 3 2" xfId="30802" xr:uid="{345C8EED-8C64-42D2-AA14-033B66E8540F}"/>
    <cellStyle name="SAPBEXchaText 3 2 4" xfId="27994" xr:uid="{00000000-0005-0000-0000-0000C6680000}"/>
    <cellStyle name="SAPBEXchaText 3 2 4 2" xfId="32552" xr:uid="{0F203140-2F63-4B68-AC42-9ED28990ABEA}"/>
    <cellStyle name="SAPBEXchaText 3 2 5" xfId="26718" xr:uid="{00000000-0005-0000-0000-0000C7680000}"/>
    <cellStyle name="SAPBEXchaText 3 2 5 2" xfId="31480" xr:uid="{26E5D45F-F8DC-433E-AFD3-483040E37F48}"/>
    <cellStyle name="SAPBEXchaText 3 2 6" xfId="29546" xr:uid="{00000000-0005-0000-0000-0000C8680000}"/>
    <cellStyle name="SAPBEXchaText 4" xfId="226" xr:uid="{00000000-0005-0000-0000-0000C9680000}"/>
    <cellStyle name="SAPBEXchaText 4 2" xfId="13711" xr:uid="{00000000-0005-0000-0000-0000CA680000}"/>
    <cellStyle name="SAPBEXchaText 4 2 2" xfId="25525" xr:uid="{00000000-0005-0000-0000-0000CB680000}"/>
    <cellStyle name="SAPBEXchaText 4 2 2 2" xfId="27678" xr:uid="{00000000-0005-0000-0000-0000CC680000}"/>
    <cellStyle name="SAPBEXchaText 4 2 2 2 2" xfId="32265" xr:uid="{B858C0E6-884F-43C1-856F-02073EDD28BC}"/>
    <cellStyle name="SAPBEXchaText 4 2 2 3" xfId="27999" xr:uid="{00000000-0005-0000-0000-0000CD680000}"/>
    <cellStyle name="SAPBEXchaText 4 2 2 3 2" xfId="32557" xr:uid="{126FAD87-261A-475C-BFB4-9A6DF554F308}"/>
    <cellStyle name="SAPBEXchaText 4 2 2 4" xfId="27223" xr:uid="{00000000-0005-0000-0000-0000CE680000}"/>
    <cellStyle name="SAPBEXchaText 4 2 2 4 2" xfId="31859" xr:uid="{8F1A7A25-B5FC-4A8E-ACC9-71D3496DF3D1}"/>
    <cellStyle name="SAPBEXchaText 4 2 2 5" xfId="29551" xr:uid="{00000000-0005-0000-0000-0000CF680000}"/>
    <cellStyle name="SAPBEXchaText 4 2 3" xfId="26631" xr:uid="{00000000-0005-0000-0000-0000D0680000}"/>
    <cellStyle name="SAPBEXchaText 4 2 3 2" xfId="31408" xr:uid="{AD8A075E-0EEE-41CF-8EAD-959871169ED0}"/>
    <cellStyle name="SAPBEXchaText 4 2 4" xfId="27998" xr:uid="{00000000-0005-0000-0000-0000D1680000}"/>
    <cellStyle name="SAPBEXchaText 4 2 4 2" xfId="32556" xr:uid="{25F0FD44-40FA-4D21-8FCE-55B875B9B62A}"/>
    <cellStyle name="SAPBEXchaText 4 2 5" xfId="26270" xr:uid="{00000000-0005-0000-0000-0000D2680000}"/>
    <cellStyle name="SAPBEXchaText 4 2 5 2" xfId="31058" xr:uid="{402BFFB3-3012-440C-8AEF-3B82D974ADB8}"/>
    <cellStyle name="SAPBEXchaText 4 2 6" xfId="29550" xr:uid="{00000000-0005-0000-0000-0000D3680000}"/>
    <cellStyle name="SAPBEXchaText 4 2 7" xfId="30227" xr:uid="{3DFDBC6F-83DD-4083-81B1-EADFFD07A279}"/>
    <cellStyle name="SAPBEXchaText 4 3" xfId="25914" xr:uid="{00000000-0005-0000-0000-0000D4680000}"/>
    <cellStyle name="SAPBEXchaText 4 3 2" xfId="30803" xr:uid="{C37FD4F3-BFD5-42A9-865D-B5A57A25AE38}"/>
    <cellStyle name="SAPBEXchaText 4 4" xfId="27997" xr:uid="{00000000-0005-0000-0000-0000D5680000}"/>
    <cellStyle name="SAPBEXchaText 4 4 2" xfId="32555" xr:uid="{D32D80FC-7857-4BAD-8490-CE2CCD4055AD}"/>
    <cellStyle name="SAPBEXchaText 4 5" xfId="26375" xr:uid="{00000000-0005-0000-0000-0000D6680000}"/>
    <cellStyle name="SAPBEXchaText 4 5 2" xfId="31163" xr:uid="{7E5B18B3-A912-4228-91F2-BEDE34E9722F}"/>
    <cellStyle name="SAPBEXchaText 4 6" xfId="29549" xr:uid="{00000000-0005-0000-0000-0000D7680000}"/>
    <cellStyle name="SAPBEXchaText 5" xfId="227" xr:uid="{00000000-0005-0000-0000-0000D8680000}"/>
    <cellStyle name="SAPBEXchaText 5 2" xfId="13712" xr:uid="{00000000-0005-0000-0000-0000D9680000}"/>
    <cellStyle name="SAPBEXchaText 5 2 2" xfId="25526" xr:uid="{00000000-0005-0000-0000-0000DA680000}"/>
    <cellStyle name="SAPBEXchaText 5 2 2 2" xfId="27679" xr:uid="{00000000-0005-0000-0000-0000DB680000}"/>
    <cellStyle name="SAPBEXchaText 5 2 2 2 2" xfId="32266" xr:uid="{559D65D3-4284-4BBA-BF6F-9BEE9934CD07}"/>
    <cellStyle name="SAPBEXchaText 5 2 2 3" xfId="28002" xr:uid="{00000000-0005-0000-0000-0000DC680000}"/>
    <cellStyle name="SAPBEXchaText 5 2 2 3 2" xfId="32560" xr:uid="{E51BC055-1EA6-4830-B219-ADFD0E0D7CB9}"/>
    <cellStyle name="SAPBEXchaText 5 2 2 4" xfId="26253" xr:uid="{00000000-0005-0000-0000-0000DD680000}"/>
    <cellStyle name="SAPBEXchaText 5 2 2 4 2" xfId="31041" xr:uid="{B55A74B8-5C8C-4324-A8FA-0A94A0C97580}"/>
    <cellStyle name="SAPBEXchaText 5 2 2 5" xfId="29554" xr:uid="{00000000-0005-0000-0000-0000DE680000}"/>
    <cellStyle name="SAPBEXchaText 5 2 3" xfId="26632" xr:uid="{00000000-0005-0000-0000-0000DF680000}"/>
    <cellStyle name="SAPBEXchaText 5 2 3 2" xfId="31409" xr:uid="{6ACFAD36-E70C-46E7-9053-97FA2C949D7C}"/>
    <cellStyle name="SAPBEXchaText 5 2 4" xfId="28001" xr:uid="{00000000-0005-0000-0000-0000E0680000}"/>
    <cellStyle name="SAPBEXchaText 5 2 4 2" xfId="32559" xr:uid="{287C3159-6452-4C62-9A82-2C8C5B8CFBB3}"/>
    <cellStyle name="SAPBEXchaText 5 2 5" xfId="26781" xr:uid="{00000000-0005-0000-0000-0000E1680000}"/>
    <cellStyle name="SAPBEXchaText 5 2 5 2" xfId="31542" xr:uid="{341607B4-327F-4147-A312-2D0BA2D963C8}"/>
    <cellStyle name="SAPBEXchaText 5 2 6" xfId="29553" xr:uid="{00000000-0005-0000-0000-0000E2680000}"/>
    <cellStyle name="SAPBEXchaText 5 2 7" xfId="30228" xr:uid="{9EB76801-C39F-4F54-8C5F-410EF4173CFB}"/>
    <cellStyle name="SAPBEXchaText 5 3" xfId="25915" xr:uid="{00000000-0005-0000-0000-0000E3680000}"/>
    <cellStyle name="SAPBEXchaText 5 3 2" xfId="30804" xr:uid="{3B7309FB-7002-47D1-A7EA-B0D2082A025B}"/>
    <cellStyle name="SAPBEXchaText 5 4" xfId="28000" xr:uid="{00000000-0005-0000-0000-0000E4680000}"/>
    <cellStyle name="SAPBEXchaText 5 4 2" xfId="32558" xr:uid="{AF5C3298-95BA-4815-BB85-7D0AA9C3A416}"/>
    <cellStyle name="SAPBEXchaText 5 5" xfId="26962" xr:uid="{00000000-0005-0000-0000-0000E5680000}"/>
    <cellStyle name="SAPBEXchaText 5 5 2" xfId="31723" xr:uid="{80BADA1D-B2A5-40FD-B758-7870739A022B}"/>
    <cellStyle name="SAPBEXchaText 5 6" xfId="29552" xr:uid="{00000000-0005-0000-0000-0000E6680000}"/>
    <cellStyle name="SAPBEXchaText 6" xfId="228" xr:uid="{00000000-0005-0000-0000-0000E7680000}"/>
    <cellStyle name="SAPBEXchaText 6 2" xfId="13713" xr:uid="{00000000-0005-0000-0000-0000E8680000}"/>
    <cellStyle name="SAPBEXchaText 6 2 2" xfId="25527" xr:uid="{00000000-0005-0000-0000-0000E9680000}"/>
    <cellStyle name="SAPBEXchaText 6 2 2 2" xfId="27680" xr:uid="{00000000-0005-0000-0000-0000EA680000}"/>
    <cellStyle name="SAPBEXchaText 6 2 2 2 2" xfId="32267" xr:uid="{22A278FE-4785-402F-A704-7DA684524221}"/>
    <cellStyle name="SAPBEXchaText 6 2 2 3" xfId="28005" xr:uid="{00000000-0005-0000-0000-0000EB680000}"/>
    <cellStyle name="SAPBEXchaText 6 2 2 3 2" xfId="32563" xr:uid="{77B492B7-E005-4BDA-9F60-41DA8B159D10}"/>
    <cellStyle name="SAPBEXchaText 6 2 2 4" xfId="26706" xr:uid="{00000000-0005-0000-0000-0000EC680000}"/>
    <cellStyle name="SAPBEXchaText 6 2 2 4 2" xfId="31468" xr:uid="{33769E03-8EF4-4941-B988-B72755493EDE}"/>
    <cellStyle name="SAPBEXchaText 6 2 2 5" xfId="29557" xr:uid="{00000000-0005-0000-0000-0000ED680000}"/>
    <cellStyle name="SAPBEXchaText 6 2 3" xfId="26633" xr:uid="{00000000-0005-0000-0000-0000EE680000}"/>
    <cellStyle name="SAPBEXchaText 6 2 3 2" xfId="31410" xr:uid="{C3F4B057-375E-4E64-AAD1-F9A576842C49}"/>
    <cellStyle name="SAPBEXchaText 6 2 4" xfId="28004" xr:uid="{00000000-0005-0000-0000-0000EF680000}"/>
    <cellStyle name="SAPBEXchaText 6 2 4 2" xfId="32562" xr:uid="{109A7494-49C9-465C-AA2F-E2D6A51FD5CE}"/>
    <cellStyle name="SAPBEXchaText 6 2 5" xfId="26313" xr:uid="{00000000-0005-0000-0000-0000F0680000}"/>
    <cellStyle name="SAPBEXchaText 6 2 5 2" xfId="31101" xr:uid="{AB4DD600-9408-4A1B-81D9-E0FD9C5940C9}"/>
    <cellStyle name="SAPBEXchaText 6 2 6" xfId="29556" xr:uid="{00000000-0005-0000-0000-0000F1680000}"/>
    <cellStyle name="SAPBEXchaText 6 2 7" xfId="30229" xr:uid="{07BFFDE9-19ED-40E2-9E84-D6EE921289DA}"/>
    <cellStyle name="SAPBEXchaText 6 3" xfId="25916" xr:uid="{00000000-0005-0000-0000-0000F2680000}"/>
    <cellStyle name="SAPBEXchaText 6 3 2" xfId="30805" xr:uid="{547E3CD4-5D04-4CA0-BE2A-40E85AA24C77}"/>
    <cellStyle name="SAPBEXchaText 6 4" xfId="28003" xr:uid="{00000000-0005-0000-0000-0000F3680000}"/>
    <cellStyle name="SAPBEXchaText 6 4 2" xfId="32561" xr:uid="{529CEF8C-1B0A-4E5F-AFBD-214A932D0894}"/>
    <cellStyle name="SAPBEXchaText 6 5" xfId="26443" xr:uid="{00000000-0005-0000-0000-0000F4680000}"/>
    <cellStyle name="SAPBEXchaText 6 5 2" xfId="31231" xr:uid="{6E0B9770-2E74-4348-A569-CE7AD2039FC6}"/>
    <cellStyle name="SAPBEXchaText 6 6" xfId="29555" xr:uid="{00000000-0005-0000-0000-0000F5680000}"/>
    <cellStyle name="SAPBEXchaText 7" xfId="229" xr:uid="{00000000-0005-0000-0000-0000F6680000}"/>
    <cellStyle name="SAPBEXchaText 7 2" xfId="485" xr:uid="{00000000-0005-0000-0000-0000F7680000}"/>
    <cellStyle name="SAPBEXchaText 7 2 2" xfId="13848" xr:uid="{00000000-0005-0000-0000-0000F8680000}"/>
    <cellStyle name="SAPBEXchaText 7 2 2 2" xfId="25378" xr:uid="{00000000-0005-0000-0000-0000F9680000}"/>
    <cellStyle name="SAPBEXchaText 7 2 2 2 2" xfId="27532" xr:uid="{00000000-0005-0000-0000-0000FA680000}"/>
    <cellStyle name="SAPBEXchaText 7 2 2 2 2 2" xfId="32123" xr:uid="{52542E1C-A245-421E-A63F-7149ED5CAF07}"/>
    <cellStyle name="SAPBEXchaText 7 2 2 2 3" xfId="28009" xr:uid="{00000000-0005-0000-0000-0000FB680000}"/>
    <cellStyle name="SAPBEXchaText 7 2 2 2 3 2" xfId="32567" xr:uid="{C9C49F1C-1922-46F2-97FA-C73D5DB36765}"/>
    <cellStyle name="SAPBEXchaText 7 2 2 2 4" xfId="26695" xr:uid="{00000000-0005-0000-0000-0000FC680000}"/>
    <cellStyle name="SAPBEXchaText 7 2 2 2 4 2" xfId="31457" xr:uid="{FA22BCDF-DEAB-494D-84F6-B17610115B94}"/>
    <cellStyle name="SAPBEXchaText 7 2 2 2 5" xfId="29561" xr:uid="{00000000-0005-0000-0000-0000FD680000}"/>
    <cellStyle name="SAPBEXchaText 7 2 2 2 6" xfId="30536" xr:uid="{85627ADD-2E70-4E0A-8761-79BD6BCCAF26}"/>
    <cellStyle name="SAPBEXchaText 7 2 2 3" xfId="26682" xr:uid="{00000000-0005-0000-0000-0000FE680000}"/>
    <cellStyle name="SAPBEXchaText 7 2 2 3 2" xfId="31445" xr:uid="{ADD5E1F4-7E87-490E-9C7A-235FE63FBCFB}"/>
    <cellStyle name="SAPBEXchaText 7 2 2 4" xfId="28008" xr:uid="{00000000-0005-0000-0000-0000FF680000}"/>
    <cellStyle name="SAPBEXchaText 7 2 2 4 2" xfId="32566" xr:uid="{E7EE46A1-CD47-4F0F-89F6-A508DD1D2D8D}"/>
    <cellStyle name="SAPBEXchaText 7 2 2 5" xfId="29560" xr:uid="{00000000-0005-0000-0000-000000690000}"/>
    <cellStyle name="SAPBEXchaText 7 2 3" xfId="25281" xr:uid="{00000000-0005-0000-0000-000001690000}"/>
    <cellStyle name="SAPBEXchaText 7 2 3 2" xfId="27436" xr:uid="{00000000-0005-0000-0000-000002690000}"/>
    <cellStyle name="SAPBEXchaText 7 2 3 2 2" xfId="32031" xr:uid="{26E9CF18-7C80-4994-B256-3A233AC3E1B3}"/>
    <cellStyle name="SAPBEXchaText 7 2 3 3" xfId="28010" xr:uid="{00000000-0005-0000-0000-000003690000}"/>
    <cellStyle name="SAPBEXchaText 7 2 3 3 2" xfId="32568" xr:uid="{268CFA2B-9333-4E7F-8E79-30FCCE0F08FB}"/>
    <cellStyle name="SAPBEXchaText 7 2 3 4" xfId="26172" xr:uid="{00000000-0005-0000-0000-000004690000}"/>
    <cellStyle name="SAPBEXchaText 7 2 3 4 2" xfId="30961" xr:uid="{6211BFA3-F975-4ADC-B443-86342960E308}"/>
    <cellStyle name="SAPBEXchaText 7 2 3 5" xfId="29562" xr:uid="{00000000-0005-0000-0000-000005690000}"/>
    <cellStyle name="SAPBEXchaText 7 2 3 6" xfId="30444" xr:uid="{D48E3575-3E9D-49E2-A962-DA2D92976549}"/>
    <cellStyle name="SAPBEXchaText 7 2 4" xfId="26035" xr:uid="{00000000-0005-0000-0000-000006690000}"/>
    <cellStyle name="SAPBEXchaText 7 2 4 2" xfId="30836" xr:uid="{BE4AE009-DB32-4BEF-B9BE-B1E8BE6C7331}"/>
    <cellStyle name="SAPBEXchaText 7 2 5" xfId="28007" xr:uid="{00000000-0005-0000-0000-000007690000}"/>
    <cellStyle name="SAPBEXchaText 7 2 5 2" xfId="32565" xr:uid="{D16DF65E-1078-4433-B752-4F6539E88B19}"/>
    <cellStyle name="SAPBEXchaText 7 2 6" xfId="29559" xr:uid="{00000000-0005-0000-0000-000008690000}"/>
    <cellStyle name="SAPBEXchaText 7 3" xfId="13714" xr:uid="{00000000-0005-0000-0000-000009690000}"/>
    <cellStyle name="SAPBEXchaText 7 3 2" xfId="25375" xr:uid="{00000000-0005-0000-0000-00000A690000}"/>
    <cellStyle name="SAPBEXchaText 7 3 2 2" xfId="27529" xr:uid="{00000000-0005-0000-0000-00000B690000}"/>
    <cellStyle name="SAPBEXchaText 7 3 2 2 2" xfId="32120" xr:uid="{A647E9DF-6CCA-4031-A463-0DD6CEDC2378}"/>
    <cellStyle name="SAPBEXchaText 7 3 2 3" xfId="28012" xr:uid="{00000000-0005-0000-0000-00000C690000}"/>
    <cellStyle name="SAPBEXchaText 7 3 2 3 2" xfId="32570" xr:uid="{24C38923-1612-4E01-A24D-179F16D43DE4}"/>
    <cellStyle name="SAPBEXchaText 7 3 2 4" xfId="26437" xr:uid="{00000000-0005-0000-0000-00000D690000}"/>
    <cellStyle name="SAPBEXchaText 7 3 2 4 2" xfId="31225" xr:uid="{450E58AE-F4B2-4393-B864-ED097D7AD114}"/>
    <cellStyle name="SAPBEXchaText 7 3 2 5" xfId="29564" xr:uid="{00000000-0005-0000-0000-00000E690000}"/>
    <cellStyle name="SAPBEXchaText 7 3 2 6" xfId="30533" xr:uid="{770AF651-E803-4298-890B-DA6387FB1EBB}"/>
    <cellStyle name="SAPBEXchaText 7 3 3" xfId="26634" xr:uid="{00000000-0005-0000-0000-00000F690000}"/>
    <cellStyle name="SAPBEXchaText 7 3 3 2" xfId="31411" xr:uid="{B3C62764-76AC-4CB8-BAFF-FCE08627574B}"/>
    <cellStyle name="SAPBEXchaText 7 3 4" xfId="28011" xr:uid="{00000000-0005-0000-0000-000010690000}"/>
    <cellStyle name="SAPBEXchaText 7 3 4 2" xfId="32569" xr:uid="{8E3A5CBB-D14F-4674-B376-9FA70177463D}"/>
    <cellStyle name="SAPBEXchaText 7 3 5" xfId="29563" xr:uid="{00000000-0005-0000-0000-000011690000}"/>
    <cellStyle name="SAPBEXchaText 7 4" xfId="25917" xr:uid="{00000000-0005-0000-0000-000012690000}"/>
    <cellStyle name="SAPBEXchaText 7 4 2" xfId="30806" xr:uid="{191C6D76-E4B9-4333-A259-1764C903BE3F}"/>
    <cellStyle name="SAPBEXchaText 7 5" xfId="28006" xr:uid="{00000000-0005-0000-0000-000013690000}"/>
    <cellStyle name="SAPBEXchaText 7 5 2" xfId="32564" xr:uid="{CE1F5832-9711-46C6-A2C8-4E99971A8664}"/>
    <cellStyle name="SAPBEXchaText 7 6" xfId="29558" xr:uid="{00000000-0005-0000-0000-000014690000}"/>
    <cellStyle name="SAPBEXchaText_Copy of xSAPtemp5457" xfId="230" xr:uid="{00000000-0005-0000-0000-000015690000}"/>
    <cellStyle name="SAPBEXexcBad7" xfId="79" xr:uid="{00000000-0005-0000-0000-000016690000}"/>
    <cellStyle name="SAPBEXexcBad7 2" xfId="13627" xr:uid="{00000000-0005-0000-0000-000017690000}"/>
    <cellStyle name="SAPBEXexcBad7 2 2" xfId="25465" xr:uid="{00000000-0005-0000-0000-000018690000}"/>
    <cellStyle name="SAPBEXexcBad7 2 2 2" xfId="27618" xr:uid="{00000000-0005-0000-0000-000019690000}"/>
    <cellStyle name="SAPBEXexcBad7 2 2 2 2" xfId="32205" xr:uid="{F6AD5AA4-ECBC-418A-A7E1-42E606DA1138}"/>
    <cellStyle name="SAPBEXexcBad7 2 2 3" xfId="28015" xr:uid="{00000000-0005-0000-0000-00001A690000}"/>
    <cellStyle name="SAPBEXexcBad7 2 2 3 2" xfId="32573" xr:uid="{026DF6A2-58DD-4587-AB07-5DDD7569B7C3}"/>
    <cellStyle name="SAPBEXexcBad7 2 2 4" xfId="26828" xr:uid="{00000000-0005-0000-0000-00001B690000}"/>
    <cellStyle name="SAPBEXexcBad7 2 2 4 2" xfId="31589" xr:uid="{ED6B7712-49D8-4AC5-9613-5B7648C281F3}"/>
    <cellStyle name="SAPBEXexcBad7 2 2 5" xfId="29567" xr:uid="{00000000-0005-0000-0000-00001C690000}"/>
    <cellStyle name="SAPBEXexcBad7 2 3" xfId="26569" xr:uid="{00000000-0005-0000-0000-00001D690000}"/>
    <cellStyle name="SAPBEXexcBad7 2 3 2" xfId="31347" xr:uid="{E481D17E-DB36-4148-8BD9-7983806C7D2E}"/>
    <cellStyle name="SAPBEXexcBad7 2 4" xfId="28014" xr:uid="{00000000-0005-0000-0000-00001E690000}"/>
    <cellStyle name="SAPBEXexcBad7 2 4 2" xfId="32572" xr:uid="{B6290ED8-9888-4644-B6FC-F4A47D8DED48}"/>
    <cellStyle name="SAPBEXexcBad7 2 5" xfId="26331" xr:uid="{00000000-0005-0000-0000-00001F690000}"/>
    <cellStyle name="SAPBEXexcBad7 2 5 2" xfId="31119" xr:uid="{53FBD389-691E-47E6-8664-A65B6E39A4F2}"/>
    <cellStyle name="SAPBEXexcBad7 2 6" xfId="29566" xr:uid="{00000000-0005-0000-0000-000020690000}"/>
    <cellStyle name="SAPBEXexcBad7 2 7" xfId="30167" xr:uid="{9AC65CE3-3E18-421D-BBD1-75D1B22F539E}"/>
    <cellStyle name="SAPBEXexcBad7 3" xfId="24682" xr:uid="{00000000-0005-0000-0000-000021690000}"/>
    <cellStyle name="SAPBEXexcBad7 3 2" xfId="25399" xr:uid="{00000000-0005-0000-0000-000022690000}"/>
    <cellStyle name="SAPBEXexcBad7 3 2 2" xfId="27553" xr:uid="{00000000-0005-0000-0000-000023690000}"/>
    <cellStyle name="SAPBEXexcBad7 3 2 2 2" xfId="32144" xr:uid="{A3D1E332-B276-4048-8F3F-270228DE3347}"/>
    <cellStyle name="SAPBEXexcBad7 3 2 3" xfId="28017" xr:uid="{00000000-0005-0000-0000-000024690000}"/>
    <cellStyle name="SAPBEXexcBad7 3 2 3 2" xfId="32575" xr:uid="{0B2F08D5-842A-416F-9D9B-C01C498C1ADF}"/>
    <cellStyle name="SAPBEXexcBad7 3 2 4" xfId="26769" xr:uid="{00000000-0005-0000-0000-000025690000}"/>
    <cellStyle name="SAPBEXexcBad7 3 2 4 2" xfId="31530" xr:uid="{52A2D7A2-1FC3-4E37-A58B-87DF89BCF9F6}"/>
    <cellStyle name="SAPBEXexcBad7 3 2 5" xfId="29569" xr:uid="{00000000-0005-0000-0000-000026690000}"/>
    <cellStyle name="SAPBEXexcBad7 3 2 6" xfId="30557" xr:uid="{8278BFE8-B196-4672-B445-CC80D6A98836}"/>
    <cellStyle name="SAPBEXexcBad7 3 3" xfId="25645" xr:uid="{00000000-0005-0000-0000-000027690000}"/>
    <cellStyle name="SAPBEXexcBad7 3 3 2" xfId="27798" xr:uid="{00000000-0005-0000-0000-000028690000}"/>
    <cellStyle name="SAPBEXexcBad7 3 3 2 2" xfId="32385" xr:uid="{F2119AA1-EDD3-491F-88FF-0347398E06C8}"/>
    <cellStyle name="SAPBEXexcBad7 3 3 3" xfId="28018" xr:uid="{00000000-0005-0000-0000-000029690000}"/>
    <cellStyle name="SAPBEXexcBad7 3 3 3 2" xfId="32576" xr:uid="{480CEA6E-DAF1-462E-9D0B-3B8941B61CB8}"/>
    <cellStyle name="SAPBEXexcBad7 3 3 4" xfId="26911" xr:uid="{00000000-0005-0000-0000-00002A690000}"/>
    <cellStyle name="SAPBEXexcBad7 3 3 4 2" xfId="31672" xr:uid="{AEC26E8F-A103-4FA9-A7F1-8BF1A2521750}"/>
    <cellStyle name="SAPBEXexcBad7 3 3 5" xfId="29570" xr:uid="{00000000-0005-0000-0000-00002B690000}"/>
    <cellStyle name="SAPBEXexcBad7 3 4" xfId="27272" xr:uid="{00000000-0005-0000-0000-00002C690000}"/>
    <cellStyle name="SAPBEXexcBad7 3 4 2" xfId="31907" xr:uid="{20113CD8-D19F-4F06-998C-0F238747D050}"/>
    <cellStyle name="SAPBEXexcBad7 3 5" xfId="28016" xr:uid="{00000000-0005-0000-0000-00002D690000}"/>
    <cellStyle name="SAPBEXexcBad7 3 5 2" xfId="32574" xr:uid="{57FF2C4B-ED26-469F-9020-53E139B0CB3F}"/>
    <cellStyle name="SAPBEXexcBad7 3 6" xfId="26377" xr:uid="{00000000-0005-0000-0000-00002E690000}"/>
    <cellStyle name="SAPBEXexcBad7 3 6 2" xfId="31165" xr:uid="{B8F6F46E-F3B9-4988-B763-D012B07ADF1A}"/>
    <cellStyle name="SAPBEXexcBad7 3 7" xfId="29568" xr:uid="{00000000-0005-0000-0000-00002F690000}"/>
    <cellStyle name="SAPBEXexcBad7 3 8" xfId="30347" xr:uid="{C438EF61-56CC-443D-B94B-C158C7907B5D}"/>
    <cellStyle name="SAPBEXexcBad7 4" xfId="25094" xr:uid="{00000000-0005-0000-0000-000030690000}"/>
    <cellStyle name="SAPBEXexcBad7 4 2" xfId="25304" xr:uid="{00000000-0005-0000-0000-000031690000}"/>
    <cellStyle name="SAPBEXexcBad7 4 2 2" xfId="27458" xr:uid="{00000000-0005-0000-0000-000032690000}"/>
    <cellStyle name="SAPBEXexcBad7 4 2 2 2" xfId="32050" xr:uid="{DC0AC1C3-3A0B-4C51-B482-90730169D534}"/>
    <cellStyle name="SAPBEXexcBad7 4 2 3" xfId="28020" xr:uid="{00000000-0005-0000-0000-000033690000}"/>
    <cellStyle name="SAPBEXexcBad7 4 2 3 2" xfId="32578" xr:uid="{A5DD4115-76F8-458B-97E7-994376CB98E9}"/>
    <cellStyle name="SAPBEXexcBad7 4 2 4" xfId="26171" xr:uid="{00000000-0005-0000-0000-000034690000}"/>
    <cellStyle name="SAPBEXexcBad7 4 2 4 2" xfId="30960" xr:uid="{396F3595-FB48-4E71-B1AF-03BB8F7F7B72}"/>
    <cellStyle name="SAPBEXexcBad7 4 2 5" xfId="29572" xr:uid="{00000000-0005-0000-0000-000035690000}"/>
    <cellStyle name="SAPBEXexcBad7 4 2 6" xfId="30463" xr:uid="{27A585FC-FFB6-454E-A6AB-F7CA56A56366}"/>
    <cellStyle name="SAPBEXexcBad7 4 3" xfId="25692" xr:uid="{00000000-0005-0000-0000-000036690000}"/>
    <cellStyle name="SAPBEXexcBad7 4 3 2" xfId="27845" xr:uid="{00000000-0005-0000-0000-000037690000}"/>
    <cellStyle name="SAPBEXexcBad7 4 3 2 2" xfId="32432" xr:uid="{6BA12DF8-8B2F-44B9-9EF2-978B0395EDA0}"/>
    <cellStyle name="SAPBEXexcBad7 4 3 3" xfId="28021" xr:uid="{00000000-0005-0000-0000-000038690000}"/>
    <cellStyle name="SAPBEXexcBad7 4 3 3 2" xfId="32579" xr:uid="{49B39C9B-31D8-4869-ACCD-9EDCB33B5E92}"/>
    <cellStyle name="SAPBEXexcBad7 4 3 4" xfId="26347" xr:uid="{00000000-0005-0000-0000-000039690000}"/>
    <cellStyle name="SAPBEXexcBad7 4 3 4 2" xfId="31135" xr:uid="{BE02F2D0-D3F5-4BFF-999F-2BD977846F25}"/>
    <cellStyle name="SAPBEXexcBad7 4 3 5" xfId="29573" xr:uid="{00000000-0005-0000-0000-00003A690000}"/>
    <cellStyle name="SAPBEXexcBad7 4 3 6" xfId="30686" xr:uid="{313CAF11-3654-4251-A8FE-A1E3486C57E4}"/>
    <cellStyle name="SAPBEXexcBad7 4 4" xfId="27379" xr:uid="{00000000-0005-0000-0000-00003B690000}"/>
    <cellStyle name="SAPBEXexcBad7 4 4 2" xfId="31977" xr:uid="{F565D8CC-E8DD-4837-8B46-DB948B1A2BD3}"/>
    <cellStyle name="SAPBEXexcBad7 4 5" xfId="28019" xr:uid="{00000000-0005-0000-0000-00003C690000}"/>
    <cellStyle name="SAPBEXexcBad7 4 5 2" xfId="32577" xr:uid="{00507B9B-AD04-436E-BE7A-0D8C06798B90}"/>
    <cellStyle name="SAPBEXexcBad7 4 6" xfId="26326" xr:uid="{00000000-0005-0000-0000-00003D690000}"/>
    <cellStyle name="SAPBEXexcBad7 4 6 2" xfId="31114" xr:uid="{78C2E43B-6293-449B-8D6D-B3866686CDDB}"/>
    <cellStyle name="SAPBEXexcBad7 4 7" xfId="29571" xr:uid="{00000000-0005-0000-0000-00003E690000}"/>
    <cellStyle name="SAPBEXexcBad7 4 8" xfId="30394" xr:uid="{FA2A5D41-B10D-424E-B95E-AFEE97770A6C}"/>
    <cellStyle name="SAPBEXexcBad7 5" xfId="25823" xr:uid="{00000000-0005-0000-0000-00003F690000}"/>
    <cellStyle name="SAPBEXexcBad7 5 2" xfId="30742" xr:uid="{0D73545B-EB51-4FF6-AE12-49D0D0152D10}"/>
    <cellStyle name="SAPBEXexcBad7 6" xfId="28013" xr:uid="{00000000-0005-0000-0000-000040690000}"/>
    <cellStyle name="SAPBEXexcBad7 6 2" xfId="32571" xr:uid="{9D5EAA66-2CBD-47B0-B41F-483478D1FBDC}"/>
    <cellStyle name="SAPBEXexcBad7 7" xfId="26762" xr:uid="{00000000-0005-0000-0000-000041690000}"/>
    <cellStyle name="SAPBEXexcBad7 7 2" xfId="31523" xr:uid="{5C276D8F-829A-4AEA-9CDD-E9CDA20805B5}"/>
    <cellStyle name="SAPBEXexcBad7 8" xfId="29565" xr:uid="{00000000-0005-0000-0000-000042690000}"/>
    <cellStyle name="SAPBEXexcBad8" xfId="80" xr:uid="{00000000-0005-0000-0000-000043690000}"/>
    <cellStyle name="SAPBEXexcBad8 2" xfId="13628" xr:uid="{00000000-0005-0000-0000-000044690000}"/>
    <cellStyle name="SAPBEXexcBad8 2 2" xfId="25466" xr:uid="{00000000-0005-0000-0000-000045690000}"/>
    <cellStyle name="SAPBEXexcBad8 2 2 2" xfId="27619" xr:uid="{00000000-0005-0000-0000-000046690000}"/>
    <cellStyle name="SAPBEXexcBad8 2 2 2 2" xfId="32206" xr:uid="{CDD3FB0F-3B32-4792-BAD7-01135437722A}"/>
    <cellStyle name="SAPBEXexcBad8 2 2 3" xfId="28024" xr:uid="{00000000-0005-0000-0000-000047690000}"/>
    <cellStyle name="SAPBEXexcBad8 2 2 3 2" xfId="32582" xr:uid="{852CDD5A-CFDD-41BD-884F-0764829DD48B}"/>
    <cellStyle name="SAPBEXexcBad8 2 2 4" xfId="26218" xr:uid="{00000000-0005-0000-0000-000048690000}"/>
    <cellStyle name="SAPBEXexcBad8 2 2 4 2" xfId="31006" xr:uid="{59F473EF-FFC9-47AC-AE9D-1D01CABA42AE}"/>
    <cellStyle name="SAPBEXexcBad8 2 2 5" xfId="29576" xr:uid="{00000000-0005-0000-0000-000049690000}"/>
    <cellStyle name="SAPBEXexcBad8 2 3" xfId="26570" xr:uid="{00000000-0005-0000-0000-00004A690000}"/>
    <cellStyle name="SAPBEXexcBad8 2 3 2" xfId="31348" xr:uid="{4FAA151D-0B1D-4247-AE0E-106F5F863E86}"/>
    <cellStyle name="SAPBEXexcBad8 2 4" xfId="28023" xr:uid="{00000000-0005-0000-0000-00004B690000}"/>
    <cellStyle name="SAPBEXexcBad8 2 4 2" xfId="32581" xr:uid="{16F42EA7-92D7-401F-B360-936F52931500}"/>
    <cellStyle name="SAPBEXexcBad8 2 5" xfId="27149" xr:uid="{00000000-0005-0000-0000-00004C690000}"/>
    <cellStyle name="SAPBEXexcBad8 2 5 2" xfId="31851" xr:uid="{A7C9056D-9180-4EF6-A8EF-7AFCE465DBD2}"/>
    <cellStyle name="SAPBEXexcBad8 2 6" xfId="29575" xr:uid="{00000000-0005-0000-0000-00004D690000}"/>
    <cellStyle name="SAPBEXexcBad8 2 7" xfId="30168" xr:uid="{121A054E-F96F-4E7D-A7D5-F5A6086CD662}"/>
    <cellStyle name="SAPBEXexcBad8 3" xfId="24681" xr:uid="{00000000-0005-0000-0000-00004E690000}"/>
    <cellStyle name="SAPBEXexcBad8 3 2" xfId="25383" xr:uid="{00000000-0005-0000-0000-00004F690000}"/>
    <cellStyle name="SAPBEXexcBad8 3 2 2" xfId="27537" xr:uid="{00000000-0005-0000-0000-000050690000}"/>
    <cellStyle name="SAPBEXexcBad8 3 2 2 2" xfId="32128" xr:uid="{F80C21A3-8BB8-446F-97B9-203291513ACD}"/>
    <cellStyle name="SAPBEXexcBad8 3 2 3" xfId="28026" xr:uid="{00000000-0005-0000-0000-000051690000}"/>
    <cellStyle name="SAPBEXexcBad8 3 2 3 2" xfId="32584" xr:uid="{F16DB7E5-F56D-4541-BA28-D3E480CE4FCD}"/>
    <cellStyle name="SAPBEXexcBad8 3 2 4" xfId="26788" xr:uid="{00000000-0005-0000-0000-000052690000}"/>
    <cellStyle name="SAPBEXexcBad8 3 2 4 2" xfId="31549" xr:uid="{58E2C0DA-65C7-4E44-8ED8-2A596A0076DC}"/>
    <cellStyle name="SAPBEXexcBad8 3 2 5" xfId="29578" xr:uid="{00000000-0005-0000-0000-000053690000}"/>
    <cellStyle name="SAPBEXexcBad8 3 2 6" xfId="30541" xr:uid="{3A15369D-004C-445B-8405-78A515CBFA0F}"/>
    <cellStyle name="SAPBEXexcBad8 3 3" xfId="25644" xr:uid="{00000000-0005-0000-0000-000054690000}"/>
    <cellStyle name="SAPBEXexcBad8 3 3 2" xfId="27797" xr:uid="{00000000-0005-0000-0000-000055690000}"/>
    <cellStyle name="SAPBEXexcBad8 3 3 2 2" xfId="32384" xr:uid="{26D793D6-4ED2-428F-BABF-41F68C2542AB}"/>
    <cellStyle name="SAPBEXexcBad8 3 3 3" xfId="28027" xr:uid="{00000000-0005-0000-0000-000056690000}"/>
    <cellStyle name="SAPBEXexcBad8 3 3 3 2" xfId="32585" xr:uid="{328ECF25-030C-449C-857B-3A0E8035D72C}"/>
    <cellStyle name="SAPBEXexcBad8 3 3 4" xfId="26093" xr:uid="{00000000-0005-0000-0000-000057690000}"/>
    <cellStyle name="SAPBEXexcBad8 3 3 4 2" xfId="30883" xr:uid="{DA520042-7A94-45D0-BDA5-7697230027FE}"/>
    <cellStyle name="SAPBEXexcBad8 3 3 5" xfId="29579" xr:uid="{00000000-0005-0000-0000-000058690000}"/>
    <cellStyle name="SAPBEXexcBad8 3 4" xfId="27271" xr:uid="{00000000-0005-0000-0000-000059690000}"/>
    <cellStyle name="SAPBEXexcBad8 3 4 2" xfId="31906" xr:uid="{741DA6BA-C344-46FA-82A5-C36E8F827DBA}"/>
    <cellStyle name="SAPBEXexcBad8 3 5" xfId="28025" xr:uid="{00000000-0005-0000-0000-00005A690000}"/>
    <cellStyle name="SAPBEXexcBad8 3 5 2" xfId="32583" xr:uid="{F9DE1F9E-A864-495D-BFC6-A9E860F5D52E}"/>
    <cellStyle name="SAPBEXexcBad8 3 6" xfId="26453" xr:uid="{00000000-0005-0000-0000-00005B690000}"/>
    <cellStyle name="SAPBEXexcBad8 3 6 2" xfId="31241" xr:uid="{A68E2025-D99A-431C-908B-1DFF8A453799}"/>
    <cellStyle name="SAPBEXexcBad8 3 7" xfId="29577" xr:uid="{00000000-0005-0000-0000-00005C690000}"/>
    <cellStyle name="SAPBEXexcBad8 3 8" xfId="30346" xr:uid="{8EBBC0D5-37FF-4FAA-BA5F-5BFF8369F726}"/>
    <cellStyle name="SAPBEXexcBad8 4" xfId="25095" xr:uid="{00000000-0005-0000-0000-00005D690000}"/>
    <cellStyle name="SAPBEXexcBad8 4 2" xfId="25407" xr:uid="{00000000-0005-0000-0000-00005E690000}"/>
    <cellStyle name="SAPBEXexcBad8 4 2 2" xfId="27561" xr:uid="{00000000-0005-0000-0000-00005F690000}"/>
    <cellStyle name="SAPBEXexcBad8 4 2 2 2" xfId="32152" xr:uid="{4C604C83-579A-4275-B506-5B2247491A78}"/>
    <cellStyle name="SAPBEXexcBad8 4 2 3" xfId="28029" xr:uid="{00000000-0005-0000-0000-000060690000}"/>
    <cellStyle name="SAPBEXexcBad8 4 2 3 2" xfId="32587" xr:uid="{7E77D617-98FF-4E59-A025-AD3A5B0E6444}"/>
    <cellStyle name="SAPBEXexcBad8 4 2 4" xfId="26104" xr:uid="{00000000-0005-0000-0000-000061690000}"/>
    <cellStyle name="SAPBEXexcBad8 4 2 4 2" xfId="30894" xr:uid="{C1DEDFA8-7657-4D64-8CDC-41E6BF6B7207}"/>
    <cellStyle name="SAPBEXexcBad8 4 2 5" xfId="29581" xr:uid="{00000000-0005-0000-0000-000062690000}"/>
    <cellStyle name="SAPBEXexcBad8 4 2 6" xfId="30565" xr:uid="{3B46A29E-DE8B-45F9-BE1F-4659838470C7}"/>
    <cellStyle name="SAPBEXexcBad8 4 3" xfId="25693" xr:uid="{00000000-0005-0000-0000-000063690000}"/>
    <cellStyle name="SAPBEXexcBad8 4 3 2" xfId="27846" xr:uid="{00000000-0005-0000-0000-000064690000}"/>
    <cellStyle name="SAPBEXexcBad8 4 3 2 2" xfId="32433" xr:uid="{8A2D5EE9-267D-4015-B097-FE5A481D2AF9}"/>
    <cellStyle name="SAPBEXexcBad8 4 3 3" xfId="28030" xr:uid="{00000000-0005-0000-0000-000065690000}"/>
    <cellStyle name="SAPBEXexcBad8 4 3 3 2" xfId="32588" xr:uid="{FA891C18-4D79-4A97-8002-B27C3CCFDBAF}"/>
    <cellStyle name="SAPBEXexcBad8 4 3 4" xfId="26900" xr:uid="{00000000-0005-0000-0000-000066690000}"/>
    <cellStyle name="SAPBEXexcBad8 4 3 4 2" xfId="31661" xr:uid="{C35F3C85-EC52-486B-BECD-F168DFDAA926}"/>
    <cellStyle name="SAPBEXexcBad8 4 3 5" xfId="29582" xr:uid="{00000000-0005-0000-0000-000067690000}"/>
    <cellStyle name="SAPBEXexcBad8 4 3 6" xfId="30687" xr:uid="{0805A494-1235-4227-9F3C-AEC439FDCD09}"/>
    <cellStyle name="SAPBEXexcBad8 4 4" xfId="27380" xr:uid="{00000000-0005-0000-0000-000068690000}"/>
    <cellStyle name="SAPBEXexcBad8 4 4 2" xfId="31978" xr:uid="{F0FEA23A-5C77-4FA6-AE45-94940C566A56}"/>
    <cellStyle name="SAPBEXexcBad8 4 5" xfId="28028" xr:uid="{00000000-0005-0000-0000-000069690000}"/>
    <cellStyle name="SAPBEXexcBad8 4 5 2" xfId="32586" xr:uid="{4B5902EA-D4CD-4A5B-8A5A-0401112C48E2}"/>
    <cellStyle name="SAPBEXexcBad8 4 6" xfId="26785" xr:uid="{00000000-0005-0000-0000-00006A690000}"/>
    <cellStyle name="SAPBEXexcBad8 4 6 2" xfId="31546" xr:uid="{1F66D3C7-B6ED-4FD8-A58B-E3C553854D24}"/>
    <cellStyle name="SAPBEXexcBad8 4 7" xfId="29580" xr:uid="{00000000-0005-0000-0000-00006B690000}"/>
    <cellStyle name="SAPBEXexcBad8 4 8" xfId="30395" xr:uid="{08675E25-B07C-4CA5-A6A7-C14738973FF5}"/>
    <cellStyle name="SAPBEXexcBad8 5" xfId="25824" xr:uid="{00000000-0005-0000-0000-00006C690000}"/>
    <cellStyle name="SAPBEXexcBad8 5 2" xfId="30743" xr:uid="{3E372EA9-0ED3-4A1E-9999-5127CCA3674D}"/>
    <cellStyle name="SAPBEXexcBad8 6" xfId="28022" xr:uid="{00000000-0005-0000-0000-00006D690000}"/>
    <cellStyle name="SAPBEXexcBad8 6 2" xfId="32580" xr:uid="{2CB1FFE1-73C1-48D3-B832-C247E2C55BB0}"/>
    <cellStyle name="SAPBEXexcBad8 7" xfId="26238" xr:uid="{00000000-0005-0000-0000-00006E690000}"/>
    <cellStyle name="SAPBEXexcBad8 7 2" xfId="31026" xr:uid="{26EA9E22-F38C-4C7E-8B09-A86D266C206F}"/>
    <cellStyle name="SAPBEXexcBad8 8" xfId="29574" xr:uid="{00000000-0005-0000-0000-00006F690000}"/>
    <cellStyle name="SAPBEXexcBad9" xfId="81" xr:uid="{00000000-0005-0000-0000-000070690000}"/>
    <cellStyle name="SAPBEXexcBad9 2" xfId="13629" xr:uid="{00000000-0005-0000-0000-000071690000}"/>
    <cellStyle name="SAPBEXexcBad9 2 2" xfId="25467" xr:uid="{00000000-0005-0000-0000-000072690000}"/>
    <cellStyle name="SAPBEXexcBad9 2 2 2" xfId="27620" xr:uid="{00000000-0005-0000-0000-000073690000}"/>
    <cellStyle name="SAPBEXexcBad9 2 2 2 2" xfId="32207" xr:uid="{9219C994-1373-4C88-8225-2AAE9430DDC0}"/>
    <cellStyle name="SAPBEXexcBad9 2 2 3" xfId="28033" xr:uid="{00000000-0005-0000-0000-000074690000}"/>
    <cellStyle name="SAPBEXexcBad9 2 2 3 2" xfId="32591" xr:uid="{147B5E01-F6E4-40B2-80F8-3A1C91AC2264}"/>
    <cellStyle name="SAPBEXexcBad9 2 2 4" xfId="26927" xr:uid="{00000000-0005-0000-0000-000075690000}"/>
    <cellStyle name="SAPBEXexcBad9 2 2 4 2" xfId="31688" xr:uid="{66310ED7-13E0-475D-943C-1B92209832B0}"/>
    <cellStyle name="SAPBEXexcBad9 2 2 5" xfId="29585" xr:uid="{00000000-0005-0000-0000-000076690000}"/>
    <cellStyle name="SAPBEXexcBad9 2 3" xfId="26571" xr:uid="{00000000-0005-0000-0000-000077690000}"/>
    <cellStyle name="SAPBEXexcBad9 2 3 2" xfId="31349" xr:uid="{468C88E9-5348-4798-A7FB-656C57D4C49D}"/>
    <cellStyle name="SAPBEXexcBad9 2 4" xfId="28032" xr:uid="{00000000-0005-0000-0000-000078690000}"/>
    <cellStyle name="SAPBEXexcBad9 2 4 2" xfId="32590" xr:uid="{FDAF5511-97AE-4C91-9200-BD6139B1CCD4}"/>
    <cellStyle name="SAPBEXexcBad9 2 5" xfId="26418" xr:uid="{00000000-0005-0000-0000-000079690000}"/>
    <cellStyle name="SAPBEXexcBad9 2 5 2" xfId="31206" xr:uid="{817733A6-CA2D-4868-A91E-D5F88F616E6C}"/>
    <cellStyle name="SAPBEXexcBad9 2 6" xfId="29584" xr:uid="{00000000-0005-0000-0000-00007A690000}"/>
    <cellStyle name="SAPBEXexcBad9 2 7" xfId="30169" xr:uid="{5A46BD8B-99BA-4ADD-BD92-D2EDF95E3C6C}"/>
    <cellStyle name="SAPBEXexcBad9 3" xfId="24680" xr:uid="{00000000-0005-0000-0000-00007B690000}"/>
    <cellStyle name="SAPBEXexcBad9 3 2" xfId="25370" xr:uid="{00000000-0005-0000-0000-00007C690000}"/>
    <cellStyle name="SAPBEXexcBad9 3 2 2" xfId="27524" xr:uid="{00000000-0005-0000-0000-00007D690000}"/>
    <cellStyle name="SAPBEXexcBad9 3 2 2 2" xfId="32115" xr:uid="{5904040C-3BBB-423B-8860-5CC46C45B118}"/>
    <cellStyle name="SAPBEXexcBad9 3 2 3" xfId="28035" xr:uid="{00000000-0005-0000-0000-00007E690000}"/>
    <cellStyle name="SAPBEXexcBad9 3 2 3 2" xfId="32593" xr:uid="{93D296E2-06AB-4437-921B-1E975D5F7F06}"/>
    <cellStyle name="SAPBEXexcBad9 3 2 4" xfId="26704" xr:uid="{00000000-0005-0000-0000-00007F690000}"/>
    <cellStyle name="SAPBEXexcBad9 3 2 4 2" xfId="31466" xr:uid="{71DE239D-58B4-48FA-83E7-39092D3A3F62}"/>
    <cellStyle name="SAPBEXexcBad9 3 2 5" xfId="29587" xr:uid="{00000000-0005-0000-0000-000080690000}"/>
    <cellStyle name="SAPBEXexcBad9 3 2 6" xfId="30528" xr:uid="{BE9D39FA-F8D5-4FCD-880A-65D34BEEBDD0}"/>
    <cellStyle name="SAPBEXexcBad9 3 3" xfId="25643" xr:uid="{00000000-0005-0000-0000-000081690000}"/>
    <cellStyle name="SAPBEXexcBad9 3 3 2" xfId="27796" xr:uid="{00000000-0005-0000-0000-000082690000}"/>
    <cellStyle name="SAPBEXexcBad9 3 3 2 2" xfId="32383" xr:uid="{E5EE7670-C79F-4A61-BB0E-8D5B921C5D6A}"/>
    <cellStyle name="SAPBEXexcBad9 3 3 3" xfId="28036" xr:uid="{00000000-0005-0000-0000-000083690000}"/>
    <cellStyle name="SAPBEXexcBad9 3 3 3 2" xfId="32594" xr:uid="{9F72F696-A5AD-430D-8B4F-5E7A509BF504}"/>
    <cellStyle name="SAPBEXexcBad9 3 3 4" xfId="26530" xr:uid="{00000000-0005-0000-0000-000084690000}"/>
    <cellStyle name="SAPBEXexcBad9 3 3 4 2" xfId="31317" xr:uid="{0AF54538-BDD5-451D-B991-E41725C3156C}"/>
    <cellStyle name="SAPBEXexcBad9 3 3 5" xfId="29588" xr:uid="{00000000-0005-0000-0000-000085690000}"/>
    <cellStyle name="SAPBEXexcBad9 3 4" xfId="27270" xr:uid="{00000000-0005-0000-0000-000086690000}"/>
    <cellStyle name="SAPBEXexcBad9 3 4 2" xfId="31905" xr:uid="{8D260CF6-18A3-468A-BC1F-EF8242DA7411}"/>
    <cellStyle name="SAPBEXexcBad9 3 5" xfId="28034" xr:uid="{00000000-0005-0000-0000-000087690000}"/>
    <cellStyle name="SAPBEXexcBad9 3 5 2" xfId="32592" xr:uid="{92BF6394-75C1-4E2B-A1A7-0B62F3217125}"/>
    <cellStyle name="SAPBEXexcBad9 3 6" xfId="26886" xr:uid="{00000000-0005-0000-0000-000088690000}"/>
    <cellStyle name="SAPBEXexcBad9 3 6 2" xfId="31647" xr:uid="{2CA139E6-A935-4D43-9079-DF3D0C324EC1}"/>
    <cellStyle name="SAPBEXexcBad9 3 7" xfId="29586" xr:uid="{00000000-0005-0000-0000-000089690000}"/>
    <cellStyle name="SAPBEXexcBad9 3 8" xfId="30345" xr:uid="{7723DB4C-AAD9-44A2-86D4-2332F61D552D}"/>
    <cellStyle name="SAPBEXexcBad9 4" xfId="25096" xr:uid="{00000000-0005-0000-0000-00008A690000}"/>
    <cellStyle name="SAPBEXexcBad9 4 2" xfId="25320" xr:uid="{00000000-0005-0000-0000-00008B690000}"/>
    <cellStyle name="SAPBEXexcBad9 4 2 2" xfId="27474" xr:uid="{00000000-0005-0000-0000-00008C690000}"/>
    <cellStyle name="SAPBEXexcBad9 4 2 2 2" xfId="32065" xr:uid="{D3264A37-97E2-4BFF-8403-2B0F38FB2298}"/>
    <cellStyle name="SAPBEXexcBad9 4 2 3" xfId="28038" xr:uid="{00000000-0005-0000-0000-00008D690000}"/>
    <cellStyle name="SAPBEXexcBad9 4 2 3 2" xfId="32596" xr:uid="{ECE4F3D6-7129-48B1-8496-F77E5A7631A6}"/>
    <cellStyle name="SAPBEXexcBad9 4 2 4" xfId="26083" xr:uid="{00000000-0005-0000-0000-00008E690000}"/>
    <cellStyle name="SAPBEXexcBad9 4 2 4 2" xfId="30873" xr:uid="{EF3785BF-319D-48F7-8611-86DE9D9805DD}"/>
    <cellStyle name="SAPBEXexcBad9 4 2 5" xfId="29590" xr:uid="{00000000-0005-0000-0000-00008F690000}"/>
    <cellStyle name="SAPBEXexcBad9 4 2 6" xfId="30478" xr:uid="{55512588-FCE6-4E34-9525-10C463DEDDB6}"/>
    <cellStyle name="SAPBEXexcBad9 4 3" xfId="25694" xr:uid="{00000000-0005-0000-0000-000090690000}"/>
    <cellStyle name="SAPBEXexcBad9 4 3 2" xfId="27847" xr:uid="{00000000-0005-0000-0000-000091690000}"/>
    <cellStyle name="SAPBEXexcBad9 4 3 2 2" xfId="32434" xr:uid="{7977C168-4F68-4452-B0C1-4E2C277010CA}"/>
    <cellStyle name="SAPBEXexcBad9 4 3 3" xfId="28039" xr:uid="{00000000-0005-0000-0000-000092690000}"/>
    <cellStyle name="SAPBEXexcBad9 4 3 3 2" xfId="32597" xr:uid="{F43F0C88-FE17-43C5-B8D0-A84D84C581B3}"/>
    <cellStyle name="SAPBEXexcBad9 4 3 4" xfId="27316" xr:uid="{00000000-0005-0000-0000-000093690000}"/>
    <cellStyle name="SAPBEXexcBad9 4 3 4 2" xfId="31936" xr:uid="{072C2996-7E58-48FA-9C3C-E0F1FDF93C39}"/>
    <cellStyle name="SAPBEXexcBad9 4 3 5" xfId="29591" xr:uid="{00000000-0005-0000-0000-000094690000}"/>
    <cellStyle name="SAPBEXexcBad9 4 3 6" xfId="30688" xr:uid="{E7B6A86E-F651-4499-A81A-9D2E5C8EA0D3}"/>
    <cellStyle name="SAPBEXexcBad9 4 4" xfId="27381" xr:uid="{00000000-0005-0000-0000-000095690000}"/>
    <cellStyle name="SAPBEXexcBad9 4 4 2" xfId="31979" xr:uid="{04528EAB-C978-4019-ADE5-1EB760ED5A63}"/>
    <cellStyle name="SAPBEXexcBad9 4 5" xfId="28037" xr:uid="{00000000-0005-0000-0000-000096690000}"/>
    <cellStyle name="SAPBEXexcBad9 4 5 2" xfId="32595" xr:uid="{E63F6B05-8010-4AEA-B68C-AD363D2196B2}"/>
    <cellStyle name="SAPBEXexcBad9 4 6" xfId="26261" xr:uid="{00000000-0005-0000-0000-000097690000}"/>
    <cellStyle name="SAPBEXexcBad9 4 6 2" xfId="31049" xr:uid="{036F90B6-FA9D-4D6C-9A07-816B59726EDE}"/>
    <cellStyle name="SAPBEXexcBad9 4 7" xfId="29589" xr:uid="{00000000-0005-0000-0000-000098690000}"/>
    <cellStyle name="SAPBEXexcBad9 4 8" xfId="30396" xr:uid="{5497B413-3269-428A-ADFF-E39FDCFD8C2C}"/>
    <cellStyle name="SAPBEXexcBad9 5" xfId="25825" xr:uid="{00000000-0005-0000-0000-000099690000}"/>
    <cellStyle name="SAPBEXexcBad9 5 2" xfId="30744" xr:uid="{B9FDB609-DEC1-4553-856F-FF209B25523E}"/>
    <cellStyle name="SAPBEXexcBad9 6" xfId="28031" xr:uid="{00000000-0005-0000-0000-00009A690000}"/>
    <cellStyle name="SAPBEXexcBad9 6 2" xfId="32589" xr:uid="{742128E4-5277-4C17-A150-4CB06F50C9E8}"/>
    <cellStyle name="SAPBEXexcBad9 7" xfId="26839" xr:uid="{00000000-0005-0000-0000-00009B690000}"/>
    <cellStyle name="SAPBEXexcBad9 7 2" xfId="31600" xr:uid="{1476D7C8-A60A-4FB1-B4A2-CAF306157B4B}"/>
    <cellStyle name="SAPBEXexcBad9 8" xfId="29583" xr:uid="{00000000-0005-0000-0000-00009C690000}"/>
    <cellStyle name="SAPBEXexcCritical4" xfId="82" xr:uid="{00000000-0005-0000-0000-00009D690000}"/>
    <cellStyle name="SAPBEXexcCritical4 2" xfId="13630" xr:uid="{00000000-0005-0000-0000-00009E690000}"/>
    <cellStyle name="SAPBEXexcCritical4 2 2" xfId="25468" xr:uid="{00000000-0005-0000-0000-00009F690000}"/>
    <cellStyle name="SAPBEXexcCritical4 2 2 2" xfId="27621" xr:uid="{00000000-0005-0000-0000-0000A0690000}"/>
    <cellStyle name="SAPBEXexcCritical4 2 2 2 2" xfId="32208" xr:uid="{4C1A3557-8559-446F-BEE3-03BF902472E1}"/>
    <cellStyle name="SAPBEXexcCritical4 2 2 3" xfId="28042" xr:uid="{00000000-0005-0000-0000-0000A1690000}"/>
    <cellStyle name="SAPBEXexcCritical4 2 2 3 2" xfId="32600" xr:uid="{1EC165D3-BD9F-40F4-A9A5-5784127958E8}"/>
    <cellStyle name="SAPBEXexcCritical4 2 2 4" xfId="26891" xr:uid="{00000000-0005-0000-0000-0000A2690000}"/>
    <cellStyle name="SAPBEXexcCritical4 2 2 4 2" xfId="31652" xr:uid="{B19CE2F8-6FA7-4669-BC20-9C52A5C86E66}"/>
    <cellStyle name="SAPBEXexcCritical4 2 2 5" xfId="29594" xr:uid="{00000000-0005-0000-0000-0000A3690000}"/>
    <cellStyle name="SAPBEXexcCritical4 2 3" xfId="26572" xr:uid="{00000000-0005-0000-0000-0000A4690000}"/>
    <cellStyle name="SAPBEXexcCritical4 2 3 2" xfId="31350" xr:uid="{2CEA8ACE-5515-4B13-A8A3-7F63E30DE0FA}"/>
    <cellStyle name="SAPBEXexcCritical4 2 4" xfId="28041" xr:uid="{00000000-0005-0000-0000-0000A5690000}"/>
    <cellStyle name="SAPBEXexcCritical4 2 4 2" xfId="32599" xr:uid="{91E586E4-3882-4DF8-A48E-1CBB37128C11}"/>
    <cellStyle name="SAPBEXexcCritical4 2 5" xfId="26440" xr:uid="{00000000-0005-0000-0000-0000A6690000}"/>
    <cellStyle name="SAPBEXexcCritical4 2 5 2" xfId="31228" xr:uid="{0A11A3EE-4D47-4AF6-BD3B-57C75A471220}"/>
    <cellStyle name="SAPBEXexcCritical4 2 6" xfId="29593" xr:uid="{00000000-0005-0000-0000-0000A7690000}"/>
    <cellStyle name="SAPBEXexcCritical4 2 7" xfId="30170" xr:uid="{58A3AECB-2DA0-425D-9D17-340E10EDBC4A}"/>
    <cellStyle name="SAPBEXexcCritical4 3" xfId="24679" xr:uid="{00000000-0005-0000-0000-0000A8690000}"/>
    <cellStyle name="SAPBEXexcCritical4 3 2" xfId="25288" xr:uid="{00000000-0005-0000-0000-0000A9690000}"/>
    <cellStyle name="SAPBEXexcCritical4 3 2 2" xfId="27443" xr:uid="{00000000-0005-0000-0000-0000AA690000}"/>
    <cellStyle name="SAPBEXexcCritical4 3 2 2 2" xfId="32038" xr:uid="{0C834BEA-1894-4C1F-B9A4-DEB4E7C18754}"/>
    <cellStyle name="SAPBEXexcCritical4 3 2 3" xfId="28044" xr:uid="{00000000-0005-0000-0000-0000AB690000}"/>
    <cellStyle name="SAPBEXexcCritical4 3 2 3 2" xfId="32602" xr:uid="{ADA7A4CD-29BC-4F1A-8F0B-96057CE648F7}"/>
    <cellStyle name="SAPBEXexcCritical4 3 2 4" xfId="26721" xr:uid="{00000000-0005-0000-0000-0000AC690000}"/>
    <cellStyle name="SAPBEXexcCritical4 3 2 4 2" xfId="31482" xr:uid="{23AA9DE3-CCD4-456B-83D4-945869CDD871}"/>
    <cellStyle name="SAPBEXexcCritical4 3 2 5" xfId="29596" xr:uid="{00000000-0005-0000-0000-0000AD690000}"/>
    <cellStyle name="SAPBEXexcCritical4 3 2 6" xfId="30451" xr:uid="{C9F467A4-EC64-4110-8658-0E9CC956A4AE}"/>
    <cellStyle name="SAPBEXexcCritical4 3 3" xfId="25642" xr:uid="{00000000-0005-0000-0000-0000AE690000}"/>
    <cellStyle name="SAPBEXexcCritical4 3 3 2" xfId="27795" xr:uid="{00000000-0005-0000-0000-0000AF690000}"/>
    <cellStyle name="SAPBEXexcCritical4 3 3 2 2" xfId="32382" xr:uid="{1BCD7247-65D7-4B38-A22A-30576908620A}"/>
    <cellStyle name="SAPBEXexcCritical4 3 3 3" xfId="28045" xr:uid="{00000000-0005-0000-0000-0000B0690000}"/>
    <cellStyle name="SAPBEXexcCritical4 3 3 3 2" xfId="32603" xr:uid="{6420519A-2F43-44DF-913D-2727A45F7DD6}"/>
    <cellStyle name="SAPBEXexcCritical4 3 3 4" xfId="26545" xr:uid="{00000000-0005-0000-0000-0000B1690000}"/>
    <cellStyle name="SAPBEXexcCritical4 3 3 4 2" xfId="31332" xr:uid="{D8E73EB4-E864-437B-8056-746880BFBB26}"/>
    <cellStyle name="SAPBEXexcCritical4 3 3 5" xfId="29597" xr:uid="{00000000-0005-0000-0000-0000B2690000}"/>
    <cellStyle name="SAPBEXexcCritical4 3 4" xfId="27269" xr:uid="{00000000-0005-0000-0000-0000B3690000}"/>
    <cellStyle name="SAPBEXexcCritical4 3 4 2" xfId="31904" xr:uid="{B939282D-E9C7-4A38-BC31-D08288318DAB}"/>
    <cellStyle name="SAPBEXexcCritical4 3 5" xfId="28043" xr:uid="{00000000-0005-0000-0000-0000B4690000}"/>
    <cellStyle name="SAPBEXexcCritical4 3 5 2" xfId="32601" xr:uid="{E511E918-D7D8-4C6F-9BF1-EF4F9A4F79B7}"/>
    <cellStyle name="SAPBEXexcCritical4 3 6" xfId="27431" xr:uid="{00000000-0005-0000-0000-0000B5690000}"/>
    <cellStyle name="SAPBEXexcCritical4 3 6 2" xfId="32029" xr:uid="{E734B8A6-8438-40C5-8402-F8A9F89A88E0}"/>
    <cellStyle name="SAPBEXexcCritical4 3 7" xfId="29595" xr:uid="{00000000-0005-0000-0000-0000B6690000}"/>
    <cellStyle name="SAPBEXexcCritical4 3 8" xfId="30344" xr:uid="{C74F7E1B-840F-45DA-A86A-EB45BC080B92}"/>
    <cellStyle name="SAPBEXexcCritical4 4" xfId="25097" xr:uid="{00000000-0005-0000-0000-0000B7690000}"/>
    <cellStyle name="SAPBEXexcCritical4 4 2" xfId="25419" xr:uid="{00000000-0005-0000-0000-0000B8690000}"/>
    <cellStyle name="SAPBEXexcCritical4 4 2 2" xfId="27573" xr:uid="{00000000-0005-0000-0000-0000B9690000}"/>
    <cellStyle name="SAPBEXexcCritical4 4 2 2 2" xfId="32164" xr:uid="{6C533E4F-C7F3-401D-A2CF-74009D23DA54}"/>
    <cellStyle name="SAPBEXexcCritical4 4 2 3" xfId="28047" xr:uid="{00000000-0005-0000-0000-0000BA690000}"/>
    <cellStyle name="SAPBEXexcCritical4 4 2 3 2" xfId="32605" xr:uid="{ABB5BBFD-C752-47A0-A672-E72912235D69}"/>
    <cellStyle name="SAPBEXexcCritical4 4 2 4" xfId="26864" xr:uid="{00000000-0005-0000-0000-0000BB690000}"/>
    <cellStyle name="SAPBEXexcCritical4 4 2 4 2" xfId="31625" xr:uid="{AC5EBFA1-63FE-4CC3-A54A-19267982CF04}"/>
    <cellStyle name="SAPBEXexcCritical4 4 2 5" xfId="29599" xr:uid="{00000000-0005-0000-0000-0000BC690000}"/>
    <cellStyle name="SAPBEXexcCritical4 4 2 6" xfId="30577" xr:uid="{7ED3A99F-705A-411B-830D-64F6E5CF8980}"/>
    <cellStyle name="SAPBEXexcCritical4 4 3" xfId="25695" xr:uid="{00000000-0005-0000-0000-0000BD690000}"/>
    <cellStyle name="SAPBEXexcCritical4 4 3 2" xfId="27848" xr:uid="{00000000-0005-0000-0000-0000BE690000}"/>
    <cellStyle name="SAPBEXexcCritical4 4 3 2 2" xfId="32435" xr:uid="{A739D6FD-5B35-4406-9571-BF10110B53C2}"/>
    <cellStyle name="SAPBEXexcCritical4 4 3 3" xfId="28048" xr:uid="{00000000-0005-0000-0000-0000BF690000}"/>
    <cellStyle name="SAPBEXexcCritical4 4 3 3 2" xfId="32606" xr:uid="{636F7462-3337-4DFB-8DE2-44497B315D7F}"/>
    <cellStyle name="SAPBEXexcCritical4 4 3 4" xfId="26473" xr:uid="{00000000-0005-0000-0000-0000C0690000}"/>
    <cellStyle name="SAPBEXexcCritical4 4 3 4 2" xfId="31261" xr:uid="{E5E4E37D-D955-4DEA-B86C-2DC3C6C64B46}"/>
    <cellStyle name="SAPBEXexcCritical4 4 3 5" xfId="29600" xr:uid="{00000000-0005-0000-0000-0000C1690000}"/>
    <cellStyle name="SAPBEXexcCritical4 4 3 6" xfId="30689" xr:uid="{F46028BE-D214-4024-B49F-8181E8E1C8F2}"/>
    <cellStyle name="SAPBEXexcCritical4 4 4" xfId="27382" xr:uid="{00000000-0005-0000-0000-0000C2690000}"/>
    <cellStyle name="SAPBEXexcCritical4 4 4 2" xfId="31980" xr:uid="{EDE1B859-C2C2-4F53-B8E3-BA10D956968C}"/>
    <cellStyle name="SAPBEXexcCritical4 4 5" xfId="28046" xr:uid="{00000000-0005-0000-0000-0000C3690000}"/>
    <cellStyle name="SAPBEXexcCritical4 4 5 2" xfId="32604" xr:uid="{3A204148-B177-4470-A7EE-47BDF5C2BCED}"/>
    <cellStyle name="SAPBEXexcCritical4 4 6" xfId="26875" xr:uid="{00000000-0005-0000-0000-0000C4690000}"/>
    <cellStyle name="SAPBEXexcCritical4 4 6 2" xfId="31636" xr:uid="{2F5DB930-50CA-4BDB-B31A-D8DD74879E2A}"/>
    <cellStyle name="SAPBEXexcCritical4 4 7" xfId="29598" xr:uid="{00000000-0005-0000-0000-0000C5690000}"/>
    <cellStyle name="SAPBEXexcCritical4 4 8" xfId="30397" xr:uid="{CC0440E0-F90D-4E0B-AC5F-21FF8BBE30C6}"/>
    <cellStyle name="SAPBEXexcCritical4 5" xfId="25826" xr:uid="{00000000-0005-0000-0000-0000C6690000}"/>
    <cellStyle name="SAPBEXexcCritical4 5 2" xfId="30745" xr:uid="{FB75A25C-B024-4FCB-9184-F92F74F57870}"/>
    <cellStyle name="SAPBEXexcCritical4 6" xfId="28040" xr:uid="{00000000-0005-0000-0000-0000C7690000}"/>
    <cellStyle name="SAPBEXexcCritical4 6 2" xfId="32598" xr:uid="{9407BCAC-FC5C-4527-914B-98099D843D16}"/>
    <cellStyle name="SAPBEXexcCritical4 7" xfId="28544" xr:uid="{00000000-0005-0000-0000-0000C8690000}"/>
    <cellStyle name="SAPBEXexcCritical4 7 2" xfId="33102" xr:uid="{2796E429-B2A0-4461-8D28-4C03E84A230C}"/>
    <cellStyle name="SAPBEXexcCritical4 8" xfId="29592" xr:uid="{00000000-0005-0000-0000-0000C9690000}"/>
    <cellStyle name="SAPBEXexcCritical5" xfId="83" xr:uid="{00000000-0005-0000-0000-0000CA690000}"/>
    <cellStyle name="SAPBEXexcCritical5 2" xfId="13631" xr:uid="{00000000-0005-0000-0000-0000CB690000}"/>
    <cellStyle name="SAPBEXexcCritical5 2 2" xfId="25469" xr:uid="{00000000-0005-0000-0000-0000CC690000}"/>
    <cellStyle name="SAPBEXexcCritical5 2 2 2" xfId="27622" xr:uid="{00000000-0005-0000-0000-0000CD690000}"/>
    <cellStyle name="SAPBEXexcCritical5 2 2 2 2" xfId="32209" xr:uid="{99E80E00-0114-4690-AA88-FBBFD0A6923A}"/>
    <cellStyle name="SAPBEXexcCritical5 2 2 3" xfId="28051" xr:uid="{00000000-0005-0000-0000-0000CE690000}"/>
    <cellStyle name="SAPBEXexcCritical5 2 2 3 2" xfId="32609" xr:uid="{5F50C9B8-F086-42FF-A2A1-B5A66226DE78}"/>
    <cellStyle name="SAPBEXexcCritical5 2 2 4" xfId="26876" xr:uid="{00000000-0005-0000-0000-0000CF690000}"/>
    <cellStyle name="SAPBEXexcCritical5 2 2 4 2" xfId="31637" xr:uid="{45822982-4981-4072-8B74-CEA78E3A33D3}"/>
    <cellStyle name="SAPBEXexcCritical5 2 2 5" xfId="29603" xr:uid="{00000000-0005-0000-0000-0000D0690000}"/>
    <cellStyle name="SAPBEXexcCritical5 2 3" xfId="26573" xr:uid="{00000000-0005-0000-0000-0000D1690000}"/>
    <cellStyle name="SAPBEXexcCritical5 2 3 2" xfId="31351" xr:uid="{E8207FE1-76BA-456B-9EF4-2E9F13EAE089}"/>
    <cellStyle name="SAPBEXexcCritical5 2 4" xfId="28050" xr:uid="{00000000-0005-0000-0000-0000D2690000}"/>
    <cellStyle name="SAPBEXexcCritical5 2 4 2" xfId="32608" xr:uid="{B399BDED-9CA3-4D65-BEAB-B6C374479F24}"/>
    <cellStyle name="SAPBEXexcCritical5 2 5" xfId="26879" xr:uid="{00000000-0005-0000-0000-0000D3690000}"/>
    <cellStyle name="SAPBEXexcCritical5 2 5 2" xfId="31640" xr:uid="{1564924A-79FD-4C8F-BB53-CC3E151FCB18}"/>
    <cellStyle name="SAPBEXexcCritical5 2 6" xfId="29602" xr:uid="{00000000-0005-0000-0000-0000D4690000}"/>
    <cellStyle name="SAPBEXexcCritical5 2 7" xfId="30171" xr:uid="{8AB3656F-2BD5-4509-9FE2-535ACCE267AF}"/>
    <cellStyle name="SAPBEXexcCritical5 3" xfId="24678" xr:uid="{00000000-0005-0000-0000-0000D5690000}"/>
    <cellStyle name="SAPBEXexcCritical5 3 2" xfId="25299" xr:uid="{00000000-0005-0000-0000-0000D6690000}"/>
    <cellStyle name="SAPBEXexcCritical5 3 2 2" xfId="27453" xr:uid="{00000000-0005-0000-0000-0000D7690000}"/>
    <cellStyle name="SAPBEXexcCritical5 3 2 2 2" xfId="32045" xr:uid="{4BBE141B-12A2-4264-B2A9-8AE31239A911}"/>
    <cellStyle name="SAPBEXexcCritical5 3 2 3" xfId="28053" xr:uid="{00000000-0005-0000-0000-0000D8690000}"/>
    <cellStyle name="SAPBEXexcCritical5 3 2 3 2" xfId="32611" xr:uid="{23E69A51-8BD5-47C3-B992-1976428EF0F8}"/>
    <cellStyle name="SAPBEXexcCritical5 3 2 4" xfId="27224" xr:uid="{00000000-0005-0000-0000-0000D9690000}"/>
    <cellStyle name="SAPBEXexcCritical5 3 2 4 2" xfId="31860" xr:uid="{FBF18294-D765-4281-B22C-CD3B9D4DAD4B}"/>
    <cellStyle name="SAPBEXexcCritical5 3 2 5" xfId="29605" xr:uid="{00000000-0005-0000-0000-0000DA690000}"/>
    <cellStyle name="SAPBEXexcCritical5 3 2 6" xfId="30458" xr:uid="{CE5A29A8-8F55-4042-9E8F-1DCC7629A69D}"/>
    <cellStyle name="SAPBEXexcCritical5 3 3" xfId="25641" xr:uid="{00000000-0005-0000-0000-0000DB690000}"/>
    <cellStyle name="SAPBEXexcCritical5 3 3 2" xfId="27794" xr:uid="{00000000-0005-0000-0000-0000DC690000}"/>
    <cellStyle name="SAPBEXexcCritical5 3 3 2 2" xfId="32381" xr:uid="{D4555CD7-9F7D-4217-BCE6-F19E7255C716}"/>
    <cellStyle name="SAPBEXexcCritical5 3 3 3" xfId="28054" xr:uid="{00000000-0005-0000-0000-0000DD690000}"/>
    <cellStyle name="SAPBEXexcCritical5 3 3 3 2" xfId="32612" xr:uid="{F74E00A1-BA2A-422F-9613-802CCF1AB182}"/>
    <cellStyle name="SAPBEXexcCritical5 3 3 4" xfId="26362" xr:uid="{00000000-0005-0000-0000-0000DE690000}"/>
    <cellStyle name="SAPBEXexcCritical5 3 3 4 2" xfId="31150" xr:uid="{E03FF879-4919-455B-AE32-1FFA11BD9809}"/>
    <cellStyle name="SAPBEXexcCritical5 3 3 5" xfId="29606" xr:uid="{00000000-0005-0000-0000-0000DF690000}"/>
    <cellStyle name="SAPBEXexcCritical5 3 4" xfId="27268" xr:uid="{00000000-0005-0000-0000-0000E0690000}"/>
    <cellStyle name="SAPBEXexcCritical5 3 4 2" xfId="31903" xr:uid="{774B2D2F-858E-4ACE-9046-DF90B26CCDDC}"/>
    <cellStyle name="SAPBEXexcCritical5 3 5" xfId="28052" xr:uid="{00000000-0005-0000-0000-0000E1690000}"/>
    <cellStyle name="SAPBEXexcCritical5 3 5 2" xfId="32610" xr:uid="{38F06F44-77DC-4238-BF75-A05E771BEB52}"/>
    <cellStyle name="SAPBEXexcCritical5 3 6" xfId="26740" xr:uid="{00000000-0005-0000-0000-0000E2690000}"/>
    <cellStyle name="SAPBEXexcCritical5 3 6 2" xfId="31501" xr:uid="{505BB946-528C-4EF9-A6DD-0F03651AEBD4}"/>
    <cellStyle name="SAPBEXexcCritical5 3 7" xfId="29604" xr:uid="{00000000-0005-0000-0000-0000E3690000}"/>
    <cellStyle name="SAPBEXexcCritical5 3 8" xfId="30343" xr:uid="{1A1A846D-0107-4192-B410-F868EDB2E91D}"/>
    <cellStyle name="SAPBEXexcCritical5 4" xfId="25098" xr:uid="{00000000-0005-0000-0000-0000E4690000}"/>
    <cellStyle name="SAPBEXexcCritical5 4 2" xfId="25336" xr:uid="{00000000-0005-0000-0000-0000E5690000}"/>
    <cellStyle name="SAPBEXexcCritical5 4 2 2" xfId="27490" xr:uid="{00000000-0005-0000-0000-0000E6690000}"/>
    <cellStyle name="SAPBEXexcCritical5 4 2 2 2" xfId="32081" xr:uid="{EC655B21-FA03-4566-A5C9-5B4F5A22BD5D}"/>
    <cellStyle name="SAPBEXexcCritical5 4 2 3" xfId="28056" xr:uid="{00000000-0005-0000-0000-0000E7690000}"/>
    <cellStyle name="SAPBEXexcCritical5 4 2 3 2" xfId="32614" xr:uid="{324C3DB6-A13C-4944-A644-ECBE3F5AD5DA}"/>
    <cellStyle name="SAPBEXexcCritical5 4 2 4" xfId="26070" xr:uid="{00000000-0005-0000-0000-0000E8690000}"/>
    <cellStyle name="SAPBEXexcCritical5 4 2 4 2" xfId="30860" xr:uid="{497AF3F7-8308-45D8-9571-DDE5783F35A6}"/>
    <cellStyle name="SAPBEXexcCritical5 4 2 5" xfId="29608" xr:uid="{00000000-0005-0000-0000-0000E9690000}"/>
    <cellStyle name="SAPBEXexcCritical5 4 2 6" xfId="30494" xr:uid="{B8293346-A057-4C86-AD9F-4FBFDE061BB6}"/>
    <cellStyle name="SAPBEXexcCritical5 4 3" xfId="25696" xr:uid="{00000000-0005-0000-0000-0000EA690000}"/>
    <cellStyle name="SAPBEXexcCritical5 4 3 2" xfId="27849" xr:uid="{00000000-0005-0000-0000-0000EB690000}"/>
    <cellStyle name="SAPBEXexcCritical5 4 3 2 2" xfId="32436" xr:uid="{7B598F7F-51CF-45D7-A39D-51AB66D6AECE}"/>
    <cellStyle name="SAPBEXexcCritical5 4 3 3" xfId="28057" xr:uid="{00000000-0005-0000-0000-0000EC690000}"/>
    <cellStyle name="SAPBEXexcCritical5 4 3 3 2" xfId="32615" xr:uid="{5A54520A-9397-4886-A10A-B596197A9C33}"/>
    <cellStyle name="SAPBEXexcCritical5 4 3 4" xfId="26746" xr:uid="{00000000-0005-0000-0000-0000ED690000}"/>
    <cellStyle name="SAPBEXexcCritical5 4 3 4 2" xfId="31507" xr:uid="{E5CFDEE8-8CF9-4105-846A-3BB297C1271D}"/>
    <cellStyle name="SAPBEXexcCritical5 4 3 5" xfId="29609" xr:uid="{00000000-0005-0000-0000-0000EE690000}"/>
    <cellStyle name="SAPBEXexcCritical5 4 3 6" xfId="30690" xr:uid="{27E4E16B-454C-42F5-9427-31E95FD262FC}"/>
    <cellStyle name="SAPBEXexcCritical5 4 4" xfId="27383" xr:uid="{00000000-0005-0000-0000-0000EF690000}"/>
    <cellStyle name="SAPBEXexcCritical5 4 4 2" xfId="31981" xr:uid="{406C21E6-E7F5-47DE-9F9E-6C269E9EEFE7}"/>
    <cellStyle name="SAPBEXexcCritical5 4 5" xfId="28055" xr:uid="{00000000-0005-0000-0000-0000F0690000}"/>
    <cellStyle name="SAPBEXexcCritical5 4 5 2" xfId="32613" xr:uid="{E0003B20-0BC9-4348-B8BE-1D760071D72D}"/>
    <cellStyle name="SAPBEXexcCritical5 4 6" xfId="26750" xr:uid="{00000000-0005-0000-0000-0000F1690000}"/>
    <cellStyle name="SAPBEXexcCritical5 4 6 2" xfId="31511" xr:uid="{2063EC52-EE65-42E4-8938-3E60A26469C7}"/>
    <cellStyle name="SAPBEXexcCritical5 4 7" xfId="29607" xr:uid="{00000000-0005-0000-0000-0000F2690000}"/>
    <cellStyle name="SAPBEXexcCritical5 4 8" xfId="30398" xr:uid="{C41AB15E-E90E-4BB9-8F6A-F12EFC0AED99}"/>
    <cellStyle name="SAPBEXexcCritical5 5" xfId="25827" xr:uid="{00000000-0005-0000-0000-0000F3690000}"/>
    <cellStyle name="SAPBEXexcCritical5 5 2" xfId="30746" xr:uid="{74FF13CE-F034-4FD7-9E48-C85A29E46F45}"/>
    <cellStyle name="SAPBEXexcCritical5 6" xfId="28049" xr:uid="{00000000-0005-0000-0000-0000F4690000}"/>
    <cellStyle name="SAPBEXexcCritical5 6 2" xfId="32607" xr:uid="{3BED9352-1054-45B8-B18B-651B6F8F5287}"/>
    <cellStyle name="SAPBEXexcCritical5 7" xfId="28545" xr:uid="{00000000-0005-0000-0000-0000F5690000}"/>
    <cellStyle name="SAPBEXexcCritical5 7 2" xfId="33103" xr:uid="{277E054A-76F1-451C-9F15-8E953D37490C}"/>
    <cellStyle name="SAPBEXexcCritical5 8" xfId="29601" xr:uid="{00000000-0005-0000-0000-0000F6690000}"/>
    <cellStyle name="SAPBEXexcCritical6" xfId="84" xr:uid="{00000000-0005-0000-0000-0000F7690000}"/>
    <cellStyle name="SAPBEXexcCritical6 2" xfId="13632" xr:uid="{00000000-0005-0000-0000-0000F8690000}"/>
    <cellStyle name="SAPBEXexcCritical6 2 2" xfId="25470" xr:uid="{00000000-0005-0000-0000-0000F9690000}"/>
    <cellStyle name="SAPBEXexcCritical6 2 2 2" xfId="27623" xr:uid="{00000000-0005-0000-0000-0000FA690000}"/>
    <cellStyle name="SAPBEXexcCritical6 2 2 2 2" xfId="32210" xr:uid="{26C34A81-857B-4B50-939F-847D5EF8BB0D}"/>
    <cellStyle name="SAPBEXexcCritical6 2 2 3" xfId="28060" xr:uid="{00000000-0005-0000-0000-0000FB690000}"/>
    <cellStyle name="SAPBEXexcCritical6 2 2 3 2" xfId="32618" xr:uid="{9C795C82-91F9-403D-BF84-8B9387B1E136}"/>
    <cellStyle name="SAPBEXexcCritical6 2 2 4" xfId="26101" xr:uid="{00000000-0005-0000-0000-0000FC690000}"/>
    <cellStyle name="SAPBEXexcCritical6 2 2 4 2" xfId="30891" xr:uid="{198236DB-A634-4026-B64F-F2770ABC047B}"/>
    <cellStyle name="SAPBEXexcCritical6 2 2 5" xfId="29612" xr:uid="{00000000-0005-0000-0000-0000FD690000}"/>
    <cellStyle name="SAPBEXexcCritical6 2 3" xfId="26574" xr:uid="{00000000-0005-0000-0000-0000FE690000}"/>
    <cellStyle name="SAPBEXexcCritical6 2 3 2" xfId="31352" xr:uid="{CAF24C9A-4ECE-461C-BC9A-38F31EBA7F13}"/>
    <cellStyle name="SAPBEXexcCritical6 2 4" xfId="28059" xr:uid="{00000000-0005-0000-0000-0000FF690000}"/>
    <cellStyle name="SAPBEXexcCritical6 2 4 2" xfId="32617" xr:uid="{FFE45A90-A2D8-4636-B93B-14DCCE8CF8F4}"/>
    <cellStyle name="SAPBEXexcCritical6 2 5" xfId="26150" xr:uid="{00000000-0005-0000-0000-0000006A0000}"/>
    <cellStyle name="SAPBEXexcCritical6 2 5 2" xfId="30939" xr:uid="{F85CE9DF-CF3C-4896-B486-D92EE7387B9D}"/>
    <cellStyle name="SAPBEXexcCritical6 2 6" xfId="29611" xr:uid="{00000000-0005-0000-0000-0000016A0000}"/>
    <cellStyle name="SAPBEXexcCritical6 2 7" xfId="30172" xr:uid="{BEA7DEE5-39EA-4D09-A6A1-EE3EFE981962}"/>
    <cellStyle name="SAPBEXexcCritical6 3" xfId="24677" xr:uid="{00000000-0005-0000-0000-0000026A0000}"/>
    <cellStyle name="SAPBEXexcCritical6 3 2" xfId="25362" xr:uid="{00000000-0005-0000-0000-0000036A0000}"/>
    <cellStyle name="SAPBEXexcCritical6 3 2 2" xfId="27516" xr:uid="{00000000-0005-0000-0000-0000046A0000}"/>
    <cellStyle name="SAPBEXexcCritical6 3 2 2 2" xfId="32107" xr:uid="{BC9DF1E4-ED4D-46DB-BBE4-982402979D81}"/>
    <cellStyle name="SAPBEXexcCritical6 3 2 3" xfId="28062" xr:uid="{00000000-0005-0000-0000-0000056A0000}"/>
    <cellStyle name="SAPBEXexcCritical6 3 2 3 2" xfId="32620" xr:uid="{90446207-9C44-49F8-89C4-5FB73ED2BD27}"/>
    <cellStyle name="SAPBEXexcCritical6 3 2 4" xfId="26708" xr:uid="{00000000-0005-0000-0000-0000066A0000}"/>
    <cellStyle name="SAPBEXexcCritical6 3 2 4 2" xfId="31470" xr:uid="{F720F3AE-7E85-43D0-BC11-C09B8DD7E7E9}"/>
    <cellStyle name="SAPBEXexcCritical6 3 2 5" xfId="29614" xr:uid="{00000000-0005-0000-0000-0000076A0000}"/>
    <cellStyle name="SAPBEXexcCritical6 3 2 6" xfId="30520" xr:uid="{252FAF12-B543-42ED-83AC-CE978A12E063}"/>
    <cellStyle name="SAPBEXexcCritical6 3 3" xfId="25640" xr:uid="{00000000-0005-0000-0000-0000086A0000}"/>
    <cellStyle name="SAPBEXexcCritical6 3 3 2" xfId="27793" xr:uid="{00000000-0005-0000-0000-0000096A0000}"/>
    <cellStyle name="SAPBEXexcCritical6 3 3 2 2" xfId="32380" xr:uid="{6FBC0C63-F853-459F-8F94-DFAB32193DEE}"/>
    <cellStyle name="SAPBEXexcCritical6 3 3 3" xfId="28063" xr:uid="{00000000-0005-0000-0000-00000A6A0000}"/>
    <cellStyle name="SAPBEXexcCritical6 3 3 3 2" xfId="32621" xr:uid="{90FF20C9-4445-4035-9AE5-2B0AA56AFDC2}"/>
    <cellStyle name="SAPBEXexcCritical6 3 3 4" xfId="26323" xr:uid="{00000000-0005-0000-0000-00000B6A0000}"/>
    <cellStyle name="SAPBEXexcCritical6 3 3 4 2" xfId="31111" xr:uid="{C867DDB9-90FA-403C-87C9-6A7843DAC652}"/>
    <cellStyle name="SAPBEXexcCritical6 3 3 5" xfId="29615" xr:uid="{00000000-0005-0000-0000-00000C6A0000}"/>
    <cellStyle name="SAPBEXexcCritical6 3 4" xfId="27267" xr:uid="{00000000-0005-0000-0000-00000D6A0000}"/>
    <cellStyle name="SAPBEXexcCritical6 3 4 2" xfId="31902" xr:uid="{8AE1FEEC-5E97-42A6-8F8A-8893BBEF5439}"/>
    <cellStyle name="SAPBEXexcCritical6 3 5" xfId="28061" xr:uid="{00000000-0005-0000-0000-00000E6A0000}"/>
    <cellStyle name="SAPBEXexcCritical6 3 5 2" xfId="32619" xr:uid="{479103A8-09C6-435C-8787-413CCEE292EA}"/>
    <cellStyle name="SAPBEXexcCritical6 3 6" xfId="27073" xr:uid="{00000000-0005-0000-0000-00000F6A0000}"/>
    <cellStyle name="SAPBEXexcCritical6 3 6 2" xfId="31804" xr:uid="{9F829EA6-CB8A-4632-B09E-AAA8DCBD6EF6}"/>
    <cellStyle name="SAPBEXexcCritical6 3 7" xfId="29613" xr:uid="{00000000-0005-0000-0000-0000106A0000}"/>
    <cellStyle name="SAPBEXexcCritical6 3 8" xfId="30342" xr:uid="{C7D8BE66-880E-4138-87EE-70045B017C2E}"/>
    <cellStyle name="SAPBEXexcCritical6 4" xfId="25099" xr:uid="{00000000-0005-0000-0000-0000116A0000}"/>
    <cellStyle name="SAPBEXexcCritical6 4 2" xfId="25438" xr:uid="{00000000-0005-0000-0000-0000126A0000}"/>
    <cellStyle name="SAPBEXexcCritical6 4 2 2" xfId="27592" xr:uid="{00000000-0005-0000-0000-0000136A0000}"/>
    <cellStyle name="SAPBEXexcCritical6 4 2 2 2" xfId="32183" xr:uid="{F7C952EB-8E06-403B-BBBA-6063029C6FAF}"/>
    <cellStyle name="SAPBEXexcCritical6 4 2 3" xfId="28065" xr:uid="{00000000-0005-0000-0000-0000146A0000}"/>
    <cellStyle name="SAPBEXexcCritical6 4 2 3 2" xfId="32623" xr:uid="{7D0C2908-1570-4C01-A1F5-1CE5F8CA8898}"/>
    <cellStyle name="SAPBEXexcCritical6 4 2 4" xfId="26224" xr:uid="{00000000-0005-0000-0000-0000156A0000}"/>
    <cellStyle name="SAPBEXexcCritical6 4 2 4 2" xfId="31012" xr:uid="{53832BBB-09D3-47C5-9B82-3288F6E9F6C8}"/>
    <cellStyle name="SAPBEXexcCritical6 4 2 5" xfId="29617" xr:uid="{00000000-0005-0000-0000-0000166A0000}"/>
    <cellStyle name="SAPBEXexcCritical6 4 2 6" xfId="30596" xr:uid="{86D1E3E9-3B9D-43FF-A852-2F508F91F0E4}"/>
    <cellStyle name="SAPBEXexcCritical6 4 3" xfId="25697" xr:uid="{00000000-0005-0000-0000-0000176A0000}"/>
    <cellStyle name="SAPBEXexcCritical6 4 3 2" xfId="27850" xr:uid="{00000000-0005-0000-0000-0000186A0000}"/>
    <cellStyle name="SAPBEXexcCritical6 4 3 2 2" xfId="32437" xr:uid="{7C0F64B8-8EFE-41B7-98F7-1CD676F8CE85}"/>
    <cellStyle name="SAPBEXexcCritical6 4 3 3" xfId="28066" xr:uid="{00000000-0005-0000-0000-0000196A0000}"/>
    <cellStyle name="SAPBEXexcCritical6 4 3 3 2" xfId="32624" xr:uid="{AC94CA22-EC00-4B1D-A0EB-E7A016E748AC}"/>
    <cellStyle name="SAPBEXexcCritical6 4 3 4" xfId="26065" xr:uid="{00000000-0005-0000-0000-00001A6A0000}"/>
    <cellStyle name="SAPBEXexcCritical6 4 3 4 2" xfId="30855" xr:uid="{A5465FA8-96D4-4D8A-8D59-7BB960916B85}"/>
    <cellStyle name="SAPBEXexcCritical6 4 3 5" xfId="29618" xr:uid="{00000000-0005-0000-0000-00001B6A0000}"/>
    <cellStyle name="SAPBEXexcCritical6 4 3 6" xfId="30691" xr:uid="{4440E5C3-E176-4791-83D3-9407B017EC12}"/>
    <cellStyle name="SAPBEXexcCritical6 4 4" xfId="27384" xr:uid="{00000000-0005-0000-0000-00001C6A0000}"/>
    <cellStyle name="SAPBEXexcCritical6 4 4 2" xfId="31982" xr:uid="{CFCD3C9B-61D8-4770-8909-8B5FC2C06F08}"/>
    <cellStyle name="SAPBEXexcCritical6 4 5" xfId="28064" xr:uid="{00000000-0005-0000-0000-00001D6A0000}"/>
    <cellStyle name="SAPBEXexcCritical6 4 5 2" xfId="32622" xr:uid="{07AB86AD-AD5F-48C9-8DE5-5371188711FA}"/>
    <cellStyle name="SAPBEXexcCritical6 4 6" xfId="26457" xr:uid="{00000000-0005-0000-0000-00001E6A0000}"/>
    <cellStyle name="SAPBEXexcCritical6 4 6 2" xfId="31245" xr:uid="{09EDA572-A7D9-4C55-92A3-8D39A9581983}"/>
    <cellStyle name="SAPBEXexcCritical6 4 7" xfId="29616" xr:uid="{00000000-0005-0000-0000-00001F6A0000}"/>
    <cellStyle name="SAPBEXexcCritical6 4 8" xfId="30399" xr:uid="{3B66F580-6130-4CE1-8FF4-609101A2D878}"/>
    <cellStyle name="SAPBEXexcCritical6 5" xfId="25828" xr:uid="{00000000-0005-0000-0000-0000206A0000}"/>
    <cellStyle name="SAPBEXexcCritical6 5 2" xfId="30747" xr:uid="{9DB1144A-4394-47BF-BA7F-C4B0DF001748}"/>
    <cellStyle name="SAPBEXexcCritical6 6" xfId="28058" xr:uid="{00000000-0005-0000-0000-0000216A0000}"/>
    <cellStyle name="SAPBEXexcCritical6 6 2" xfId="32616" xr:uid="{4293D8B5-777B-4FAA-93F0-CE6ED28DDDB6}"/>
    <cellStyle name="SAPBEXexcCritical6 7" xfId="28546" xr:uid="{00000000-0005-0000-0000-0000226A0000}"/>
    <cellStyle name="SAPBEXexcCritical6 7 2" xfId="33104" xr:uid="{F1E41F9A-04E7-4B63-A2CB-753D8A8D55DC}"/>
    <cellStyle name="SAPBEXexcCritical6 8" xfId="29610" xr:uid="{00000000-0005-0000-0000-0000236A0000}"/>
    <cellStyle name="SAPBEXexcGood1" xfId="85" xr:uid="{00000000-0005-0000-0000-0000246A0000}"/>
    <cellStyle name="SAPBEXexcGood1 2" xfId="13633" xr:uid="{00000000-0005-0000-0000-0000256A0000}"/>
    <cellStyle name="SAPBEXexcGood1 2 2" xfId="25471" xr:uid="{00000000-0005-0000-0000-0000266A0000}"/>
    <cellStyle name="SAPBEXexcGood1 2 2 2" xfId="27624" xr:uid="{00000000-0005-0000-0000-0000276A0000}"/>
    <cellStyle name="SAPBEXexcGood1 2 2 2 2" xfId="32211" xr:uid="{1554FC34-CDD6-4716-B0A9-E70B8A3D823C}"/>
    <cellStyle name="SAPBEXexcGood1 2 2 3" xfId="28069" xr:uid="{00000000-0005-0000-0000-0000286A0000}"/>
    <cellStyle name="SAPBEXexcGood1 2 2 3 2" xfId="32627" xr:uid="{1A193866-2C2A-4907-88AC-68478140D504}"/>
    <cellStyle name="SAPBEXexcGood1 2 2 4" xfId="26213" xr:uid="{00000000-0005-0000-0000-0000296A0000}"/>
    <cellStyle name="SAPBEXexcGood1 2 2 4 2" xfId="31001" xr:uid="{04288C11-B811-4AD9-92D5-2C5808BD5AD0}"/>
    <cellStyle name="SAPBEXexcGood1 2 2 5" xfId="29621" xr:uid="{00000000-0005-0000-0000-00002A6A0000}"/>
    <cellStyle name="SAPBEXexcGood1 2 3" xfId="26575" xr:uid="{00000000-0005-0000-0000-00002B6A0000}"/>
    <cellStyle name="SAPBEXexcGood1 2 3 2" xfId="31353" xr:uid="{D865EBC2-1568-495B-A788-86B26AE5F652}"/>
    <cellStyle name="SAPBEXexcGood1 2 4" xfId="28068" xr:uid="{00000000-0005-0000-0000-00002C6A0000}"/>
    <cellStyle name="SAPBEXexcGood1 2 4 2" xfId="32626" xr:uid="{A744162D-BA2C-41C3-9E23-FB6D1E30AF91}"/>
    <cellStyle name="SAPBEXexcGood1 2 5" xfId="26074" xr:uid="{00000000-0005-0000-0000-00002D6A0000}"/>
    <cellStyle name="SAPBEXexcGood1 2 5 2" xfId="30864" xr:uid="{CCBB113D-9534-4DF0-8282-31CBBB3F1285}"/>
    <cellStyle name="SAPBEXexcGood1 2 6" xfId="29620" xr:uid="{00000000-0005-0000-0000-00002E6A0000}"/>
    <cellStyle name="SAPBEXexcGood1 2 7" xfId="30173" xr:uid="{694AA585-5977-4FA0-B1BD-977082E313E0}"/>
    <cellStyle name="SAPBEXexcGood1 3" xfId="24676" xr:uid="{00000000-0005-0000-0000-00002F6A0000}"/>
    <cellStyle name="SAPBEXexcGood1 3 2" xfId="25450" xr:uid="{00000000-0005-0000-0000-0000306A0000}"/>
    <cellStyle name="SAPBEXexcGood1 3 2 2" xfId="27604" xr:uid="{00000000-0005-0000-0000-0000316A0000}"/>
    <cellStyle name="SAPBEXexcGood1 3 2 2 2" xfId="32195" xr:uid="{FCA0D5DE-D0AF-484D-BAB1-2174FD15E82E}"/>
    <cellStyle name="SAPBEXexcGood1 3 2 3" xfId="28071" xr:uid="{00000000-0005-0000-0000-0000326A0000}"/>
    <cellStyle name="SAPBEXexcGood1 3 2 3 2" xfId="32629" xr:uid="{C6CA798F-7E2F-49BC-82EB-D4004B74CF47}"/>
    <cellStyle name="SAPBEXexcGood1 3 2 4" xfId="26498" xr:uid="{00000000-0005-0000-0000-0000336A0000}"/>
    <cellStyle name="SAPBEXexcGood1 3 2 4 2" xfId="31286" xr:uid="{1A12BBAF-9EB6-41FF-A454-804CA27CAB32}"/>
    <cellStyle name="SAPBEXexcGood1 3 2 5" xfId="29623" xr:uid="{00000000-0005-0000-0000-0000346A0000}"/>
    <cellStyle name="SAPBEXexcGood1 3 2 6" xfId="30608" xr:uid="{27031809-4567-4529-94B6-D33DC6040BF8}"/>
    <cellStyle name="SAPBEXexcGood1 3 3" xfId="25639" xr:uid="{00000000-0005-0000-0000-0000356A0000}"/>
    <cellStyle name="SAPBEXexcGood1 3 3 2" xfId="27792" xr:uid="{00000000-0005-0000-0000-0000366A0000}"/>
    <cellStyle name="SAPBEXexcGood1 3 3 2 2" xfId="32379" xr:uid="{44F5446D-57FA-4C85-A406-FC1DE840F46C}"/>
    <cellStyle name="SAPBEXexcGood1 3 3 3" xfId="28072" xr:uid="{00000000-0005-0000-0000-0000376A0000}"/>
    <cellStyle name="SAPBEXexcGood1 3 3 3 2" xfId="32630" xr:uid="{E7F42345-24C6-43AB-BD6B-1B455E6AE0F5}"/>
    <cellStyle name="SAPBEXexcGood1 3 3 4" xfId="26228" xr:uid="{00000000-0005-0000-0000-0000386A0000}"/>
    <cellStyle name="SAPBEXexcGood1 3 3 4 2" xfId="31016" xr:uid="{D11218D4-AD56-4805-83AA-84CAB136D96A}"/>
    <cellStyle name="SAPBEXexcGood1 3 3 5" xfId="29624" xr:uid="{00000000-0005-0000-0000-0000396A0000}"/>
    <cellStyle name="SAPBEXexcGood1 3 4" xfId="27266" xr:uid="{00000000-0005-0000-0000-00003A6A0000}"/>
    <cellStyle name="SAPBEXexcGood1 3 4 2" xfId="31901" xr:uid="{3AF74F43-1478-4578-A364-EE2105D3CD5A}"/>
    <cellStyle name="SAPBEXexcGood1 3 5" xfId="28070" xr:uid="{00000000-0005-0000-0000-00003B6A0000}"/>
    <cellStyle name="SAPBEXexcGood1 3 5 2" xfId="32628" xr:uid="{707429E0-E0BF-4936-B632-87809561496C}"/>
    <cellStyle name="SAPBEXexcGood1 3 6" xfId="26246" xr:uid="{00000000-0005-0000-0000-00003C6A0000}"/>
    <cellStyle name="SAPBEXexcGood1 3 6 2" xfId="31034" xr:uid="{1EF74320-2807-43A2-ABAF-14D5B247D390}"/>
    <cellStyle name="SAPBEXexcGood1 3 7" xfId="29622" xr:uid="{00000000-0005-0000-0000-00003D6A0000}"/>
    <cellStyle name="SAPBEXexcGood1 3 8" xfId="30341" xr:uid="{41692377-6B35-4149-8304-115CFD5774E4}"/>
    <cellStyle name="SAPBEXexcGood1 4" xfId="25100" xr:uid="{00000000-0005-0000-0000-00003E6A0000}"/>
    <cellStyle name="SAPBEXexcGood1 4 2" xfId="25355" xr:uid="{00000000-0005-0000-0000-00003F6A0000}"/>
    <cellStyle name="SAPBEXexcGood1 4 2 2" xfId="27509" xr:uid="{00000000-0005-0000-0000-0000406A0000}"/>
    <cellStyle name="SAPBEXexcGood1 4 2 2 2" xfId="32100" xr:uid="{8E86C159-6546-42A9-A894-DF8699F4DE07}"/>
    <cellStyle name="SAPBEXexcGood1 4 2 3" xfId="28074" xr:uid="{00000000-0005-0000-0000-0000416A0000}"/>
    <cellStyle name="SAPBEXexcGood1 4 2 3 2" xfId="32632" xr:uid="{21DDFAA8-12AE-4B69-8C9E-03CA46089785}"/>
    <cellStyle name="SAPBEXexcGood1 4 2 4" xfId="26843" xr:uid="{00000000-0005-0000-0000-0000426A0000}"/>
    <cellStyle name="SAPBEXexcGood1 4 2 4 2" xfId="31604" xr:uid="{14E5F535-9B4A-450E-AEDC-88C4695A50AA}"/>
    <cellStyle name="SAPBEXexcGood1 4 2 5" xfId="29626" xr:uid="{00000000-0005-0000-0000-0000436A0000}"/>
    <cellStyle name="SAPBEXexcGood1 4 2 6" xfId="30513" xr:uid="{2531F6A2-FB06-4F55-8C64-AE2CE6308E97}"/>
    <cellStyle name="SAPBEXexcGood1 4 3" xfId="25698" xr:uid="{00000000-0005-0000-0000-0000446A0000}"/>
    <cellStyle name="SAPBEXexcGood1 4 3 2" xfId="27851" xr:uid="{00000000-0005-0000-0000-0000456A0000}"/>
    <cellStyle name="SAPBEXexcGood1 4 3 2 2" xfId="32438" xr:uid="{DDFBE7E5-8675-41FD-9C03-E40A631AB6AC}"/>
    <cellStyle name="SAPBEXexcGood1 4 3 3" xfId="28075" xr:uid="{00000000-0005-0000-0000-0000466A0000}"/>
    <cellStyle name="SAPBEXexcGood1 4 3 3 2" xfId="32633" xr:uid="{4770C9A7-DBBD-4CC1-BDDD-321449B2001E}"/>
    <cellStyle name="SAPBEXexcGood1 4 3 4" xfId="27024" xr:uid="{00000000-0005-0000-0000-0000476A0000}"/>
    <cellStyle name="SAPBEXexcGood1 4 3 4 2" xfId="31784" xr:uid="{3F8C1EC1-203E-4B3B-B840-0C24A179E8A9}"/>
    <cellStyle name="SAPBEXexcGood1 4 3 5" xfId="29627" xr:uid="{00000000-0005-0000-0000-0000486A0000}"/>
    <cellStyle name="SAPBEXexcGood1 4 3 6" xfId="30692" xr:uid="{D4CFF224-BEC7-499F-9402-EC58E069D31A}"/>
    <cellStyle name="SAPBEXexcGood1 4 4" xfId="27385" xr:uid="{00000000-0005-0000-0000-0000496A0000}"/>
    <cellStyle name="SAPBEXexcGood1 4 4 2" xfId="31983" xr:uid="{A2F1DF43-FC5F-441C-A782-052B657CB537}"/>
    <cellStyle name="SAPBEXexcGood1 4 5" xfId="28073" xr:uid="{00000000-0005-0000-0000-00004A6A0000}"/>
    <cellStyle name="SAPBEXexcGood1 4 5 2" xfId="32631" xr:uid="{D97346D4-F5C7-4FFD-8CEB-47F92E852D94}"/>
    <cellStyle name="SAPBEXexcGood1 4 6" xfId="26142" xr:uid="{00000000-0005-0000-0000-00004B6A0000}"/>
    <cellStyle name="SAPBEXexcGood1 4 6 2" xfId="30932" xr:uid="{E80A8D29-2682-486A-8253-F6F50016B787}"/>
    <cellStyle name="SAPBEXexcGood1 4 7" xfId="29625" xr:uid="{00000000-0005-0000-0000-00004C6A0000}"/>
    <cellStyle name="SAPBEXexcGood1 4 8" xfId="30400" xr:uid="{EC650EDD-9D71-4E77-8657-55783BCDA62B}"/>
    <cellStyle name="SAPBEXexcGood1 5" xfId="25829" xr:uid="{00000000-0005-0000-0000-00004D6A0000}"/>
    <cellStyle name="SAPBEXexcGood1 5 2" xfId="30748" xr:uid="{D4958BCC-8F06-4590-8FAE-490F1E3D21B6}"/>
    <cellStyle name="SAPBEXexcGood1 6" xfId="28067" xr:uid="{00000000-0005-0000-0000-00004E6A0000}"/>
    <cellStyle name="SAPBEXexcGood1 6 2" xfId="32625" xr:uid="{150F3749-7AD9-4907-A67B-2E799E00C8F4}"/>
    <cellStyle name="SAPBEXexcGood1 7" xfId="26896" xr:uid="{00000000-0005-0000-0000-00004F6A0000}"/>
    <cellStyle name="SAPBEXexcGood1 7 2" xfId="31657" xr:uid="{0A46D05A-E537-486A-A31C-CBED703883B6}"/>
    <cellStyle name="SAPBEXexcGood1 8" xfId="29619" xr:uid="{00000000-0005-0000-0000-0000506A0000}"/>
    <cellStyle name="SAPBEXexcGood2" xfId="86" xr:uid="{00000000-0005-0000-0000-0000516A0000}"/>
    <cellStyle name="SAPBEXexcGood2 2" xfId="13634" xr:uid="{00000000-0005-0000-0000-0000526A0000}"/>
    <cellStyle name="SAPBEXexcGood2 2 2" xfId="25472" xr:uid="{00000000-0005-0000-0000-0000536A0000}"/>
    <cellStyle name="SAPBEXexcGood2 2 2 2" xfId="27625" xr:uid="{00000000-0005-0000-0000-0000546A0000}"/>
    <cellStyle name="SAPBEXexcGood2 2 2 2 2" xfId="32212" xr:uid="{BD69BBB3-9687-4497-8F4F-B08F89A7B84A}"/>
    <cellStyle name="SAPBEXexcGood2 2 2 3" xfId="28078" xr:uid="{00000000-0005-0000-0000-0000556A0000}"/>
    <cellStyle name="SAPBEXexcGood2 2 2 3 2" xfId="32636" xr:uid="{72D861A5-ACF2-432F-84D0-5C18991D134E}"/>
    <cellStyle name="SAPBEXexcGood2 2 2 4" xfId="26163" xr:uid="{00000000-0005-0000-0000-0000566A0000}"/>
    <cellStyle name="SAPBEXexcGood2 2 2 4 2" xfId="30952" xr:uid="{46DDA0E1-6C1F-4551-B71C-92443BD04DE4}"/>
    <cellStyle name="SAPBEXexcGood2 2 2 5" xfId="29630" xr:uid="{00000000-0005-0000-0000-0000576A0000}"/>
    <cellStyle name="SAPBEXexcGood2 2 3" xfId="26576" xr:uid="{00000000-0005-0000-0000-0000586A0000}"/>
    <cellStyle name="SAPBEXexcGood2 2 3 2" xfId="31354" xr:uid="{216F7E7B-AAEE-4318-AAD7-176A2AD17B32}"/>
    <cellStyle name="SAPBEXexcGood2 2 4" xfId="28077" xr:uid="{00000000-0005-0000-0000-0000596A0000}"/>
    <cellStyle name="SAPBEXexcGood2 2 4 2" xfId="32635" xr:uid="{9DD9FC08-F2D3-4FE8-83C1-156620C5F18A}"/>
    <cellStyle name="SAPBEXexcGood2 2 5" xfId="27298" xr:uid="{00000000-0005-0000-0000-00005A6A0000}"/>
    <cellStyle name="SAPBEXexcGood2 2 5 2" xfId="31927" xr:uid="{9FEC5567-EA59-42CC-A79D-D4DB02762D0C}"/>
    <cellStyle name="SAPBEXexcGood2 2 6" xfId="29629" xr:uid="{00000000-0005-0000-0000-00005B6A0000}"/>
    <cellStyle name="SAPBEXexcGood2 2 7" xfId="30174" xr:uid="{3BAAA5C4-B903-4A36-B9E9-D4D9ECDA51CC}"/>
    <cellStyle name="SAPBEXexcGood2 3" xfId="24675" xr:uid="{00000000-0005-0000-0000-00005C6A0000}"/>
    <cellStyle name="SAPBEXexcGood2 3 2" xfId="25349" xr:uid="{00000000-0005-0000-0000-00005D6A0000}"/>
    <cellStyle name="SAPBEXexcGood2 3 2 2" xfId="27503" xr:uid="{00000000-0005-0000-0000-00005E6A0000}"/>
    <cellStyle name="SAPBEXexcGood2 3 2 2 2" xfId="32094" xr:uid="{6F96B1DB-4DF2-471B-BF87-EF2C0C7B2DE1}"/>
    <cellStyle name="SAPBEXexcGood2 3 2 3" xfId="28080" xr:uid="{00000000-0005-0000-0000-00005F6A0000}"/>
    <cellStyle name="SAPBEXexcGood2 3 2 3 2" xfId="32638" xr:uid="{CE68B3BA-3870-4696-AB4F-D988852EFDE1}"/>
    <cellStyle name="SAPBEXexcGood2 3 2 4" xfId="26538" xr:uid="{00000000-0005-0000-0000-0000606A0000}"/>
    <cellStyle name="SAPBEXexcGood2 3 2 4 2" xfId="31325" xr:uid="{C24BF63E-DF61-4479-9FE7-69E4CE8F0F64}"/>
    <cellStyle name="SAPBEXexcGood2 3 2 5" xfId="29632" xr:uid="{00000000-0005-0000-0000-0000616A0000}"/>
    <cellStyle name="SAPBEXexcGood2 3 2 6" xfId="30507" xr:uid="{595524C6-3DAB-49B0-A494-40E2E8AB83F2}"/>
    <cellStyle name="SAPBEXexcGood2 3 3" xfId="25638" xr:uid="{00000000-0005-0000-0000-0000626A0000}"/>
    <cellStyle name="SAPBEXexcGood2 3 3 2" xfId="27791" xr:uid="{00000000-0005-0000-0000-0000636A0000}"/>
    <cellStyle name="SAPBEXexcGood2 3 3 2 2" xfId="32378" xr:uid="{C8588750-E75A-4F59-B9A7-C7DFBA7CEF2F}"/>
    <cellStyle name="SAPBEXexcGood2 3 3 3" xfId="28081" xr:uid="{00000000-0005-0000-0000-0000646A0000}"/>
    <cellStyle name="SAPBEXexcGood2 3 3 3 2" xfId="32639" xr:uid="{68B64CCE-0B3D-4906-A5DF-0FD4A808BC59}"/>
    <cellStyle name="SAPBEXexcGood2 3 3 4" xfId="26774" xr:uid="{00000000-0005-0000-0000-0000656A0000}"/>
    <cellStyle name="SAPBEXexcGood2 3 3 4 2" xfId="31535" xr:uid="{7E05FCE6-CE01-40A6-B74C-27A45924EE2B}"/>
    <cellStyle name="SAPBEXexcGood2 3 3 5" xfId="29633" xr:uid="{00000000-0005-0000-0000-0000666A0000}"/>
    <cellStyle name="SAPBEXexcGood2 3 4" xfId="27265" xr:uid="{00000000-0005-0000-0000-0000676A0000}"/>
    <cellStyle name="SAPBEXexcGood2 3 4 2" xfId="31900" xr:uid="{8FC7BFFD-5F99-4FA9-AD9C-52A0239F0200}"/>
    <cellStyle name="SAPBEXexcGood2 3 5" xfId="28079" xr:uid="{00000000-0005-0000-0000-0000686A0000}"/>
    <cellStyle name="SAPBEXexcGood2 3 5 2" xfId="32637" xr:uid="{1A2CCA56-4E77-4FAA-A9F5-84F2822592EE}"/>
    <cellStyle name="SAPBEXexcGood2 3 6" xfId="26114" xr:uid="{00000000-0005-0000-0000-0000696A0000}"/>
    <cellStyle name="SAPBEXexcGood2 3 6 2" xfId="30904" xr:uid="{ED82B3D5-FE3E-4E59-BDCA-1452FA01E688}"/>
    <cellStyle name="SAPBEXexcGood2 3 7" xfId="29631" xr:uid="{00000000-0005-0000-0000-00006A6A0000}"/>
    <cellStyle name="SAPBEXexcGood2 3 8" xfId="30340" xr:uid="{B87C0325-503B-4E78-82B8-B77F65A2A6C9}"/>
    <cellStyle name="SAPBEXexcGood2 4" xfId="25101" xr:uid="{00000000-0005-0000-0000-00006B6A0000}"/>
    <cellStyle name="SAPBEXexcGood2 4 2" xfId="25389" xr:uid="{00000000-0005-0000-0000-00006C6A0000}"/>
    <cellStyle name="SAPBEXexcGood2 4 2 2" xfId="27543" xr:uid="{00000000-0005-0000-0000-00006D6A0000}"/>
    <cellStyle name="SAPBEXexcGood2 4 2 2 2" xfId="32134" xr:uid="{7675364F-0E93-416C-BF6B-FCC235F13888}"/>
    <cellStyle name="SAPBEXexcGood2 4 2 3" xfId="28083" xr:uid="{00000000-0005-0000-0000-00006E6A0000}"/>
    <cellStyle name="SAPBEXexcGood2 4 2 3 2" xfId="32641" xr:uid="{99A7084F-3A70-4F75-828D-19DA62E0CE1A}"/>
    <cellStyle name="SAPBEXexcGood2 4 2 4" xfId="26701" xr:uid="{00000000-0005-0000-0000-00006F6A0000}"/>
    <cellStyle name="SAPBEXexcGood2 4 2 4 2" xfId="31463" xr:uid="{FE819582-987C-46FC-865A-59163CBAA526}"/>
    <cellStyle name="SAPBEXexcGood2 4 2 5" xfId="29635" xr:uid="{00000000-0005-0000-0000-0000706A0000}"/>
    <cellStyle name="SAPBEXexcGood2 4 2 6" xfId="30547" xr:uid="{6C180AF8-F9FB-415F-85CE-E35E80562A24}"/>
    <cellStyle name="SAPBEXexcGood2 4 3" xfId="25699" xr:uid="{00000000-0005-0000-0000-0000716A0000}"/>
    <cellStyle name="SAPBEXexcGood2 4 3 2" xfId="27852" xr:uid="{00000000-0005-0000-0000-0000726A0000}"/>
    <cellStyle name="SAPBEXexcGood2 4 3 2 2" xfId="32439" xr:uid="{96EC0925-E6D8-43CC-95E3-B253057684E6}"/>
    <cellStyle name="SAPBEXexcGood2 4 3 3" xfId="28084" xr:uid="{00000000-0005-0000-0000-0000736A0000}"/>
    <cellStyle name="SAPBEXexcGood2 4 3 3 2" xfId="32642" xr:uid="{250934E6-CCE8-4E01-BE72-9CB3A8DB6B01}"/>
    <cellStyle name="SAPBEXexcGood2 4 3 4" xfId="26422" xr:uid="{00000000-0005-0000-0000-0000746A0000}"/>
    <cellStyle name="SAPBEXexcGood2 4 3 4 2" xfId="31210" xr:uid="{49BAD80E-2BC0-4DA3-B172-F8B58244A9FA}"/>
    <cellStyle name="SAPBEXexcGood2 4 3 5" xfId="29636" xr:uid="{00000000-0005-0000-0000-0000756A0000}"/>
    <cellStyle name="SAPBEXexcGood2 4 3 6" xfId="30693" xr:uid="{222B41BF-E9D8-426F-AAB9-BE653F407B35}"/>
    <cellStyle name="SAPBEXexcGood2 4 4" xfId="27386" xr:uid="{00000000-0005-0000-0000-0000766A0000}"/>
    <cellStyle name="SAPBEXexcGood2 4 4 2" xfId="31984" xr:uid="{5B4FA06C-1289-40EA-8C0C-7B49C58A48DE}"/>
    <cellStyle name="SAPBEXexcGood2 4 5" xfId="28082" xr:uid="{00000000-0005-0000-0000-0000776A0000}"/>
    <cellStyle name="SAPBEXexcGood2 4 5 2" xfId="32640" xr:uid="{D6114681-6D13-43F9-9715-B1F38D1BB53D}"/>
    <cellStyle name="SAPBEXexcGood2 4 6" xfId="26425" xr:uid="{00000000-0005-0000-0000-0000786A0000}"/>
    <cellStyle name="SAPBEXexcGood2 4 6 2" xfId="31213" xr:uid="{C82DD26D-FBD8-45AC-BBCA-A760CD788471}"/>
    <cellStyle name="SAPBEXexcGood2 4 7" xfId="29634" xr:uid="{00000000-0005-0000-0000-0000796A0000}"/>
    <cellStyle name="SAPBEXexcGood2 4 8" xfId="30401" xr:uid="{6C36F019-58B0-4C8D-84F1-D4D42765D3B7}"/>
    <cellStyle name="SAPBEXexcGood2 5" xfId="25830" xr:uid="{00000000-0005-0000-0000-00007A6A0000}"/>
    <cellStyle name="SAPBEXexcGood2 5 2" xfId="30749" xr:uid="{155F6BB7-0B12-422B-B9A6-F3D7A35B2E5A}"/>
    <cellStyle name="SAPBEXexcGood2 6" xfId="28076" xr:uid="{00000000-0005-0000-0000-00007B6A0000}"/>
    <cellStyle name="SAPBEXexcGood2 6 2" xfId="32634" xr:uid="{4390D5DC-DFE4-4901-9CD2-331CF3D24E28}"/>
    <cellStyle name="SAPBEXexcGood2 7" xfId="26834" xr:uid="{00000000-0005-0000-0000-00007C6A0000}"/>
    <cellStyle name="SAPBEXexcGood2 7 2" xfId="31595" xr:uid="{352FA75F-B9F5-44C6-A434-15029B45A5A3}"/>
    <cellStyle name="SAPBEXexcGood2 8" xfId="29628" xr:uid="{00000000-0005-0000-0000-00007D6A0000}"/>
    <cellStyle name="SAPBEXexcGood3" xfId="87" xr:uid="{00000000-0005-0000-0000-00007E6A0000}"/>
    <cellStyle name="SAPBEXexcGood3 2" xfId="13635" xr:uid="{00000000-0005-0000-0000-00007F6A0000}"/>
    <cellStyle name="SAPBEXexcGood3 2 2" xfId="25473" xr:uid="{00000000-0005-0000-0000-0000806A0000}"/>
    <cellStyle name="SAPBEXexcGood3 2 2 2" xfId="27626" xr:uid="{00000000-0005-0000-0000-0000816A0000}"/>
    <cellStyle name="SAPBEXexcGood3 2 2 2 2" xfId="32213" xr:uid="{308820AF-EA17-4165-8CB7-7173CBB6D535}"/>
    <cellStyle name="SAPBEXexcGood3 2 2 3" xfId="28087" xr:uid="{00000000-0005-0000-0000-0000826A0000}"/>
    <cellStyle name="SAPBEXexcGood3 2 2 3 2" xfId="32645" xr:uid="{B1A9B84F-CD48-4909-81D2-674130ABC560}"/>
    <cellStyle name="SAPBEXexcGood3 2 2 4" xfId="26321" xr:uid="{00000000-0005-0000-0000-0000836A0000}"/>
    <cellStyle name="SAPBEXexcGood3 2 2 4 2" xfId="31109" xr:uid="{2A2788E4-45DA-408E-9195-1DAC38F5CF7A}"/>
    <cellStyle name="SAPBEXexcGood3 2 2 5" xfId="29639" xr:uid="{00000000-0005-0000-0000-0000846A0000}"/>
    <cellStyle name="SAPBEXexcGood3 2 3" xfId="26577" xr:uid="{00000000-0005-0000-0000-0000856A0000}"/>
    <cellStyle name="SAPBEXexcGood3 2 3 2" xfId="31355" xr:uid="{B43766C2-2CDC-48FC-B6F9-418E16E51639}"/>
    <cellStyle name="SAPBEXexcGood3 2 4" xfId="28086" xr:uid="{00000000-0005-0000-0000-0000866A0000}"/>
    <cellStyle name="SAPBEXexcGood3 2 4 2" xfId="32644" xr:uid="{92D8CE86-9B32-4449-97FE-2A77309F59E0}"/>
    <cellStyle name="SAPBEXexcGood3 2 5" xfId="26918" xr:uid="{00000000-0005-0000-0000-0000876A0000}"/>
    <cellStyle name="SAPBEXexcGood3 2 5 2" xfId="31679" xr:uid="{96392683-3B26-48A7-B64D-276B7C277673}"/>
    <cellStyle name="SAPBEXexcGood3 2 6" xfId="29638" xr:uid="{00000000-0005-0000-0000-0000886A0000}"/>
    <cellStyle name="SAPBEXexcGood3 2 7" xfId="30175" xr:uid="{216BBBA7-92D6-4F0B-8D6E-F4AFC7622EEE}"/>
    <cellStyle name="SAPBEXexcGood3 3" xfId="24674" xr:uid="{00000000-0005-0000-0000-0000896A0000}"/>
    <cellStyle name="SAPBEXexcGood3 3 2" xfId="25433" xr:uid="{00000000-0005-0000-0000-00008A6A0000}"/>
    <cellStyle name="SAPBEXexcGood3 3 2 2" xfId="27587" xr:uid="{00000000-0005-0000-0000-00008B6A0000}"/>
    <cellStyle name="SAPBEXexcGood3 3 2 2 2" xfId="32178" xr:uid="{FA6B6EAE-9199-4A5F-9B96-7797C8C78F58}"/>
    <cellStyle name="SAPBEXexcGood3 3 2 3" xfId="28089" xr:uid="{00000000-0005-0000-0000-00008C6A0000}"/>
    <cellStyle name="SAPBEXexcGood3 3 2 3 2" xfId="32647" xr:uid="{9EFBE913-686F-4E8E-8ED1-3A81D116D952}"/>
    <cellStyle name="SAPBEXexcGood3 3 2 4" xfId="26852" xr:uid="{00000000-0005-0000-0000-00008D6A0000}"/>
    <cellStyle name="SAPBEXexcGood3 3 2 4 2" xfId="31613" xr:uid="{074EE185-0A89-4EBA-9DC5-2B4F090A3A94}"/>
    <cellStyle name="SAPBEXexcGood3 3 2 5" xfId="29641" xr:uid="{00000000-0005-0000-0000-00008E6A0000}"/>
    <cellStyle name="SAPBEXexcGood3 3 2 6" xfId="30591" xr:uid="{838D04DD-103B-414F-BC58-4C6DF5DF7315}"/>
    <cellStyle name="SAPBEXexcGood3 3 3" xfId="25637" xr:uid="{00000000-0005-0000-0000-00008F6A0000}"/>
    <cellStyle name="SAPBEXexcGood3 3 3 2" xfId="27790" xr:uid="{00000000-0005-0000-0000-0000906A0000}"/>
    <cellStyle name="SAPBEXexcGood3 3 3 2 2" xfId="32377" xr:uid="{1EFF2F61-1D5F-40CB-9D1C-865B3FC0AC24}"/>
    <cellStyle name="SAPBEXexcGood3 3 3 3" xfId="28090" xr:uid="{00000000-0005-0000-0000-0000916A0000}"/>
    <cellStyle name="SAPBEXexcGood3 3 3 3 2" xfId="32648" xr:uid="{0F16DB00-979B-45A2-8549-D10C3898B861}"/>
    <cellStyle name="SAPBEXexcGood3 3 3 4" xfId="26122" xr:uid="{00000000-0005-0000-0000-0000926A0000}"/>
    <cellStyle name="SAPBEXexcGood3 3 3 4 2" xfId="30912" xr:uid="{16F4B9F3-B3D8-4AE9-80B3-1BDECF8E1D1F}"/>
    <cellStyle name="SAPBEXexcGood3 3 3 5" xfId="29642" xr:uid="{00000000-0005-0000-0000-0000936A0000}"/>
    <cellStyle name="SAPBEXexcGood3 3 4" xfId="27264" xr:uid="{00000000-0005-0000-0000-0000946A0000}"/>
    <cellStyle name="SAPBEXexcGood3 3 4 2" xfId="31899" xr:uid="{C8E115A2-1050-4BE0-B1C2-E0550387E6E9}"/>
    <cellStyle name="SAPBEXexcGood3 3 5" xfId="28088" xr:uid="{00000000-0005-0000-0000-0000956A0000}"/>
    <cellStyle name="SAPBEXexcGood3 3 5 2" xfId="32646" xr:uid="{4593537D-1988-445A-B987-F76DB3C83564}"/>
    <cellStyle name="SAPBEXexcGood3 3 6" xfId="26497" xr:uid="{00000000-0005-0000-0000-0000966A0000}"/>
    <cellStyle name="SAPBEXexcGood3 3 6 2" xfId="31285" xr:uid="{A89ED4F8-B9F3-4585-B8ED-4B30C3A0B7DF}"/>
    <cellStyle name="SAPBEXexcGood3 3 7" xfId="29640" xr:uid="{00000000-0005-0000-0000-0000976A0000}"/>
    <cellStyle name="SAPBEXexcGood3 3 8" xfId="30339" xr:uid="{A10B9BBE-A017-4110-816E-976CEBC785EB}"/>
    <cellStyle name="SAPBEXexcGood3 4" xfId="25102" xr:uid="{00000000-0005-0000-0000-0000986A0000}"/>
    <cellStyle name="SAPBEXexcGood3 4 2" xfId="25403" xr:uid="{00000000-0005-0000-0000-0000996A0000}"/>
    <cellStyle name="SAPBEXexcGood3 4 2 2" xfId="27557" xr:uid="{00000000-0005-0000-0000-00009A6A0000}"/>
    <cellStyle name="SAPBEXexcGood3 4 2 2 2" xfId="32148" xr:uid="{542CF1F8-27C0-469F-8AEC-B0D7B4A50FF4}"/>
    <cellStyle name="SAPBEXexcGood3 4 2 3" xfId="28092" xr:uid="{00000000-0005-0000-0000-00009B6A0000}"/>
    <cellStyle name="SAPBEXexcGood3 4 2 3 2" xfId="32650" xr:uid="{15E0F195-36C6-40E2-8492-132C97A12795}"/>
    <cellStyle name="SAPBEXexcGood3 4 2 4" xfId="26429" xr:uid="{00000000-0005-0000-0000-00009C6A0000}"/>
    <cellStyle name="SAPBEXexcGood3 4 2 4 2" xfId="31217" xr:uid="{65498FA9-8518-4B20-83B7-75E062005796}"/>
    <cellStyle name="SAPBEXexcGood3 4 2 5" xfId="29644" xr:uid="{00000000-0005-0000-0000-00009D6A0000}"/>
    <cellStyle name="SAPBEXexcGood3 4 2 6" xfId="30561" xr:uid="{3EA48A4A-95C8-46B7-87B5-49395A280B9F}"/>
    <cellStyle name="SAPBEXexcGood3 4 3" xfId="25700" xr:uid="{00000000-0005-0000-0000-00009E6A0000}"/>
    <cellStyle name="SAPBEXexcGood3 4 3 2" xfId="27853" xr:uid="{00000000-0005-0000-0000-00009F6A0000}"/>
    <cellStyle name="SAPBEXexcGood3 4 3 2 2" xfId="32440" xr:uid="{D81E7EED-7569-4AD9-971D-1F7B7355FA1B}"/>
    <cellStyle name="SAPBEXexcGood3 4 3 3" xfId="28093" xr:uid="{00000000-0005-0000-0000-0000A06A0000}"/>
    <cellStyle name="SAPBEXexcGood3 4 3 3 2" xfId="32651" xr:uid="{16D3B326-3D72-4267-88CC-E67D6A54EF78}"/>
    <cellStyle name="SAPBEXexcGood3 4 3 4" xfId="27053" xr:uid="{00000000-0005-0000-0000-0000A16A0000}"/>
    <cellStyle name="SAPBEXexcGood3 4 3 4 2" xfId="31798" xr:uid="{2C68E6D1-3E67-409B-BF6C-B6084F228CD6}"/>
    <cellStyle name="SAPBEXexcGood3 4 3 5" xfId="29645" xr:uid="{00000000-0005-0000-0000-0000A26A0000}"/>
    <cellStyle name="SAPBEXexcGood3 4 3 6" xfId="30694" xr:uid="{B75B2F71-0114-47AF-96F5-188A76429835}"/>
    <cellStyle name="SAPBEXexcGood3 4 4" xfId="27387" xr:uid="{00000000-0005-0000-0000-0000A36A0000}"/>
    <cellStyle name="SAPBEXexcGood3 4 4 2" xfId="31985" xr:uid="{6A2A0B73-961F-4CB5-A15E-68039EFC5330}"/>
    <cellStyle name="SAPBEXexcGood3 4 5" xfId="28091" xr:uid="{00000000-0005-0000-0000-0000A46A0000}"/>
    <cellStyle name="SAPBEXexcGood3 4 5 2" xfId="32649" xr:uid="{FE3AED5C-5B6A-4D2F-810C-1EB9902D5B68}"/>
    <cellStyle name="SAPBEXexcGood3 4 6" xfId="26366" xr:uid="{00000000-0005-0000-0000-0000A56A0000}"/>
    <cellStyle name="SAPBEXexcGood3 4 6 2" xfId="31154" xr:uid="{7497A226-7643-4024-8C96-3F1A568E8FD9}"/>
    <cellStyle name="SAPBEXexcGood3 4 7" xfId="29643" xr:uid="{00000000-0005-0000-0000-0000A66A0000}"/>
    <cellStyle name="SAPBEXexcGood3 4 8" xfId="30402" xr:uid="{ED003E65-943C-433A-84DB-1FB42DB52D1B}"/>
    <cellStyle name="SAPBEXexcGood3 5" xfId="25831" xr:uid="{00000000-0005-0000-0000-0000A76A0000}"/>
    <cellStyle name="SAPBEXexcGood3 5 2" xfId="30750" xr:uid="{AF146F60-3BF2-4358-9326-F8C799AFC8A0}"/>
    <cellStyle name="SAPBEXexcGood3 6" xfId="28085" xr:uid="{00000000-0005-0000-0000-0000A86A0000}"/>
    <cellStyle name="SAPBEXexcGood3 6 2" xfId="32643" xr:uid="{438F3376-66E5-4807-8B5D-13A0DD7022A1}"/>
    <cellStyle name="SAPBEXexcGood3 7" xfId="28547" xr:uid="{00000000-0005-0000-0000-0000A96A0000}"/>
    <cellStyle name="SAPBEXexcGood3 7 2" xfId="33105" xr:uid="{CF99A7DA-DA15-46F4-87AC-C8AC1D81F52B}"/>
    <cellStyle name="SAPBEXexcGood3 8" xfId="29637" xr:uid="{00000000-0005-0000-0000-0000AA6A0000}"/>
    <cellStyle name="SAPBEXfilterDrill" xfId="88" xr:uid="{00000000-0005-0000-0000-0000AB6A0000}"/>
    <cellStyle name="SAPBEXfilterDrill 2" xfId="25832" xr:uid="{00000000-0005-0000-0000-0000AC6A0000}"/>
    <cellStyle name="SAPBEXfilterDrill 2 2" xfId="30751" xr:uid="{3491FB93-C1FC-46DE-99AF-DB71115FB942}"/>
    <cellStyle name="SAPBEXfilterItem" xfId="89" xr:uid="{00000000-0005-0000-0000-0000AD6A0000}"/>
    <cellStyle name="SAPBEXfilterItem 2" xfId="90" xr:uid="{00000000-0005-0000-0000-0000AE6A0000}"/>
    <cellStyle name="SAPBEXfilterItem 3" xfId="231" xr:uid="{00000000-0005-0000-0000-0000AF6A0000}"/>
    <cellStyle name="SAPBEXfilterItem 4" xfId="232" xr:uid="{00000000-0005-0000-0000-0000B06A0000}"/>
    <cellStyle name="SAPBEXfilterItem 5" xfId="233" xr:uid="{00000000-0005-0000-0000-0000B16A0000}"/>
    <cellStyle name="SAPBEXfilterItem 6" xfId="234" xr:uid="{00000000-0005-0000-0000-0000B26A0000}"/>
    <cellStyle name="SAPBEXfilterItem 7" xfId="235" xr:uid="{00000000-0005-0000-0000-0000B36A0000}"/>
    <cellStyle name="SAPBEXfilterItem 8" xfId="412" xr:uid="{00000000-0005-0000-0000-0000B46A0000}"/>
    <cellStyle name="SAPBEXfilterItem_Copy of xSAPtemp5457" xfId="236" xr:uid="{00000000-0005-0000-0000-0000B56A0000}"/>
    <cellStyle name="SAPBEXfilterText" xfId="91" xr:uid="{00000000-0005-0000-0000-0000B66A0000}"/>
    <cellStyle name="SAPBEXfilterText 2" xfId="92" xr:uid="{00000000-0005-0000-0000-0000B76A0000}"/>
    <cellStyle name="SAPBEXfilterText 2 2" xfId="24246" xr:uid="{00000000-0005-0000-0000-0000B86A0000}"/>
    <cellStyle name="SAPBEXfilterText 3" xfId="93" xr:uid="{00000000-0005-0000-0000-0000B96A0000}"/>
    <cellStyle name="SAPBEXfilterText 3 2" xfId="24247" xr:uid="{00000000-0005-0000-0000-0000BA6A0000}"/>
    <cellStyle name="SAPBEXfilterText 4" xfId="237" xr:uid="{00000000-0005-0000-0000-0000BB6A0000}"/>
    <cellStyle name="SAPBEXfilterText 5" xfId="238" xr:uid="{00000000-0005-0000-0000-0000BC6A0000}"/>
    <cellStyle name="SAPBEXformats" xfId="94" xr:uid="{00000000-0005-0000-0000-0000BD6A0000}"/>
    <cellStyle name="SAPBEXformats 2" xfId="13636" xr:uid="{00000000-0005-0000-0000-0000BE6A0000}"/>
    <cellStyle name="SAPBEXformats 2 2" xfId="25474" xr:uid="{00000000-0005-0000-0000-0000BF6A0000}"/>
    <cellStyle name="SAPBEXformats 2 2 2" xfId="27627" xr:uid="{00000000-0005-0000-0000-0000C06A0000}"/>
    <cellStyle name="SAPBEXformats 2 2 2 2" xfId="32214" xr:uid="{D278B83A-6DDC-4CEA-B434-95123C280B1E}"/>
    <cellStyle name="SAPBEXformats 2 2 3" xfId="28096" xr:uid="{00000000-0005-0000-0000-0000C16A0000}"/>
    <cellStyle name="SAPBEXformats 2 2 3 2" xfId="32654" xr:uid="{957C83D0-3927-47A9-A6FB-D8330177BF9A}"/>
    <cellStyle name="SAPBEXformats 2 2 4" xfId="27430" xr:uid="{00000000-0005-0000-0000-0000C26A0000}"/>
    <cellStyle name="SAPBEXformats 2 2 4 2" xfId="32028" xr:uid="{442177C5-4F97-41A7-BD70-69E13B4543F6}"/>
    <cellStyle name="SAPBEXformats 2 2 5" xfId="29648" xr:uid="{00000000-0005-0000-0000-0000C36A0000}"/>
    <cellStyle name="SAPBEXformats 2 3" xfId="26578" xr:uid="{00000000-0005-0000-0000-0000C46A0000}"/>
    <cellStyle name="SAPBEXformats 2 3 2" xfId="31356" xr:uid="{21DCC941-E0F1-463A-8AA4-9F34059D9DB5}"/>
    <cellStyle name="SAPBEXformats 2 4" xfId="28095" xr:uid="{00000000-0005-0000-0000-0000C56A0000}"/>
    <cellStyle name="SAPBEXformats 2 4 2" xfId="32653" xr:uid="{C6E7657E-F1DB-45D8-AA6B-208A5BF40671}"/>
    <cellStyle name="SAPBEXformats 2 5" xfId="29185" xr:uid="{00000000-0005-0000-0000-0000C66A0000}"/>
    <cellStyle name="SAPBEXformats 2 5 2" xfId="33168" xr:uid="{8F734FC7-1A1B-4AF3-AEAF-5F9D53DEC1C5}"/>
    <cellStyle name="SAPBEXformats 2 6" xfId="29647" xr:uid="{00000000-0005-0000-0000-0000C76A0000}"/>
    <cellStyle name="SAPBEXformats 2 7" xfId="30176" xr:uid="{3CCEDD8D-F920-4419-A45C-C955E685E11E}"/>
    <cellStyle name="SAPBEXformats 3" xfId="24673" xr:uid="{00000000-0005-0000-0000-0000C86A0000}"/>
    <cellStyle name="SAPBEXformats 3 2" xfId="25332" xr:uid="{00000000-0005-0000-0000-0000C96A0000}"/>
    <cellStyle name="SAPBEXformats 3 2 2" xfId="27486" xr:uid="{00000000-0005-0000-0000-0000CA6A0000}"/>
    <cellStyle name="SAPBEXformats 3 2 2 2" xfId="32077" xr:uid="{745C9583-D683-4F41-A694-04A8D1245772}"/>
    <cellStyle name="SAPBEXformats 3 2 3" xfId="28098" xr:uid="{00000000-0005-0000-0000-0000CB6A0000}"/>
    <cellStyle name="SAPBEXformats 3 2 3 2" xfId="32656" xr:uid="{EEEC1752-6C75-4172-930F-F60AB54966E1}"/>
    <cellStyle name="SAPBEXformats 3 2 4" xfId="26887" xr:uid="{00000000-0005-0000-0000-0000CC6A0000}"/>
    <cellStyle name="SAPBEXformats 3 2 4 2" xfId="31648" xr:uid="{1D5005B6-6A0B-4125-B5CA-C97B270D5A92}"/>
    <cellStyle name="SAPBEXformats 3 2 5" xfId="29650" xr:uid="{00000000-0005-0000-0000-0000CD6A0000}"/>
    <cellStyle name="SAPBEXformats 3 2 6" xfId="30490" xr:uid="{1FDD796B-D48C-4CF8-821F-B06FFC1504F6}"/>
    <cellStyle name="SAPBEXformats 3 3" xfId="25636" xr:uid="{00000000-0005-0000-0000-0000CE6A0000}"/>
    <cellStyle name="SAPBEXformats 3 3 2" xfId="27789" xr:uid="{00000000-0005-0000-0000-0000CF6A0000}"/>
    <cellStyle name="SAPBEXformats 3 3 2 2" xfId="32376" xr:uid="{2F4DAE6E-6C10-434E-BEB0-E82424E349E8}"/>
    <cellStyle name="SAPBEXformats 3 3 3" xfId="28099" xr:uid="{00000000-0005-0000-0000-0000D06A0000}"/>
    <cellStyle name="SAPBEXformats 3 3 3 2" xfId="32657" xr:uid="{E66069EF-D153-4575-8F1D-F5DAA9605257}"/>
    <cellStyle name="SAPBEXformats 3 3 4" xfId="26878" xr:uid="{00000000-0005-0000-0000-0000D16A0000}"/>
    <cellStyle name="SAPBEXformats 3 3 4 2" xfId="31639" xr:uid="{39317AA8-8D56-4917-BF65-A9663961389A}"/>
    <cellStyle name="SAPBEXformats 3 3 5" xfId="29651" xr:uid="{00000000-0005-0000-0000-0000D26A0000}"/>
    <cellStyle name="SAPBEXformats 3 4" xfId="27263" xr:uid="{00000000-0005-0000-0000-0000D36A0000}"/>
    <cellStyle name="SAPBEXformats 3 4 2" xfId="31898" xr:uid="{2DBB42DF-8BD6-45ED-86B9-BEC3FFF64943}"/>
    <cellStyle name="SAPBEXformats 3 5" xfId="28097" xr:uid="{00000000-0005-0000-0000-0000D46A0000}"/>
    <cellStyle name="SAPBEXformats 3 5 2" xfId="32655" xr:uid="{E01DF4DF-898C-4094-8EC5-C72246BDA1E8}"/>
    <cellStyle name="SAPBEXformats 3 6" xfId="26792" xr:uid="{00000000-0005-0000-0000-0000D56A0000}"/>
    <cellStyle name="SAPBEXformats 3 6 2" xfId="31553" xr:uid="{475C94B3-160D-4146-99BE-FF9364786E68}"/>
    <cellStyle name="SAPBEXformats 3 7" xfId="29649" xr:uid="{00000000-0005-0000-0000-0000D66A0000}"/>
    <cellStyle name="SAPBEXformats 3 8" xfId="30338" xr:uid="{CEE7A237-CC94-4644-A44B-4ABA4373387C}"/>
    <cellStyle name="SAPBEXformats 4" xfId="25103" xr:uid="{00000000-0005-0000-0000-0000D76A0000}"/>
    <cellStyle name="SAPBEXformats 4 2" xfId="25314" xr:uid="{00000000-0005-0000-0000-0000D86A0000}"/>
    <cellStyle name="SAPBEXformats 4 2 2" xfId="27468" xr:uid="{00000000-0005-0000-0000-0000D96A0000}"/>
    <cellStyle name="SAPBEXformats 4 2 2 2" xfId="32059" xr:uid="{531D6C35-7398-47CA-8E6E-396F0AAEC12F}"/>
    <cellStyle name="SAPBEXformats 4 2 3" xfId="28101" xr:uid="{00000000-0005-0000-0000-0000DA6A0000}"/>
    <cellStyle name="SAPBEXformats 4 2 3 2" xfId="32659" xr:uid="{9BA25405-5199-47A7-AA87-029BF4F03D3F}"/>
    <cellStyle name="SAPBEXformats 4 2 4" xfId="26088" xr:uid="{00000000-0005-0000-0000-0000DB6A0000}"/>
    <cellStyle name="SAPBEXformats 4 2 4 2" xfId="30878" xr:uid="{541FDA16-4D2D-452F-B7C0-950EA4155BF9}"/>
    <cellStyle name="SAPBEXformats 4 2 5" xfId="29653" xr:uid="{00000000-0005-0000-0000-0000DC6A0000}"/>
    <cellStyle name="SAPBEXformats 4 2 6" xfId="30472" xr:uid="{DC2B5A52-4E88-4582-8A8E-13F9568CC981}"/>
    <cellStyle name="SAPBEXformats 4 3" xfId="25701" xr:uid="{00000000-0005-0000-0000-0000DD6A0000}"/>
    <cellStyle name="SAPBEXformats 4 3 2" xfId="27854" xr:uid="{00000000-0005-0000-0000-0000DE6A0000}"/>
    <cellStyle name="SAPBEXformats 4 3 2 2" xfId="32441" xr:uid="{CAF41298-BE9F-4FAD-B7EC-08D9E35FB92D}"/>
    <cellStyle name="SAPBEXformats 4 3 3" xfId="28102" xr:uid="{00000000-0005-0000-0000-0000DF6A0000}"/>
    <cellStyle name="SAPBEXformats 4 3 3 2" xfId="32660" xr:uid="{6C596889-0A35-446B-B06C-7AD63BB08C62}"/>
    <cellStyle name="SAPBEXformats 4 3 4" xfId="26699" xr:uid="{00000000-0005-0000-0000-0000E06A0000}"/>
    <cellStyle name="SAPBEXformats 4 3 4 2" xfId="31461" xr:uid="{C84A56BF-5738-4D92-8DC6-A6289D6CC1C5}"/>
    <cellStyle name="SAPBEXformats 4 3 5" xfId="29654" xr:uid="{00000000-0005-0000-0000-0000E16A0000}"/>
    <cellStyle name="SAPBEXformats 4 3 6" xfId="30695" xr:uid="{BB3A1379-A04B-4717-B708-E5621F5C76EF}"/>
    <cellStyle name="SAPBEXformats 4 4" xfId="27388" xr:uid="{00000000-0005-0000-0000-0000E26A0000}"/>
    <cellStyle name="SAPBEXformats 4 4 2" xfId="31986" xr:uid="{8A8F8762-F47E-40B2-9EFD-F1CE7D48C2D4}"/>
    <cellStyle name="SAPBEXformats 4 5" xfId="28100" xr:uid="{00000000-0005-0000-0000-0000E36A0000}"/>
    <cellStyle name="SAPBEXformats 4 5 2" xfId="32658" xr:uid="{C3945E2D-B22C-4F0A-9C2F-E4D111202428}"/>
    <cellStyle name="SAPBEXformats 4 6" xfId="26778" xr:uid="{00000000-0005-0000-0000-0000E46A0000}"/>
    <cellStyle name="SAPBEXformats 4 6 2" xfId="31539" xr:uid="{45964939-CE95-43D5-A2DF-A04176C5BF09}"/>
    <cellStyle name="SAPBEXformats 4 7" xfId="29652" xr:uid="{00000000-0005-0000-0000-0000E56A0000}"/>
    <cellStyle name="SAPBEXformats 4 8" xfId="30403" xr:uid="{8BEB6974-6890-4108-ACB3-B23AC1CD07F7}"/>
    <cellStyle name="SAPBEXformats 5" xfId="25833" xr:uid="{00000000-0005-0000-0000-0000E66A0000}"/>
    <cellStyle name="SAPBEXformats 5 2" xfId="30752" xr:uid="{76D3A9B9-4571-4CC8-B939-11DE8342D48F}"/>
    <cellStyle name="SAPBEXformats 6" xfId="28094" xr:uid="{00000000-0005-0000-0000-0000E76A0000}"/>
    <cellStyle name="SAPBEXformats 6 2" xfId="32652" xr:uid="{29AA3335-CBC6-444E-90CE-A94CC5BEEE73}"/>
    <cellStyle name="SAPBEXformats 7" xfId="26969" xr:uid="{00000000-0005-0000-0000-0000E86A0000}"/>
    <cellStyle name="SAPBEXformats 7 2" xfId="31730" xr:uid="{A763D440-1575-44AC-92AC-9680ED033164}"/>
    <cellStyle name="SAPBEXformats 8" xfId="29646" xr:uid="{00000000-0005-0000-0000-0000E96A0000}"/>
    <cellStyle name="SAPBEXheaderItem" xfId="95" xr:uid="{00000000-0005-0000-0000-0000EA6A0000}"/>
    <cellStyle name="SAPBEXheaderItem 2" xfId="96" xr:uid="{00000000-0005-0000-0000-0000EB6A0000}"/>
    <cellStyle name="SAPBEXheaderItem 2 2" xfId="24249" xr:uid="{00000000-0005-0000-0000-0000EC6A0000}"/>
    <cellStyle name="SAPBEXheaderItem 3" xfId="97" xr:uid="{00000000-0005-0000-0000-0000ED6A0000}"/>
    <cellStyle name="SAPBEXheaderItem 3 2" xfId="98" xr:uid="{00000000-0005-0000-0000-0000EE6A0000}"/>
    <cellStyle name="SAPBEXheaderItem 3 3" xfId="24250" xr:uid="{00000000-0005-0000-0000-0000EF6A0000}"/>
    <cellStyle name="SAPBEXheaderItem 4" xfId="239" xr:uid="{00000000-0005-0000-0000-0000F06A0000}"/>
    <cellStyle name="SAPBEXheaderItem 5" xfId="240" xr:uid="{00000000-0005-0000-0000-0000F16A0000}"/>
    <cellStyle name="SAPBEXheaderItem 6" xfId="241" xr:uid="{00000000-0005-0000-0000-0000F26A0000}"/>
    <cellStyle name="SAPBEXheaderItem 7" xfId="242" xr:uid="{00000000-0005-0000-0000-0000F36A0000}"/>
    <cellStyle name="SAPBEXheaderItem 8" xfId="243" xr:uid="{00000000-0005-0000-0000-0000F46A0000}"/>
    <cellStyle name="SAPBEXheaderItem 9" xfId="413" xr:uid="{00000000-0005-0000-0000-0000F56A0000}"/>
    <cellStyle name="SAPBEXheaderItem_Copy of xSAPtemp5457" xfId="244" xr:uid="{00000000-0005-0000-0000-0000F66A0000}"/>
    <cellStyle name="SAPBEXheaderText" xfId="99" xr:uid="{00000000-0005-0000-0000-0000F76A0000}"/>
    <cellStyle name="SAPBEXheaderText 2" xfId="100" xr:uid="{00000000-0005-0000-0000-0000F86A0000}"/>
    <cellStyle name="SAPBEXheaderText 2 2" xfId="24251" xr:uid="{00000000-0005-0000-0000-0000F96A0000}"/>
    <cellStyle name="SAPBEXheaderText 3" xfId="101" xr:uid="{00000000-0005-0000-0000-0000FA6A0000}"/>
    <cellStyle name="SAPBEXheaderText 3 2" xfId="24252" xr:uid="{00000000-0005-0000-0000-0000FB6A0000}"/>
    <cellStyle name="SAPBEXheaderText 4" xfId="102" xr:uid="{00000000-0005-0000-0000-0000FC6A0000}"/>
    <cellStyle name="SAPBEXheaderText 5" xfId="245" xr:uid="{00000000-0005-0000-0000-0000FD6A0000}"/>
    <cellStyle name="SAPBEXheaderText 6" xfId="246" xr:uid="{00000000-0005-0000-0000-0000FE6A0000}"/>
    <cellStyle name="SAPBEXheaderText 7" xfId="247" xr:uid="{00000000-0005-0000-0000-0000FF6A0000}"/>
    <cellStyle name="SAPBEXheaderText 8" xfId="248" xr:uid="{00000000-0005-0000-0000-0000006B0000}"/>
    <cellStyle name="SAPBEXheaderText 9" xfId="414" xr:uid="{00000000-0005-0000-0000-0000016B0000}"/>
    <cellStyle name="SAPBEXheaderText_Copy of xSAPtemp5457" xfId="249" xr:uid="{00000000-0005-0000-0000-0000026B0000}"/>
    <cellStyle name="SAPBEXHLevel0" xfId="103" xr:uid="{00000000-0005-0000-0000-0000036B0000}"/>
    <cellStyle name="SAPBEXHLevel0 10" xfId="28103" xr:uid="{00000000-0005-0000-0000-0000046B0000}"/>
    <cellStyle name="SAPBEXHLevel0 10 2" xfId="32661" xr:uid="{1007D9F4-C483-4CB3-9678-CB0C7E24DE75}"/>
    <cellStyle name="SAPBEXHLevel0 11" xfId="26997" xr:uid="{00000000-0005-0000-0000-0000056B0000}"/>
    <cellStyle name="SAPBEXHLevel0 11 2" xfId="31758" xr:uid="{42874892-21AF-4921-A9C2-76034A26F922}"/>
    <cellStyle name="SAPBEXHLevel0 12" xfId="29655" xr:uid="{00000000-0005-0000-0000-0000066B0000}"/>
    <cellStyle name="SAPBEXHLevel0 2" xfId="104" xr:uid="{00000000-0005-0000-0000-0000076B0000}"/>
    <cellStyle name="SAPBEXHLevel0 2 2" xfId="13638" xr:uid="{00000000-0005-0000-0000-0000086B0000}"/>
    <cellStyle name="SAPBEXHLevel0 2 2 2" xfId="25476" xr:uid="{00000000-0005-0000-0000-0000096B0000}"/>
    <cellStyle name="SAPBEXHLevel0 2 2 2 2" xfId="27629" xr:uid="{00000000-0005-0000-0000-00000A6B0000}"/>
    <cellStyle name="SAPBEXHLevel0 2 2 2 2 2" xfId="32216" xr:uid="{7B298B73-A2C7-4972-BC63-D9B946A6E718}"/>
    <cellStyle name="SAPBEXHLevel0 2 2 2 3" xfId="28106" xr:uid="{00000000-0005-0000-0000-00000B6B0000}"/>
    <cellStyle name="SAPBEXHLevel0 2 2 2 3 2" xfId="32664" xr:uid="{E7F317E7-BCAD-47C6-B104-293C7D1AA01A}"/>
    <cellStyle name="SAPBEXHLevel0 2 2 2 4" xfId="26840" xr:uid="{00000000-0005-0000-0000-00000C6B0000}"/>
    <cellStyle name="SAPBEXHLevel0 2 2 2 4 2" xfId="31601" xr:uid="{3F3FE9FF-344C-41C9-887A-3164767D7DB7}"/>
    <cellStyle name="SAPBEXHLevel0 2 2 2 5" xfId="29658" xr:uid="{00000000-0005-0000-0000-00000D6B0000}"/>
    <cellStyle name="SAPBEXHLevel0 2 2 3" xfId="26580" xr:uid="{00000000-0005-0000-0000-00000E6B0000}"/>
    <cellStyle name="SAPBEXHLevel0 2 2 3 2" xfId="31358" xr:uid="{02E16D72-8899-4A71-AB65-2FF6BCF6D0D3}"/>
    <cellStyle name="SAPBEXHLevel0 2 2 4" xfId="28105" xr:uid="{00000000-0005-0000-0000-00000F6B0000}"/>
    <cellStyle name="SAPBEXHLevel0 2 2 4 2" xfId="32663" xr:uid="{84ACD932-5D46-4B99-B19C-3101C518DA30}"/>
    <cellStyle name="SAPBEXHLevel0 2 2 5" xfId="26371" xr:uid="{00000000-0005-0000-0000-0000106B0000}"/>
    <cellStyle name="SAPBEXHLevel0 2 2 5 2" xfId="31159" xr:uid="{9B100636-DCF6-4B61-8304-64FFB6A85262}"/>
    <cellStyle name="SAPBEXHLevel0 2 2 6" xfId="29657" xr:uid="{00000000-0005-0000-0000-0000116B0000}"/>
    <cellStyle name="SAPBEXHLevel0 2 2 7" xfId="30178" xr:uid="{21DC3046-D69E-4717-8D23-7A4404E4AB8B}"/>
    <cellStyle name="SAPBEXHLevel0 2 3" xfId="24253" xr:uid="{00000000-0005-0000-0000-0000126B0000}"/>
    <cellStyle name="SAPBEXHLevel0 2 3 2" xfId="25575" xr:uid="{00000000-0005-0000-0000-0000136B0000}"/>
    <cellStyle name="SAPBEXHLevel0 2 3 2 2" xfId="27728" xr:uid="{00000000-0005-0000-0000-0000146B0000}"/>
    <cellStyle name="SAPBEXHLevel0 2 3 2 2 2" xfId="32315" xr:uid="{5DBB23BE-9359-4EAA-8819-A0619DC5C6E1}"/>
    <cellStyle name="SAPBEXHLevel0 2 3 2 3" xfId="28108" xr:uid="{00000000-0005-0000-0000-0000156B0000}"/>
    <cellStyle name="SAPBEXHLevel0 2 3 2 3 2" xfId="32666" xr:uid="{345DAA13-C4F1-4369-9286-C5B2067437F6}"/>
    <cellStyle name="SAPBEXHLevel0 2 3 2 4" xfId="27010" xr:uid="{00000000-0005-0000-0000-0000166B0000}"/>
    <cellStyle name="SAPBEXHLevel0 2 3 2 4 2" xfId="31770" xr:uid="{86F98E1B-09DB-4E31-8D4C-DD8CA4BCFA29}"/>
    <cellStyle name="SAPBEXHLevel0 2 3 2 5" xfId="29660" xr:uid="{00000000-0005-0000-0000-0000176B0000}"/>
    <cellStyle name="SAPBEXHLevel0 2 3 3" xfId="27108" xr:uid="{00000000-0005-0000-0000-0000186B0000}"/>
    <cellStyle name="SAPBEXHLevel0 2 3 3 2" xfId="31826" xr:uid="{D779E60C-4A8F-4FC4-8A8F-131CF168D935}"/>
    <cellStyle name="SAPBEXHLevel0 2 3 4" xfId="28107" xr:uid="{00000000-0005-0000-0000-0000196B0000}"/>
    <cellStyle name="SAPBEXHLevel0 2 3 4 2" xfId="32665" xr:uid="{5D47A21C-D9B1-4D5E-BD7F-1C785E1F7012}"/>
    <cellStyle name="SAPBEXHLevel0 2 3 5" xfId="26929" xr:uid="{00000000-0005-0000-0000-00001A6B0000}"/>
    <cellStyle name="SAPBEXHLevel0 2 3 5 2" xfId="31690" xr:uid="{638F08CB-81F2-4D61-A114-BB295EF7714E}"/>
    <cellStyle name="SAPBEXHLevel0 2 3 6" xfId="29659" xr:uid="{00000000-0005-0000-0000-00001B6B0000}"/>
    <cellStyle name="SAPBEXHLevel0 2 3 7" xfId="30277" xr:uid="{06A6A1AD-8EF2-4F18-81C3-D40EA51BB9C0}"/>
    <cellStyle name="SAPBEXHLevel0 2 4" xfId="24668" xr:uid="{00000000-0005-0000-0000-00001C6B0000}"/>
    <cellStyle name="SAPBEXHLevel0 2 4 2" xfId="25357" xr:uid="{00000000-0005-0000-0000-00001D6B0000}"/>
    <cellStyle name="SAPBEXHLevel0 2 4 2 2" xfId="27511" xr:uid="{00000000-0005-0000-0000-00001E6B0000}"/>
    <cellStyle name="SAPBEXHLevel0 2 4 2 2 2" xfId="32102" xr:uid="{B9E554D5-3C00-4528-833B-90B9C97A6922}"/>
    <cellStyle name="SAPBEXHLevel0 2 4 2 3" xfId="28110" xr:uid="{00000000-0005-0000-0000-00001F6B0000}"/>
    <cellStyle name="SAPBEXHLevel0 2 4 2 3 2" xfId="32668" xr:uid="{F6BEE18A-83E5-48FE-BC26-1D4ECE9E122A}"/>
    <cellStyle name="SAPBEXHLevel0 2 4 2 4" xfId="26532" xr:uid="{00000000-0005-0000-0000-0000206B0000}"/>
    <cellStyle name="SAPBEXHLevel0 2 4 2 4 2" xfId="31319" xr:uid="{566CA492-9584-49DA-A226-C350F3AE1D5F}"/>
    <cellStyle name="SAPBEXHLevel0 2 4 2 5" xfId="29662" xr:uid="{00000000-0005-0000-0000-0000216B0000}"/>
    <cellStyle name="SAPBEXHLevel0 2 4 2 6" xfId="30515" xr:uid="{F572173F-BFEB-4274-B1BB-AFD32D4910DE}"/>
    <cellStyle name="SAPBEXHLevel0 2 4 3" xfId="25634" xr:uid="{00000000-0005-0000-0000-0000226B0000}"/>
    <cellStyle name="SAPBEXHLevel0 2 4 3 2" xfId="27787" xr:uid="{00000000-0005-0000-0000-0000236B0000}"/>
    <cellStyle name="SAPBEXHLevel0 2 4 3 2 2" xfId="32374" xr:uid="{BB80C584-F3F2-45C6-864C-49C53581BB44}"/>
    <cellStyle name="SAPBEXHLevel0 2 4 3 3" xfId="28111" xr:uid="{00000000-0005-0000-0000-0000246B0000}"/>
    <cellStyle name="SAPBEXHLevel0 2 4 3 3 2" xfId="32669" xr:uid="{83A420D9-A83C-4FD3-B58D-71620EFDE24C}"/>
    <cellStyle name="SAPBEXHLevel0 2 4 3 4" xfId="27001" xr:uid="{00000000-0005-0000-0000-0000256B0000}"/>
    <cellStyle name="SAPBEXHLevel0 2 4 3 4 2" xfId="31761" xr:uid="{FBFB06F9-0841-4C0C-BDA6-AE8C08186C8D}"/>
    <cellStyle name="SAPBEXHLevel0 2 4 3 5" xfId="29663" xr:uid="{00000000-0005-0000-0000-0000266B0000}"/>
    <cellStyle name="SAPBEXHLevel0 2 4 4" xfId="27261" xr:uid="{00000000-0005-0000-0000-0000276B0000}"/>
    <cellStyle name="SAPBEXHLevel0 2 4 4 2" xfId="31896" xr:uid="{33BB7FBC-5347-4BDA-BA57-A1CFCD3A8D28}"/>
    <cellStyle name="SAPBEXHLevel0 2 4 5" xfId="28109" xr:uid="{00000000-0005-0000-0000-0000286B0000}"/>
    <cellStyle name="SAPBEXHLevel0 2 4 5 2" xfId="32667" xr:uid="{BD92D1DD-FCC5-4429-BBE2-DB2FC2D92999}"/>
    <cellStyle name="SAPBEXHLevel0 2 4 6" xfId="26144" xr:uid="{00000000-0005-0000-0000-0000296B0000}"/>
    <cellStyle name="SAPBEXHLevel0 2 4 6 2" xfId="30934" xr:uid="{A2BA4C79-6BE7-4747-9B57-AB6F8D1E320C}"/>
    <cellStyle name="SAPBEXHLevel0 2 4 7" xfId="29661" xr:uid="{00000000-0005-0000-0000-00002A6B0000}"/>
    <cellStyle name="SAPBEXHLevel0 2 4 8" xfId="30336" xr:uid="{A5ECF39D-215E-47AA-89A5-7CA40D11AEC4}"/>
    <cellStyle name="SAPBEXHLevel0 2 5" xfId="25105" xr:uid="{00000000-0005-0000-0000-00002B6B0000}"/>
    <cellStyle name="SAPBEXHLevel0 2 5 2" xfId="25328" xr:uid="{00000000-0005-0000-0000-00002C6B0000}"/>
    <cellStyle name="SAPBEXHLevel0 2 5 2 2" xfId="27482" xr:uid="{00000000-0005-0000-0000-00002D6B0000}"/>
    <cellStyle name="SAPBEXHLevel0 2 5 2 2 2" xfId="32073" xr:uid="{1C827190-C06C-4044-BAF3-0F096D5852AB}"/>
    <cellStyle name="SAPBEXHLevel0 2 5 2 3" xfId="28113" xr:uid="{00000000-0005-0000-0000-00002E6B0000}"/>
    <cellStyle name="SAPBEXHLevel0 2 5 2 3 2" xfId="32671" xr:uid="{3E6251D2-76CD-46D8-96A3-5FD886CA0766}"/>
    <cellStyle name="SAPBEXHLevel0 2 5 2 4" xfId="26078" xr:uid="{00000000-0005-0000-0000-00002F6B0000}"/>
    <cellStyle name="SAPBEXHLevel0 2 5 2 4 2" xfId="30868" xr:uid="{CAFD4758-676E-43F2-A1B3-33C5E85CCBB9}"/>
    <cellStyle name="SAPBEXHLevel0 2 5 2 5" xfId="29665" xr:uid="{00000000-0005-0000-0000-0000306B0000}"/>
    <cellStyle name="SAPBEXHLevel0 2 5 2 6" xfId="30486" xr:uid="{79F67CD6-FD80-47E4-BDF5-B543871CC22A}"/>
    <cellStyle name="SAPBEXHLevel0 2 5 3" xfId="25703" xr:uid="{00000000-0005-0000-0000-0000316B0000}"/>
    <cellStyle name="SAPBEXHLevel0 2 5 3 2" xfId="27856" xr:uid="{00000000-0005-0000-0000-0000326B0000}"/>
    <cellStyle name="SAPBEXHLevel0 2 5 3 2 2" xfId="32443" xr:uid="{4C629BCE-B01E-4D89-97C2-20B3105583E0}"/>
    <cellStyle name="SAPBEXHLevel0 2 5 3 3" xfId="28114" xr:uid="{00000000-0005-0000-0000-0000336B0000}"/>
    <cellStyle name="SAPBEXHLevel0 2 5 3 3 2" xfId="32672" xr:uid="{0031AEA8-1D1E-4EC5-9B26-993A374E0880}"/>
    <cellStyle name="SAPBEXHLevel0 2 5 3 4" xfId="26980" xr:uid="{00000000-0005-0000-0000-0000346B0000}"/>
    <cellStyle name="SAPBEXHLevel0 2 5 3 4 2" xfId="31741" xr:uid="{DC4F3916-7B16-4725-B86F-EF6A81E74913}"/>
    <cellStyle name="SAPBEXHLevel0 2 5 3 5" xfId="29666" xr:uid="{00000000-0005-0000-0000-0000356B0000}"/>
    <cellStyle name="SAPBEXHLevel0 2 5 3 6" xfId="30697" xr:uid="{1680A952-2676-4583-96CB-493DE9B3435D}"/>
    <cellStyle name="SAPBEXHLevel0 2 5 4" xfId="27390" xr:uid="{00000000-0005-0000-0000-0000366B0000}"/>
    <cellStyle name="SAPBEXHLevel0 2 5 4 2" xfId="31988" xr:uid="{CDE7C17A-A04C-465E-B7BA-E51B906DA432}"/>
    <cellStyle name="SAPBEXHLevel0 2 5 5" xfId="28112" xr:uid="{00000000-0005-0000-0000-0000376B0000}"/>
    <cellStyle name="SAPBEXHLevel0 2 5 5 2" xfId="32670" xr:uid="{AD5B0E88-0C29-4CDD-BA0C-517DE75DB933}"/>
    <cellStyle name="SAPBEXHLevel0 2 5 6" xfId="26226" xr:uid="{00000000-0005-0000-0000-0000386B0000}"/>
    <cellStyle name="SAPBEXHLevel0 2 5 6 2" xfId="31014" xr:uid="{27E4CD17-B8A4-4CFE-989A-0AC71FD574EF}"/>
    <cellStyle name="SAPBEXHLevel0 2 5 7" xfId="29664" xr:uid="{00000000-0005-0000-0000-0000396B0000}"/>
    <cellStyle name="SAPBEXHLevel0 2 5 8" xfId="30405" xr:uid="{43A192A3-3703-44CB-BFA1-B0D9A2CD1193}"/>
    <cellStyle name="SAPBEXHLevel0 2 6" xfId="25835" xr:uid="{00000000-0005-0000-0000-00003A6B0000}"/>
    <cellStyle name="SAPBEXHLevel0 2 6 2" xfId="30754" xr:uid="{C0966D3F-A15A-4841-8F1B-C331F5FC3E49}"/>
    <cellStyle name="SAPBEXHLevel0 2 7" xfId="28104" xr:uid="{00000000-0005-0000-0000-00003B6B0000}"/>
    <cellStyle name="SAPBEXHLevel0 2 7 2" xfId="32662" xr:uid="{5CD015DB-9D79-4C4E-827B-6D03AE262D64}"/>
    <cellStyle name="SAPBEXHLevel0 2 8" xfId="26490" xr:uid="{00000000-0005-0000-0000-00003C6B0000}"/>
    <cellStyle name="SAPBEXHLevel0 2 8 2" xfId="31278" xr:uid="{8D9A7171-B877-4C8B-9662-1E2732232090}"/>
    <cellStyle name="SAPBEXHLevel0 2 9" xfId="29656" xr:uid="{00000000-0005-0000-0000-00003D6B0000}"/>
    <cellStyle name="SAPBEXHLevel0 3" xfId="105" xr:uid="{00000000-0005-0000-0000-00003E6B0000}"/>
    <cellStyle name="SAPBEXHLevel0 3 2" xfId="13639" xr:uid="{00000000-0005-0000-0000-00003F6B0000}"/>
    <cellStyle name="SAPBEXHLevel0 3 2 2" xfId="25477" xr:uid="{00000000-0005-0000-0000-0000406B0000}"/>
    <cellStyle name="SAPBEXHLevel0 3 2 2 2" xfId="27630" xr:uid="{00000000-0005-0000-0000-0000416B0000}"/>
    <cellStyle name="SAPBEXHLevel0 3 2 2 2 2" xfId="32217" xr:uid="{BFD1346D-0532-4B33-B2CB-EF7207C2EA8C}"/>
    <cellStyle name="SAPBEXHLevel0 3 2 2 3" xfId="28117" xr:uid="{00000000-0005-0000-0000-0000426B0000}"/>
    <cellStyle name="SAPBEXHLevel0 3 2 2 3 2" xfId="32675" xr:uid="{100C9099-C4FA-4A43-9BBF-06483191EA60}"/>
    <cellStyle name="SAPBEXHLevel0 3 2 2 4" xfId="26201" xr:uid="{00000000-0005-0000-0000-0000436B0000}"/>
    <cellStyle name="SAPBEXHLevel0 3 2 2 4 2" xfId="30989" xr:uid="{F886C104-FEB0-4396-B6D3-4A9288723D41}"/>
    <cellStyle name="SAPBEXHLevel0 3 2 2 5" xfId="29669" xr:uid="{00000000-0005-0000-0000-0000446B0000}"/>
    <cellStyle name="SAPBEXHLevel0 3 2 3" xfId="26581" xr:uid="{00000000-0005-0000-0000-0000456B0000}"/>
    <cellStyle name="SAPBEXHLevel0 3 2 3 2" xfId="31359" xr:uid="{806AE72E-E6BF-4AE1-BACC-25557BD03B3A}"/>
    <cellStyle name="SAPBEXHLevel0 3 2 4" xfId="28116" xr:uid="{00000000-0005-0000-0000-0000466B0000}"/>
    <cellStyle name="SAPBEXHLevel0 3 2 4 2" xfId="32674" xr:uid="{98F4DF41-9961-4216-B393-3A9F5B153380}"/>
    <cellStyle name="SAPBEXHLevel0 3 2 5" xfId="26085" xr:uid="{00000000-0005-0000-0000-0000476B0000}"/>
    <cellStyle name="SAPBEXHLevel0 3 2 5 2" xfId="30875" xr:uid="{11CBB1D0-2FA2-4DB6-B91E-F59B0AA19F88}"/>
    <cellStyle name="SAPBEXHLevel0 3 2 6" xfId="29668" xr:uid="{00000000-0005-0000-0000-0000486B0000}"/>
    <cellStyle name="SAPBEXHLevel0 3 2 7" xfId="30179" xr:uid="{59B81943-37CB-41A6-BB33-212DA07C1674}"/>
    <cellStyle name="SAPBEXHLevel0 3 3" xfId="24254" xr:uid="{00000000-0005-0000-0000-0000496B0000}"/>
    <cellStyle name="SAPBEXHLevel0 3 3 2" xfId="25576" xr:uid="{00000000-0005-0000-0000-00004A6B0000}"/>
    <cellStyle name="SAPBEXHLevel0 3 3 2 2" xfId="27729" xr:uid="{00000000-0005-0000-0000-00004B6B0000}"/>
    <cellStyle name="SAPBEXHLevel0 3 3 2 2 2" xfId="32316" xr:uid="{FD26BE80-B426-483B-8760-386C120CA39E}"/>
    <cellStyle name="SAPBEXHLevel0 3 3 2 3" xfId="28119" xr:uid="{00000000-0005-0000-0000-00004C6B0000}"/>
    <cellStyle name="SAPBEXHLevel0 3 3 2 3 2" xfId="32677" xr:uid="{6982FBCE-856E-406F-852D-2B487D78F7B9}"/>
    <cellStyle name="SAPBEXHLevel0 3 3 2 4" xfId="26441" xr:uid="{00000000-0005-0000-0000-00004D6B0000}"/>
    <cellStyle name="SAPBEXHLevel0 3 3 2 4 2" xfId="31229" xr:uid="{C5400D96-6C98-4650-A767-341CC507F3D8}"/>
    <cellStyle name="SAPBEXHLevel0 3 3 2 5" xfId="29671" xr:uid="{00000000-0005-0000-0000-00004E6B0000}"/>
    <cellStyle name="SAPBEXHLevel0 3 3 3" xfId="27109" xr:uid="{00000000-0005-0000-0000-00004F6B0000}"/>
    <cellStyle name="SAPBEXHLevel0 3 3 3 2" xfId="31827" xr:uid="{2FDB118B-CEA1-4E77-B029-341C3434B2B8}"/>
    <cellStyle name="SAPBEXHLevel0 3 3 4" xfId="28118" xr:uid="{00000000-0005-0000-0000-0000506B0000}"/>
    <cellStyle name="SAPBEXHLevel0 3 3 4 2" xfId="32676" xr:uid="{46BB1172-EB83-4E38-9E49-B9E2C6898E3A}"/>
    <cellStyle name="SAPBEXHLevel0 3 3 5" xfId="26529" xr:uid="{00000000-0005-0000-0000-0000516B0000}"/>
    <cellStyle name="SAPBEXHLevel0 3 3 5 2" xfId="31316" xr:uid="{4AEEC1B6-418C-4152-9400-4D83848F4298}"/>
    <cellStyle name="SAPBEXHLevel0 3 3 6" xfId="29670" xr:uid="{00000000-0005-0000-0000-0000526B0000}"/>
    <cellStyle name="SAPBEXHLevel0 3 3 7" xfId="30278" xr:uid="{9EBCC5A9-58E7-4514-8B14-8993E912190B}"/>
    <cellStyle name="SAPBEXHLevel0 3 4" xfId="24667" xr:uid="{00000000-0005-0000-0000-0000536B0000}"/>
    <cellStyle name="SAPBEXHLevel0 3 4 2" xfId="25441" xr:uid="{00000000-0005-0000-0000-0000546B0000}"/>
    <cellStyle name="SAPBEXHLevel0 3 4 2 2" xfId="27595" xr:uid="{00000000-0005-0000-0000-0000556B0000}"/>
    <cellStyle name="SAPBEXHLevel0 3 4 2 2 2" xfId="32186" xr:uid="{D2D852CA-D376-43F0-9C8C-99CDEBBD4B7B}"/>
    <cellStyle name="SAPBEXHLevel0 3 4 2 3" xfId="28121" xr:uid="{00000000-0005-0000-0000-0000566B0000}"/>
    <cellStyle name="SAPBEXHLevel0 3 4 2 3 2" xfId="32679" xr:uid="{88C41C01-949B-4E5F-A7DA-8E0D8DC9C2E3}"/>
    <cellStyle name="SAPBEXHLevel0 3 4 2 4" xfId="26845" xr:uid="{00000000-0005-0000-0000-0000576B0000}"/>
    <cellStyle name="SAPBEXHLevel0 3 4 2 4 2" xfId="31606" xr:uid="{45E4FCD2-8EA1-40E8-81BA-70921E007469}"/>
    <cellStyle name="SAPBEXHLevel0 3 4 2 5" xfId="29673" xr:uid="{00000000-0005-0000-0000-0000586B0000}"/>
    <cellStyle name="SAPBEXHLevel0 3 4 2 6" xfId="30599" xr:uid="{A57BFBDA-B5E7-4CC9-8B25-DDDA0B1F160E}"/>
    <cellStyle name="SAPBEXHLevel0 3 4 3" xfId="25633" xr:uid="{00000000-0005-0000-0000-0000596B0000}"/>
    <cellStyle name="SAPBEXHLevel0 3 4 3 2" xfId="27786" xr:uid="{00000000-0005-0000-0000-00005A6B0000}"/>
    <cellStyle name="SAPBEXHLevel0 3 4 3 2 2" xfId="32373" xr:uid="{1194E220-EB7E-4FE0-A56B-7FE85471F55D}"/>
    <cellStyle name="SAPBEXHLevel0 3 4 3 3" xfId="28122" xr:uid="{00000000-0005-0000-0000-00005B6B0000}"/>
    <cellStyle name="SAPBEXHLevel0 3 4 3 3 2" xfId="32680" xr:uid="{F5D76EF6-FAB0-476A-8BAB-3B7CADC2EAA5}"/>
    <cellStyle name="SAPBEXHLevel0 3 4 3 4" xfId="26402" xr:uid="{00000000-0005-0000-0000-00005C6B0000}"/>
    <cellStyle name="SAPBEXHLevel0 3 4 3 4 2" xfId="31190" xr:uid="{9459480F-01BB-484D-9706-FF15ED897B84}"/>
    <cellStyle name="SAPBEXHLevel0 3 4 3 5" xfId="29674" xr:uid="{00000000-0005-0000-0000-00005D6B0000}"/>
    <cellStyle name="SAPBEXHLevel0 3 4 4" xfId="27260" xr:uid="{00000000-0005-0000-0000-00005E6B0000}"/>
    <cellStyle name="SAPBEXHLevel0 3 4 4 2" xfId="31895" xr:uid="{CCBDFCD5-5B3B-47AD-A653-96EF926216CD}"/>
    <cellStyle name="SAPBEXHLevel0 3 4 5" xfId="28120" xr:uid="{00000000-0005-0000-0000-00005F6B0000}"/>
    <cellStyle name="SAPBEXHLevel0 3 4 5 2" xfId="32678" xr:uid="{265D5D4F-FCCE-494B-955D-916F83D7C6DF}"/>
    <cellStyle name="SAPBEXHLevel0 3 4 6" xfId="26733" xr:uid="{00000000-0005-0000-0000-0000606B0000}"/>
    <cellStyle name="SAPBEXHLevel0 3 4 6 2" xfId="31494" xr:uid="{C83020AE-F591-458B-86AB-37F6C80DD24C}"/>
    <cellStyle name="SAPBEXHLevel0 3 4 7" xfId="29672" xr:uid="{00000000-0005-0000-0000-0000616B0000}"/>
    <cellStyle name="SAPBEXHLevel0 3 4 8" xfId="30335" xr:uid="{D98330DF-852D-4268-9A94-31E6F00B06B7}"/>
    <cellStyle name="SAPBEXHLevel0 3 5" xfId="25106" xr:uid="{00000000-0005-0000-0000-0000626B0000}"/>
    <cellStyle name="SAPBEXHLevel0 3 5 2" xfId="25429" xr:uid="{00000000-0005-0000-0000-0000636B0000}"/>
    <cellStyle name="SAPBEXHLevel0 3 5 2 2" xfId="27583" xr:uid="{00000000-0005-0000-0000-0000646B0000}"/>
    <cellStyle name="SAPBEXHLevel0 3 5 2 2 2" xfId="32174" xr:uid="{EF93E376-A2CC-4DCA-BC6A-11EBED1714A5}"/>
    <cellStyle name="SAPBEXHLevel0 3 5 2 3" xfId="28124" xr:uid="{00000000-0005-0000-0000-0000656B0000}"/>
    <cellStyle name="SAPBEXHLevel0 3 5 2 3 2" xfId="32682" xr:uid="{3222C05A-A1B8-4AFF-8A95-B106161B6E14}"/>
    <cellStyle name="SAPBEXHLevel0 3 5 2 4" xfId="27009" xr:uid="{00000000-0005-0000-0000-0000666B0000}"/>
    <cellStyle name="SAPBEXHLevel0 3 5 2 4 2" xfId="31769" xr:uid="{BDDA8092-FD84-4CFF-93CE-F220997CA9C6}"/>
    <cellStyle name="SAPBEXHLevel0 3 5 2 5" xfId="29676" xr:uid="{00000000-0005-0000-0000-0000676B0000}"/>
    <cellStyle name="SAPBEXHLevel0 3 5 2 6" xfId="30587" xr:uid="{2334C0A9-A7A4-4E9B-B7F7-50876500DE06}"/>
    <cellStyle name="SAPBEXHLevel0 3 5 3" xfId="25704" xr:uid="{00000000-0005-0000-0000-0000686B0000}"/>
    <cellStyle name="SAPBEXHLevel0 3 5 3 2" xfId="27857" xr:uid="{00000000-0005-0000-0000-0000696B0000}"/>
    <cellStyle name="SAPBEXHLevel0 3 5 3 2 2" xfId="32444" xr:uid="{856636C0-117B-4C42-AF4F-F65DDBF0EE3C}"/>
    <cellStyle name="SAPBEXHLevel0 3 5 3 3" xfId="28125" xr:uid="{00000000-0005-0000-0000-00006A6B0000}"/>
    <cellStyle name="SAPBEXHLevel0 3 5 3 3 2" xfId="32683" xr:uid="{6F77F1A0-2447-4B5F-91A5-B13F357F65AD}"/>
    <cellStyle name="SAPBEXHLevel0 3 5 3 4" xfId="27021" xr:uid="{00000000-0005-0000-0000-00006B6B0000}"/>
    <cellStyle name="SAPBEXHLevel0 3 5 3 4 2" xfId="31781" xr:uid="{FD7F4A19-E230-4C1E-A0C2-64AE13A2608E}"/>
    <cellStyle name="SAPBEXHLevel0 3 5 3 5" xfId="29677" xr:uid="{00000000-0005-0000-0000-00006C6B0000}"/>
    <cellStyle name="SAPBEXHLevel0 3 5 3 6" xfId="30698" xr:uid="{F68EA673-18D3-4F0E-B671-BB6381AF3105}"/>
    <cellStyle name="SAPBEXHLevel0 3 5 4" xfId="27391" xr:uid="{00000000-0005-0000-0000-00006D6B0000}"/>
    <cellStyle name="SAPBEXHLevel0 3 5 4 2" xfId="31989" xr:uid="{25EADB60-2EF8-4D05-9FEA-0C9CD5760597}"/>
    <cellStyle name="SAPBEXHLevel0 3 5 5" xfId="28123" xr:uid="{00000000-0005-0000-0000-00006E6B0000}"/>
    <cellStyle name="SAPBEXHLevel0 3 5 5 2" xfId="32681" xr:uid="{C8EEDC7A-7A91-4415-9A9F-323E4A4DBAAD}"/>
    <cellStyle name="SAPBEXHLevel0 3 5 6" xfId="27005" xr:uid="{00000000-0005-0000-0000-00006F6B0000}"/>
    <cellStyle name="SAPBEXHLevel0 3 5 6 2" xfId="31765" xr:uid="{AB0915AC-D788-4C6B-B0CB-BF3764595F19}"/>
    <cellStyle name="SAPBEXHLevel0 3 5 7" xfId="29675" xr:uid="{00000000-0005-0000-0000-0000706B0000}"/>
    <cellStyle name="SAPBEXHLevel0 3 5 8" xfId="30406" xr:uid="{772847D6-7B6E-4F73-BBFE-2B270A93EA85}"/>
    <cellStyle name="SAPBEXHLevel0 3 6" xfId="25836" xr:uid="{00000000-0005-0000-0000-0000716B0000}"/>
    <cellStyle name="SAPBEXHLevel0 3 6 2" xfId="30755" xr:uid="{A086A5D5-5EF2-4082-9F74-52EB8C936D5A}"/>
    <cellStyle name="SAPBEXHLevel0 3 7" xfId="28115" xr:uid="{00000000-0005-0000-0000-0000726B0000}"/>
    <cellStyle name="SAPBEXHLevel0 3 7 2" xfId="32673" xr:uid="{96007978-E9F8-45C0-9FE4-F737B277DB8F}"/>
    <cellStyle name="SAPBEXHLevel0 3 8" xfId="26204" xr:uid="{00000000-0005-0000-0000-0000736B0000}"/>
    <cellStyle name="SAPBEXHLevel0 3 8 2" xfId="30992" xr:uid="{0F20A8D3-79FC-493F-BD0D-577744703242}"/>
    <cellStyle name="SAPBEXHLevel0 3 9" xfId="29667" xr:uid="{00000000-0005-0000-0000-0000746B0000}"/>
    <cellStyle name="SAPBEXHLevel0 4" xfId="106" xr:uid="{00000000-0005-0000-0000-0000756B0000}"/>
    <cellStyle name="SAPBEXHLevel0 4 2" xfId="13640" xr:uid="{00000000-0005-0000-0000-0000766B0000}"/>
    <cellStyle name="SAPBEXHLevel0 4 2 2" xfId="25478" xr:uid="{00000000-0005-0000-0000-0000776B0000}"/>
    <cellStyle name="SAPBEXHLevel0 4 2 2 2" xfId="27631" xr:uid="{00000000-0005-0000-0000-0000786B0000}"/>
    <cellStyle name="SAPBEXHLevel0 4 2 2 2 2" xfId="32218" xr:uid="{A545E99F-BAE7-4ABB-B35F-8530752C2561}"/>
    <cellStyle name="SAPBEXHLevel0 4 2 2 3" xfId="28128" xr:uid="{00000000-0005-0000-0000-0000796B0000}"/>
    <cellStyle name="SAPBEXHLevel0 4 2 2 3 2" xfId="32686" xr:uid="{4A769846-A8CD-4BAE-813A-DB5887665576}"/>
    <cellStyle name="SAPBEXHLevel0 4 2 2 4" xfId="26705" xr:uid="{00000000-0005-0000-0000-00007A6B0000}"/>
    <cellStyle name="SAPBEXHLevel0 4 2 2 4 2" xfId="31467" xr:uid="{61777D9E-FC0A-4FC6-92B7-727970EA2B70}"/>
    <cellStyle name="SAPBEXHLevel0 4 2 2 5" xfId="29680" xr:uid="{00000000-0005-0000-0000-00007B6B0000}"/>
    <cellStyle name="SAPBEXHLevel0 4 2 3" xfId="26582" xr:uid="{00000000-0005-0000-0000-00007C6B0000}"/>
    <cellStyle name="SAPBEXHLevel0 4 2 3 2" xfId="31360" xr:uid="{A450BEFD-EB8E-4A61-BBDF-D7382BDBD4D8}"/>
    <cellStyle name="SAPBEXHLevel0 4 2 4" xfId="28127" xr:uid="{00000000-0005-0000-0000-00007D6B0000}"/>
    <cellStyle name="SAPBEXHLevel0 4 2 4 2" xfId="32685" xr:uid="{9A0E4CDC-188E-4715-A1C9-2ACA6A956712}"/>
    <cellStyle name="SAPBEXHLevel0 4 2 5" xfId="26547" xr:uid="{00000000-0005-0000-0000-00007E6B0000}"/>
    <cellStyle name="SAPBEXHLevel0 4 2 5 2" xfId="31334" xr:uid="{E6538437-5485-44A8-841A-AFD81BC02337}"/>
    <cellStyle name="SAPBEXHLevel0 4 2 6" xfId="29679" xr:uid="{00000000-0005-0000-0000-00007F6B0000}"/>
    <cellStyle name="SAPBEXHLevel0 4 2 7" xfId="30180" xr:uid="{7492158F-705B-45DB-A441-7D6C5923FDD5}"/>
    <cellStyle name="SAPBEXHLevel0 4 3" xfId="25837" xr:uid="{00000000-0005-0000-0000-0000806B0000}"/>
    <cellStyle name="SAPBEXHLevel0 4 3 2" xfId="30756" xr:uid="{B2BB81FC-2E70-4855-939E-4B15CD37ADA7}"/>
    <cellStyle name="SAPBEXHLevel0 4 4" xfId="28126" xr:uid="{00000000-0005-0000-0000-0000816B0000}"/>
    <cellStyle name="SAPBEXHLevel0 4 4 2" xfId="32684" xr:uid="{60499724-0045-4467-8949-16ACE7F333C7}"/>
    <cellStyle name="SAPBEXHLevel0 4 5" xfId="26061" xr:uid="{00000000-0005-0000-0000-0000826B0000}"/>
    <cellStyle name="SAPBEXHLevel0 4 5 2" xfId="30851" xr:uid="{B567DEB5-896D-4B84-8CB0-1681DB686ED9}"/>
    <cellStyle name="SAPBEXHLevel0 4 6" xfId="29678" xr:uid="{00000000-0005-0000-0000-0000836B0000}"/>
    <cellStyle name="SAPBEXHLevel0 5" xfId="250" xr:uid="{00000000-0005-0000-0000-0000846B0000}"/>
    <cellStyle name="SAPBEXHLevel0 5 2" xfId="13715" xr:uid="{00000000-0005-0000-0000-0000856B0000}"/>
    <cellStyle name="SAPBEXHLevel0 5 2 2" xfId="25528" xr:uid="{00000000-0005-0000-0000-0000866B0000}"/>
    <cellStyle name="SAPBEXHLevel0 5 2 2 2" xfId="27681" xr:uid="{00000000-0005-0000-0000-0000876B0000}"/>
    <cellStyle name="SAPBEXHLevel0 5 2 2 2 2" xfId="32268" xr:uid="{EBED0559-1D72-45F8-B37F-F8D973FDA1D6}"/>
    <cellStyle name="SAPBEXHLevel0 5 2 2 3" xfId="28131" xr:uid="{00000000-0005-0000-0000-0000886B0000}"/>
    <cellStyle name="SAPBEXHLevel0 5 2 2 3 2" xfId="32689" xr:uid="{609FA4D9-F21E-4C44-8021-F18DAE79CC12}"/>
    <cellStyle name="SAPBEXHLevel0 5 2 2 4" xfId="26789" xr:uid="{00000000-0005-0000-0000-0000896B0000}"/>
    <cellStyle name="SAPBEXHLevel0 5 2 2 4 2" xfId="31550" xr:uid="{B816E61E-A432-4588-AA89-C8B6C1C2E8BC}"/>
    <cellStyle name="SAPBEXHLevel0 5 2 2 5" xfId="29683" xr:uid="{00000000-0005-0000-0000-00008A6B0000}"/>
    <cellStyle name="SAPBEXHLevel0 5 2 3" xfId="26635" xr:uid="{00000000-0005-0000-0000-00008B6B0000}"/>
    <cellStyle name="SAPBEXHLevel0 5 2 3 2" xfId="31412" xr:uid="{85204BAD-A489-4861-8478-96CEBCBAF1D2}"/>
    <cellStyle name="SAPBEXHLevel0 5 2 4" xfId="28130" xr:uid="{00000000-0005-0000-0000-00008C6B0000}"/>
    <cellStyle name="SAPBEXHLevel0 5 2 4 2" xfId="32688" xr:uid="{D52DEB0F-BA74-473B-B1DD-DAC20310594C}"/>
    <cellStyle name="SAPBEXHLevel0 5 2 5" xfId="26398" xr:uid="{00000000-0005-0000-0000-00008D6B0000}"/>
    <cellStyle name="SAPBEXHLevel0 5 2 5 2" xfId="31186" xr:uid="{2A1FF7C5-5288-48D6-8ED8-8092E73AFB70}"/>
    <cellStyle name="SAPBEXHLevel0 5 2 6" xfId="29682" xr:uid="{00000000-0005-0000-0000-00008E6B0000}"/>
    <cellStyle name="SAPBEXHLevel0 5 2 7" xfId="30230" xr:uid="{5815302A-B198-4EA4-B23C-3FC5DFEA672F}"/>
    <cellStyle name="SAPBEXHLevel0 5 3" xfId="25918" xr:uid="{00000000-0005-0000-0000-00008F6B0000}"/>
    <cellStyle name="SAPBEXHLevel0 5 3 2" xfId="30807" xr:uid="{CC2E2076-8488-4518-8EB0-0231B20790CF}"/>
    <cellStyle name="SAPBEXHLevel0 5 4" xfId="28129" xr:uid="{00000000-0005-0000-0000-0000906B0000}"/>
    <cellStyle name="SAPBEXHLevel0 5 4 2" xfId="32687" xr:uid="{2DC1CD4C-E326-4ABA-80A9-222759321115}"/>
    <cellStyle name="SAPBEXHLevel0 5 5" xfId="29190" xr:uid="{00000000-0005-0000-0000-0000916B0000}"/>
    <cellStyle name="SAPBEXHLevel0 5 5 2" xfId="33173" xr:uid="{4B796B5E-EDEC-4BF6-9251-E3AD10B44FEC}"/>
    <cellStyle name="SAPBEXHLevel0 5 6" xfId="29681" xr:uid="{00000000-0005-0000-0000-0000926B0000}"/>
    <cellStyle name="SAPBEXHLevel0 6" xfId="13637" xr:uid="{00000000-0005-0000-0000-0000936B0000}"/>
    <cellStyle name="SAPBEXHLevel0 6 2" xfId="25475" xr:uid="{00000000-0005-0000-0000-0000946B0000}"/>
    <cellStyle name="SAPBEXHLevel0 6 2 2" xfId="27628" xr:uid="{00000000-0005-0000-0000-0000956B0000}"/>
    <cellStyle name="SAPBEXHLevel0 6 2 2 2" xfId="32215" xr:uid="{E0F1872A-7BA1-4340-BB40-3F7A2F624174}"/>
    <cellStyle name="SAPBEXHLevel0 6 2 3" xfId="28133" xr:uid="{00000000-0005-0000-0000-0000966B0000}"/>
    <cellStyle name="SAPBEXHLevel0 6 2 3 2" xfId="32691" xr:uid="{561684E6-C828-4D01-830F-93A91AF29324}"/>
    <cellStyle name="SAPBEXHLevel0 6 2 4" xfId="26919" xr:uid="{00000000-0005-0000-0000-0000976B0000}"/>
    <cellStyle name="SAPBEXHLevel0 6 2 4 2" xfId="31680" xr:uid="{533D3999-5DB7-40FA-AD21-A4F95D2D8CB9}"/>
    <cellStyle name="SAPBEXHLevel0 6 2 5" xfId="29685" xr:uid="{00000000-0005-0000-0000-0000986B0000}"/>
    <cellStyle name="SAPBEXHLevel0 6 3" xfId="26579" xr:uid="{00000000-0005-0000-0000-0000996B0000}"/>
    <cellStyle name="SAPBEXHLevel0 6 3 2" xfId="31357" xr:uid="{943C731A-CDC6-4D0D-B853-69CBAEAB4906}"/>
    <cellStyle name="SAPBEXHLevel0 6 4" xfId="28132" xr:uid="{00000000-0005-0000-0000-00009A6B0000}"/>
    <cellStyle name="SAPBEXHLevel0 6 4 2" xfId="32690" xr:uid="{7931D933-31FB-409C-A83B-9E16416BE512}"/>
    <cellStyle name="SAPBEXHLevel0 6 5" xfId="27144" xr:uid="{00000000-0005-0000-0000-00009B6B0000}"/>
    <cellStyle name="SAPBEXHLevel0 6 5 2" xfId="31849" xr:uid="{6E34D456-0E34-4202-B4BF-572D593B6F45}"/>
    <cellStyle name="SAPBEXHLevel0 6 6" xfId="29684" xr:uid="{00000000-0005-0000-0000-00009C6B0000}"/>
    <cellStyle name="SAPBEXHLevel0 6 7" xfId="30177" xr:uid="{CFD994A6-6501-4B2B-99BF-E93F4A48507B}"/>
    <cellStyle name="SAPBEXHLevel0 7" xfId="24669" xr:uid="{00000000-0005-0000-0000-00009D6B0000}"/>
    <cellStyle name="SAPBEXHLevel0 7 2" xfId="25391" xr:uid="{00000000-0005-0000-0000-00009E6B0000}"/>
    <cellStyle name="SAPBEXHLevel0 7 2 2" xfId="27545" xr:uid="{00000000-0005-0000-0000-00009F6B0000}"/>
    <cellStyle name="SAPBEXHLevel0 7 2 2 2" xfId="32136" xr:uid="{0AC5CF73-0734-43F5-8D87-874A37AC53E4}"/>
    <cellStyle name="SAPBEXHLevel0 7 2 3" xfId="28135" xr:uid="{00000000-0005-0000-0000-0000A06B0000}"/>
    <cellStyle name="SAPBEXHLevel0 7 2 3 2" xfId="32693" xr:uid="{6C823A48-A695-4970-92BD-D215D67F83F3}"/>
    <cellStyle name="SAPBEXHLevel0 7 2 4" xfId="26780" xr:uid="{00000000-0005-0000-0000-0000A16B0000}"/>
    <cellStyle name="SAPBEXHLevel0 7 2 4 2" xfId="31541" xr:uid="{7B16A7E5-DE7B-4A41-855D-055E4EC11F4A}"/>
    <cellStyle name="SAPBEXHLevel0 7 2 5" xfId="29687" xr:uid="{00000000-0005-0000-0000-0000A26B0000}"/>
    <cellStyle name="SAPBEXHLevel0 7 2 6" xfId="30549" xr:uid="{93490D80-9DE1-4612-963E-3BA6C2EF60AB}"/>
    <cellStyle name="SAPBEXHLevel0 7 3" xfId="25635" xr:uid="{00000000-0005-0000-0000-0000A36B0000}"/>
    <cellStyle name="SAPBEXHLevel0 7 3 2" xfId="27788" xr:uid="{00000000-0005-0000-0000-0000A46B0000}"/>
    <cellStyle name="SAPBEXHLevel0 7 3 2 2" xfId="32375" xr:uid="{D76F547C-7B44-4794-9A6F-33E8ADBB4869}"/>
    <cellStyle name="SAPBEXHLevel0 7 3 3" xfId="28136" xr:uid="{00000000-0005-0000-0000-0000A56B0000}"/>
    <cellStyle name="SAPBEXHLevel0 7 3 3 2" xfId="32694" xr:uid="{31A7CCD6-C82F-4012-9E30-5DEC3276F24A}"/>
    <cellStyle name="SAPBEXHLevel0 7 3 4" xfId="26365" xr:uid="{00000000-0005-0000-0000-0000A66B0000}"/>
    <cellStyle name="SAPBEXHLevel0 7 3 4 2" xfId="31153" xr:uid="{7CFBE9AE-F9CD-4490-BA12-03769F4F184F}"/>
    <cellStyle name="SAPBEXHLevel0 7 3 5" xfId="29688" xr:uid="{00000000-0005-0000-0000-0000A76B0000}"/>
    <cellStyle name="SAPBEXHLevel0 7 4" xfId="27262" xr:uid="{00000000-0005-0000-0000-0000A86B0000}"/>
    <cellStyle name="SAPBEXHLevel0 7 4 2" xfId="31897" xr:uid="{93FBB33E-8157-4135-AF62-E043BC80DCCF}"/>
    <cellStyle name="SAPBEXHLevel0 7 5" xfId="28134" xr:uid="{00000000-0005-0000-0000-0000A96B0000}"/>
    <cellStyle name="SAPBEXHLevel0 7 5 2" xfId="32692" xr:uid="{7947C9FA-AF76-4AE8-90EB-75013C0EAD0E}"/>
    <cellStyle name="SAPBEXHLevel0 7 6" xfId="27012" xr:uid="{00000000-0005-0000-0000-0000AA6B0000}"/>
    <cellStyle name="SAPBEXHLevel0 7 6 2" xfId="31772" xr:uid="{7AD69FB1-FCA6-4251-8CC4-C83CFF1742B2}"/>
    <cellStyle name="SAPBEXHLevel0 7 7" xfId="29686" xr:uid="{00000000-0005-0000-0000-0000AB6B0000}"/>
    <cellStyle name="SAPBEXHLevel0 7 8" xfId="30337" xr:uid="{6FDB5BFB-86BC-431B-8A77-0AD9D3EBE4B8}"/>
    <cellStyle name="SAPBEXHLevel0 8" xfId="25104" xr:uid="{00000000-0005-0000-0000-0000AC6B0000}"/>
    <cellStyle name="SAPBEXHLevel0 8 2" xfId="25415" xr:uid="{00000000-0005-0000-0000-0000AD6B0000}"/>
    <cellStyle name="SAPBEXHLevel0 8 2 2" xfId="27569" xr:uid="{00000000-0005-0000-0000-0000AE6B0000}"/>
    <cellStyle name="SAPBEXHLevel0 8 2 2 2" xfId="32160" xr:uid="{6D91DBC5-B70A-4212-A877-1B276B6F7A31}"/>
    <cellStyle name="SAPBEXHLevel0 8 2 3" xfId="28138" xr:uid="{00000000-0005-0000-0000-0000AF6B0000}"/>
    <cellStyle name="SAPBEXHLevel0 8 2 3 2" xfId="32696" xr:uid="{CD60B01C-19EA-421C-BE31-3E8EBB4667E0}"/>
    <cellStyle name="SAPBEXHLevel0 8 2 4" xfId="26080" xr:uid="{00000000-0005-0000-0000-0000B06B0000}"/>
    <cellStyle name="SAPBEXHLevel0 8 2 4 2" xfId="30870" xr:uid="{6C780192-0EBC-49A3-B05C-E3ED33007B98}"/>
    <cellStyle name="SAPBEXHLevel0 8 2 5" xfId="29690" xr:uid="{00000000-0005-0000-0000-0000B16B0000}"/>
    <cellStyle name="SAPBEXHLevel0 8 2 6" xfId="30573" xr:uid="{CA2C7615-228E-44DE-A5FD-FC59C982D946}"/>
    <cellStyle name="SAPBEXHLevel0 8 3" xfId="25702" xr:uid="{00000000-0005-0000-0000-0000B26B0000}"/>
    <cellStyle name="SAPBEXHLevel0 8 3 2" xfId="27855" xr:uid="{00000000-0005-0000-0000-0000B36B0000}"/>
    <cellStyle name="SAPBEXHLevel0 8 3 2 2" xfId="32442" xr:uid="{522C4B89-C24D-45A5-8E84-C01ACCF7784C}"/>
    <cellStyle name="SAPBEXHLevel0 8 3 3" xfId="28139" xr:uid="{00000000-0005-0000-0000-0000B46B0000}"/>
    <cellStyle name="SAPBEXHLevel0 8 3 3 2" xfId="32697" xr:uid="{F2E27041-6872-4760-8D30-33792D29F20E}"/>
    <cellStyle name="SAPBEXHLevel0 8 3 4" xfId="26549" xr:uid="{00000000-0005-0000-0000-0000B56B0000}"/>
    <cellStyle name="SAPBEXHLevel0 8 3 4 2" xfId="31336" xr:uid="{7D3C6BED-BC9B-4DB5-B407-9FFDFCB01254}"/>
    <cellStyle name="SAPBEXHLevel0 8 3 5" xfId="29691" xr:uid="{00000000-0005-0000-0000-0000B66B0000}"/>
    <cellStyle name="SAPBEXHLevel0 8 3 6" xfId="30696" xr:uid="{DE7F4D57-DC7F-4187-B6D1-A8F5ACC59D10}"/>
    <cellStyle name="SAPBEXHLevel0 8 4" xfId="27389" xr:uid="{00000000-0005-0000-0000-0000B76B0000}"/>
    <cellStyle name="SAPBEXHLevel0 8 4 2" xfId="31987" xr:uid="{AAB0A216-CF9B-4D55-91B6-D29F6C4A43E8}"/>
    <cellStyle name="SAPBEXHLevel0 8 5" xfId="28137" xr:uid="{00000000-0005-0000-0000-0000B86B0000}"/>
    <cellStyle name="SAPBEXHLevel0 8 5 2" xfId="32695" xr:uid="{85921FAE-43CE-4A05-BC9C-BB72B2B796A2}"/>
    <cellStyle name="SAPBEXHLevel0 8 6" xfId="26295" xr:uid="{00000000-0005-0000-0000-0000B96B0000}"/>
    <cellStyle name="SAPBEXHLevel0 8 6 2" xfId="31083" xr:uid="{0ADCB927-0E38-4E8E-B770-51036CCAC3BA}"/>
    <cellStyle name="SAPBEXHLevel0 8 7" xfId="29689" xr:uid="{00000000-0005-0000-0000-0000BA6B0000}"/>
    <cellStyle name="SAPBEXHLevel0 8 8" xfId="30404" xr:uid="{29C1A2DD-D34E-46AF-A915-68ED6736FA7B}"/>
    <cellStyle name="SAPBEXHLevel0 9" xfId="25834" xr:uid="{00000000-0005-0000-0000-0000BB6B0000}"/>
    <cellStyle name="SAPBEXHLevel0 9 2" xfId="30753" xr:uid="{3AE4CC00-9412-422B-88E8-74631838471C}"/>
    <cellStyle name="SAPBEXHLevel0X" xfId="107" xr:uid="{00000000-0005-0000-0000-0000BC6B0000}"/>
    <cellStyle name="SAPBEXHLevel0X 10" xfId="28140" xr:uid="{00000000-0005-0000-0000-0000BD6B0000}"/>
    <cellStyle name="SAPBEXHLevel0X 10 2" xfId="32698" xr:uid="{0D978B8B-19A9-4634-869E-A811FAB29EEA}"/>
    <cellStyle name="SAPBEXHLevel0X 11" xfId="26525" xr:uid="{00000000-0005-0000-0000-0000BE6B0000}"/>
    <cellStyle name="SAPBEXHLevel0X 11 2" xfId="31312" xr:uid="{E9952243-C2BA-4821-A4BF-9F3C37B37100}"/>
    <cellStyle name="SAPBEXHLevel0X 12" xfId="29692" xr:uid="{00000000-0005-0000-0000-0000BF6B0000}"/>
    <cellStyle name="SAPBEXHLevel0X 2" xfId="108" xr:uid="{00000000-0005-0000-0000-0000C06B0000}"/>
    <cellStyle name="SAPBEXHLevel0X 2 2" xfId="13642" xr:uid="{00000000-0005-0000-0000-0000C16B0000}"/>
    <cellStyle name="SAPBEXHLevel0X 2 2 2" xfId="25480" xr:uid="{00000000-0005-0000-0000-0000C26B0000}"/>
    <cellStyle name="SAPBEXHLevel0X 2 2 2 2" xfId="27633" xr:uid="{00000000-0005-0000-0000-0000C36B0000}"/>
    <cellStyle name="SAPBEXHLevel0X 2 2 2 2 2" xfId="32220" xr:uid="{5F5C0DF3-F974-4A3E-B3A7-20FF18FBDB47}"/>
    <cellStyle name="SAPBEXHLevel0X 2 2 2 3" xfId="28143" xr:uid="{00000000-0005-0000-0000-0000C46B0000}"/>
    <cellStyle name="SAPBEXHLevel0X 2 2 2 3 2" xfId="32701" xr:uid="{756FBB4A-B066-4D70-A2EA-12C02F444673}"/>
    <cellStyle name="SAPBEXHLevel0X 2 2 2 4" xfId="26543" xr:uid="{00000000-0005-0000-0000-0000C56B0000}"/>
    <cellStyle name="SAPBEXHLevel0X 2 2 2 4 2" xfId="31330" xr:uid="{FD6712CD-B5A1-4A5E-A6D0-E3DBC4EF1742}"/>
    <cellStyle name="SAPBEXHLevel0X 2 2 2 5" xfId="29695" xr:uid="{00000000-0005-0000-0000-0000C66B0000}"/>
    <cellStyle name="SAPBEXHLevel0X 2 2 3" xfId="26584" xr:uid="{00000000-0005-0000-0000-0000C76B0000}"/>
    <cellStyle name="SAPBEXHLevel0X 2 2 3 2" xfId="31362" xr:uid="{984BB485-8D16-4EFC-8BA4-6E1B9867C409}"/>
    <cellStyle name="SAPBEXHLevel0X 2 2 4" xfId="28142" xr:uid="{00000000-0005-0000-0000-0000C86B0000}"/>
    <cellStyle name="SAPBEXHLevel0X 2 2 4 2" xfId="32700" xr:uid="{9E2D7014-B059-4003-94BF-9B0BB300CB34}"/>
    <cellStyle name="SAPBEXHLevel0X 2 2 5" xfId="26121" xr:uid="{00000000-0005-0000-0000-0000C96B0000}"/>
    <cellStyle name="SAPBEXHLevel0X 2 2 5 2" xfId="30911" xr:uid="{84072392-7CCC-48E6-AD2D-ABAC407696E9}"/>
    <cellStyle name="SAPBEXHLevel0X 2 2 6" xfId="29694" xr:uid="{00000000-0005-0000-0000-0000CA6B0000}"/>
    <cellStyle name="SAPBEXHLevel0X 2 2 7" xfId="30182" xr:uid="{A4BF9B73-74C4-463A-8790-43EDC18A2F99}"/>
    <cellStyle name="SAPBEXHLevel0X 2 3" xfId="24255" xr:uid="{00000000-0005-0000-0000-0000CB6B0000}"/>
    <cellStyle name="SAPBEXHLevel0X 2 3 2" xfId="25577" xr:uid="{00000000-0005-0000-0000-0000CC6B0000}"/>
    <cellStyle name="SAPBEXHLevel0X 2 3 2 2" xfId="27730" xr:uid="{00000000-0005-0000-0000-0000CD6B0000}"/>
    <cellStyle name="SAPBEXHLevel0X 2 3 2 2 2" xfId="32317" xr:uid="{C2B1B252-C63C-4DDC-98C4-410B602E9D21}"/>
    <cellStyle name="SAPBEXHLevel0X 2 3 2 3" xfId="28145" xr:uid="{00000000-0005-0000-0000-0000CE6B0000}"/>
    <cellStyle name="SAPBEXHLevel0X 2 3 2 3 2" xfId="32703" xr:uid="{0C5BE7B7-0737-4E5A-99EA-B096F0E46E21}"/>
    <cellStyle name="SAPBEXHLevel0X 2 3 2 4" xfId="26777" xr:uid="{00000000-0005-0000-0000-0000CF6B0000}"/>
    <cellStyle name="SAPBEXHLevel0X 2 3 2 4 2" xfId="31538" xr:uid="{3ED46327-C21A-4472-BF8E-C52D0C6A22A7}"/>
    <cellStyle name="SAPBEXHLevel0X 2 3 2 5" xfId="29697" xr:uid="{00000000-0005-0000-0000-0000D06B0000}"/>
    <cellStyle name="SAPBEXHLevel0X 2 3 3" xfId="27110" xr:uid="{00000000-0005-0000-0000-0000D16B0000}"/>
    <cellStyle name="SAPBEXHLevel0X 2 3 3 2" xfId="31828" xr:uid="{D129ACDD-892C-4160-A8A9-BF8F3D15C055}"/>
    <cellStyle name="SAPBEXHLevel0X 2 3 4" xfId="28144" xr:uid="{00000000-0005-0000-0000-0000D26B0000}"/>
    <cellStyle name="SAPBEXHLevel0X 2 3 4 2" xfId="32702" xr:uid="{B8D32C45-A2D3-4FBB-A6D3-243D2B4EC443}"/>
    <cellStyle name="SAPBEXHLevel0X 2 3 5" xfId="26893" xr:uid="{00000000-0005-0000-0000-0000D36B0000}"/>
    <cellStyle name="SAPBEXHLevel0X 2 3 5 2" xfId="31654" xr:uid="{23858E7E-0ED1-4097-9906-DD0D0CC8018E}"/>
    <cellStyle name="SAPBEXHLevel0X 2 3 6" xfId="29696" xr:uid="{00000000-0005-0000-0000-0000D46B0000}"/>
    <cellStyle name="SAPBEXHLevel0X 2 3 7" xfId="30279" xr:uid="{7EA7486F-43F2-4A97-B166-ABCC52EA1A6D}"/>
    <cellStyle name="SAPBEXHLevel0X 2 4" xfId="24665" xr:uid="{00000000-0005-0000-0000-0000D56B0000}"/>
    <cellStyle name="SAPBEXHLevel0X 2 4 2" xfId="25424" xr:uid="{00000000-0005-0000-0000-0000D66B0000}"/>
    <cellStyle name="SAPBEXHLevel0X 2 4 2 2" xfId="27578" xr:uid="{00000000-0005-0000-0000-0000D76B0000}"/>
    <cellStyle name="SAPBEXHLevel0X 2 4 2 2 2" xfId="32169" xr:uid="{CE088BD3-8CC4-46F0-A23F-B052E70E43F6}"/>
    <cellStyle name="SAPBEXHLevel0X 2 4 2 3" xfId="28147" xr:uid="{00000000-0005-0000-0000-0000D86B0000}"/>
    <cellStyle name="SAPBEXHLevel0X 2 4 2 3 2" xfId="32705" xr:uid="{B3F47BA7-80F7-4257-A7E1-A1F9F424E2B8}"/>
    <cellStyle name="SAPBEXHLevel0X 2 4 2 4" xfId="27016" xr:uid="{00000000-0005-0000-0000-0000D96B0000}"/>
    <cellStyle name="SAPBEXHLevel0X 2 4 2 4 2" xfId="31776" xr:uid="{D5516FC3-19EE-479E-9B96-9DC7F5DEB603}"/>
    <cellStyle name="SAPBEXHLevel0X 2 4 2 5" xfId="29699" xr:uid="{00000000-0005-0000-0000-0000DA6B0000}"/>
    <cellStyle name="SAPBEXHLevel0X 2 4 2 6" xfId="30582" xr:uid="{DBC196D2-F7E4-4EA4-9CC9-07E769976A11}"/>
    <cellStyle name="SAPBEXHLevel0X 2 4 3" xfId="25631" xr:uid="{00000000-0005-0000-0000-0000DB6B0000}"/>
    <cellStyle name="SAPBEXHLevel0X 2 4 3 2" xfId="27784" xr:uid="{00000000-0005-0000-0000-0000DC6B0000}"/>
    <cellStyle name="SAPBEXHLevel0X 2 4 3 2 2" xfId="32371" xr:uid="{920839CF-05DF-40D7-A57E-B5110AC3B82A}"/>
    <cellStyle name="SAPBEXHLevel0X 2 4 3 3" xfId="28148" xr:uid="{00000000-0005-0000-0000-0000DD6B0000}"/>
    <cellStyle name="SAPBEXHLevel0X 2 4 3 3 2" xfId="32706" xr:uid="{5680F8A0-B679-427D-B53C-D1CEAB701BC5}"/>
    <cellStyle name="SAPBEXHLevel0X 2 4 3 4" xfId="26982" xr:uid="{00000000-0005-0000-0000-0000DE6B0000}"/>
    <cellStyle name="SAPBEXHLevel0X 2 4 3 4 2" xfId="31743" xr:uid="{23B48326-5349-40E2-A8DF-E7F0492BBDC9}"/>
    <cellStyle name="SAPBEXHLevel0X 2 4 3 5" xfId="29700" xr:uid="{00000000-0005-0000-0000-0000DF6B0000}"/>
    <cellStyle name="SAPBEXHLevel0X 2 4 4" xfId="27258" xr:uid="{00000000-0005-0000-0000-0000E06B0000}"/>
    <cellStyle name="SAPBEXHLevel0X 2 4 4 2" xfId="31893" xr:uid="{17EED4AE-94BD-483F-9471-FF8EA1C195A0}"/>
    <cellStyle name="SAPBEXHLevel0X 2 4 5" xfId="28146" xr:uid="{00000000-0005-0000-0000-0000E16B0000}"/>
    <cellStyle name="SAPBEXHLevel0X 2 4 5 2" xfId="32704" xr:uid="{1C13C6EE-5DD4-4558-9BF0-C6481084191C}"/>
    <cellStyle name="SAPBEXHLevel0X 2 4 6" xfId="26417" xr:uid="{00000000-0005-0000-0000-0000E26B0000}"/>
    <cellStyle name="SAPBEXHLevel0X 2 4 6 2" xfId="31205" xr:uid="{DF92ECEE-3A26-4480-8B81-232617DB04E3}"/>
    <cellStyle name="SAPBEXHLevel0X 2 4 7" xfId="29698" xr:uid="{00000000-0005-0000-0000-0000E36B0000}"/>
    <cellStyle name="SAPBEXHLevel0X 2 4 8" xfId="30333" xr:uid="{43CD606D-5379-4797-B372-1DC8AD0B56D9}"/>
    <cellStyle name="SAPBEXHLevel0X 2 5" xfId="25108" xr:uid="{00000000-0005-0000-0000-0000E46B0000}"/>
    <cellStyle name="SAPBEXHLevel0X 2 5 2" xfId="25446" xr:uid="{00000000-0005-0000-0000-0000E56B0000}"/>
    <cellStyle name="SAPBEXHLevel0X 2 5 2 2" xfId="27600" xr:uid="{00000000-0005-0000-0000-0000E66B0000}"/>
    <cellStyle name="SAPBEXHLevel0X 2 5 2 2 2" xfId="32191" xr:uid="{B7418EE2-46E1-488C-A691-FA91050E99A2}"/>
    <cellStyle name="SAPBEXHLevel0X 2 5 2 3" xfId="28150" xr:uid="{00000000-0005-0000-0000-0000E76B0000}"/>
    <cellStyle name="SAPBEXHLevel0X 2 5 2 3 2" xfId="32708" xr:uid="{15A3457D-4CD9-46B4-93EE-D1CEDA11BC6B}"/>
    <cellStyle name="SAPBEXHLevel0X 2 5 2 4" xfId="26332" xr:uid="{00000000-0005-0000-0000-0000E86B0000}"/>
    <cellStyle name="SAPBEXHLevel0X 2 5 2 4 2" xfId="31120" xr:uid="{2255FA7A-FFE5-4B2E-9D60-33485FBFC4DE}"/>
    <cellStyle name="SAPBEXHLevel0X 2 5 2 5" xfId="29702" xr:uid="{00000000-0005-0000-0000-0000E96B0000}"/>
    <cellStyle name="SAPBEXHLevel0X 2 5 2 6" xfId="30604" xr:uid="{8DA777A9-A253-4FBD-8E23-D181935E71A9}"/>
    <cellStyle name="SAPBEXHLevel0X 2 5 3" xfId="25706" xr:uid="{00000000-0005-0000-0000-0000EA6B0000}"/>
    <cellStyle name="SAPBEXHLevel0X 2 5 3 2" xfId="27859" xr:uid="{00000000-0005-0000-0000-0000EB6B0000}"/>
    <cellStyle name="SAPBEXHLevel0X 2 5 3 2 2" xfId="32446" xr:uid="{426CC112-5E46-4AE7-B201-AC0F783267DE}"/>
    <cellStyle name="SAPBEXHLevel0X 2 5 3 3" xfId="28151" xr:uid="{00000000-0005-0000-0000-0000EC6B0000}"/>
    <cellStyle name="SAPBEXHLevel0X 2 5 3 3 2" xfId="32709" xr:uid="{F93BDA29-887E-4839-8EE4-FE8E24E9F114}"/>
    <cellStyle name="SAPBEXHLevel0X 2 5 3 4" xfId="26241" xr:uid="{00000000-0005-0000-0000-0000ED6B0000}"/>
    <cellStyle name="SAPBEXHLevel0X 2 5 3 4 2" xfId="31029" xr:uid="{262A61B2-7F35-4594-96E5-ED7398443199}"/>
    <cellStyle name="SAPBEXHLevel0X 2 5 3 5" xfId="29703" xr:uid="{00000000-0005-0000-0000-0000EE6B0000}"/>
    <cellStyle name="SAPBEXHLevel0X 2 5 3 6" xfId="30700" xr:uid="{1840FD7B-4152-438F-A010-AE8A945C9073}"/>
    <cellStyle name="SAPBEXHLevel0X 2 5 4" xfId="27393" xr:uid="{00000000-0005-0000-0000-0000EF6B0000}"/>
    <cellStyle name="SAPBEXHLevel0X 2 5 4 2" xfId="31991" xr:uid="{705EF500-2EB0-4933-9459-C7EEA688DDC6}"/>
    <cellStyle name="SAPBEXHLevel0X 2 5 5" xfId="28149" xr:uid="{00000000-0005-0000-0000-0000F06B0000}"/>
    <cellStyle name="SAPBEXHLevel0X 2 5 5 2" xfId="32707" xr:uid="{5823A751-A891-488B-8E80-0F1F414C92D6}"/>
    <cellStyle name="SAPBEXHLevel0X 2 5 6" xfId="26771" xr:uid="{00000000-0005-0000-0000-0000F16B0000}"/>
    <cellStyle name="SAPBEXHLevel0X 2 5 6 2" xfId="31532" xr:uid="{6AB1E7C9-8267-45D1-9B76-A1558F229879}"/>
    <cellStyle name="SAPBEXHLevel0X 2 5 7" xfId="29701" xr:uid="{00000000-0005-0000-0000-0000F26B0000}"/>
    <cellStyle name="SAPBEXHLevel0X 2 5 8" xfId="30408" xr:uid="{49ED1F34-3A71-4C6F-A518-5F7863EFC80D}"/>
    <cellStyle name="SAPBEXHLevel0X 2 6" xfId="25839" xr:uid="{00000000-0005-0000-0000-0000F36B0000}"/>
    <cellStyle name="SAPBEXHLevel0X 2 6 2" xfId="30758" xr:uid="{880DFA89-BB7D-4E22-824F-C1BFF4CFAF0A}"/>
    <cellStyle name="SAPBEXHLevel0X 2 7" xfId="28141" xr:uid="{00000000-0005-0000-0000-0000F46B0000}"/>
    <cellStyle name="SAPBEXHLevel0X 2 7 2" xfId="32699" xr:uid="{985F9370-6267-4D36-A265-447FDCC59FF2}"/>
    <cellStyle name="SAPBEXHLevel0X 2 8" xfId="26196" xr:uid="{00000000-0005-0000-0000-0000F56B0000}"/>
    <cellStyle name="SAPBEXHLevel0X 2 8 2" xfId="30984" xr:uid="{23071D6C-A992-4D9E-8033-43B4691BE96D}"/>
    <cellStyle name="SAPBEXHLevel0X 2 9" xfId="29693" xr:uid="{00000000-0005-0000-0000-0000F66B0000}"/>
    <cellStyle name="SAPBEXHLevel0X 3" xfId="109" xr:uid="{00000000-0005-0000-0000-0000F76B0000}"/>
    <cellStyle name="SAPBEXHLevel0X 3 2" xfId="13643" xr:uid="{00000000-0005-0000-0000-0000F86B0000}"/>
    <cellStyle name="SAPBEXHLevel0X 3 2 2" xfId="25481" xr:uid="{00000000-0005-0000-0000-0000F96B0000}"/>
    <cellStyle name="SAPBEXHLevel0X 3 2 2 2" xfId="27634" xr:uid="{00000000-0005-0000-0000-0000FA6B0000}"/>
    <cellStyle name="SAPBEXHLevel0X 3 2 2 2 2" xfId="32221" xr:uid="{222335D9-8B3D-4D52-AF20-FBD55851D16D}"/>
    <cellStyle name="SAPBEXHLevel0X 3 2 2 3" xfId="28154" xr:uid="{00000000-0005-0000-0000-0000FB6B0000}"/>
    <cellStyle name="SAPBEXHLevel0X 3 2 2 3 2" xfId="32712" xr:uid="{8460D106-61C0-4B0B-913D-EA4C7EF73623}"/>
    <cellStyle name="SAPBEXHLevel0X 3 2 2 4" xfId="26728" xr:uid="{00000000-0005-0000-0000-0000FC6B0000}"/>
    <cellStyle name="SAPBEXHLevel0X 3 2 2 4 2" xfId="31489" xr:uid="{A72E0832-217B-4076-B07F-A5B040FB6100}"/>
    <cellStyle name="SAPBEXHLevel0X 3 2 2 5" xfId="29706" xr:uid="{00000000-0005-0000-0000-0000FD6B0000}"/>
    <cellStyle name="SAPBEXHLevel0X 3 2 3" xfId="26585" xr:uid="{00000000-0005-0000-0000-0000FE6B0000}"/>
    <cellStyle name="SAPBEXHLevel0X 3 2 3 2" xfId="31363" xr:uid="{69A51FC2-7DDE-47D9-8E67-FC05642B5458}"/>
    <cellStyle name="SAPBEXHLevel0X 3 2 4" xfId="28153" xr:uid="{00000000-0005-0000-0000-0000FF6B0000}"/>
    <cellStyle name="SAPBEXHLevel0X 3 2 4 2" xfId="32711" xr:uid="{83559231-8A1C-4175-A3A6-72B70DCA2DC4}"/>
    <cellStyle name="SAPBEXHLevel0X 3 2 5" xfId="26912" xr:uid="{00000000-0005-0000-0000-0000006C0000}"/>
    <cellStyle name="SAPBEXHLevel0X 3 2 5 2" xfId="31673" xr:uid="{45C70A8A-9EDA-4049-82A0-D626C137CCE4}"/>
    <cellStyle name="SAPBEXHLevel0X 3 2 6" xfId="29705" xr:uid="{00000000-0005-0000-0000-0000016C0000}"/>
    <cellStyle name="SAPBEXHLevel0X 3 2 7" xfId="30183" xr:uid="{38385C5A-E38D-4916-BC70-FF1CD6562025}"/>
    <cellStyle name="SAPBEXHLevel0X 3 3" xfId="24256" xr:uid="{00000000-0005-0000-0000-0000026C0000}"/>
    <cellStyle name="SAPBEXHLevel0X 3 3 2" xfId="25578" xr:uid="{00000000-0005-0000-0000-0000036C0000}"/>
    <cellStyle name="SAPBEXHLevel0X 3 3 2 2" xfId="27731" xr:uid="{00000000-0005-0000-0000-0000046C0000}"/>
    <cellStyle name="SAPBEXHLevel0X 3 3 2 2 2" xfId="32318" xr:uid="{F746DC66-8725-42D5-84E3-2DC17F68E872}"/>
    <cellStyle name="SAPBEXHLevel0X 3 3 2 3" xfId="28156" xr:uid="{00000000-0005-0000-0000-0000056C0000}"/>
    <cellStyle name="SAPBEXHLevel0X 3 3 2 3 2" xfId="32714" xr:uid="{63709041-ED77-4BF1-A984-5F78DED57327}"/>
    <cellStyle name="SAPBEXHLevel0X 3 3 2 4" xfId="26820" xr:uid="{00000000-0005-0000-0000-0000066C0000}"/>
    <cellStyle name="SAPBEXHLevel0X 3 3 2 4 2" xfId="31581" xr:uid="{6442A844-A2FB-4683-B847-754779FB2C7B}"/>
    <cellStyle name="SAPBEXHLevel0X 3 3 2 5" xfId="29708" xr:uid="{00000000-0005-0000-0000-0000076C0000}"/>
    <cellStyle name="SAPBEXHLevel0X 3 3 3" xfId="27111" xr:uid="{00000000-0005-0000-0000-0000086C0000}"/>
    <cellStyle name="SAPBEXHLevel0X 3 3 3 2" xfId="31829" xr:uid="{889F0F1F-F7C8-413F-830C-663425D54062}"/>
    <cellStyle name="SAPBEXHLevel0X 3 3 4" xfId="28155" xr:uid="{00000000-0005-0000-0000-0000096C0000}"/>
    <cellStyle name="SAPBEXHLevel0X 3 3 4 2" xfId="32713" xr:uid="{360F5929-9AB1-499D-B91B-2C26F2211C1B}"/>
    <cellStyle name="SAPBEXHLevel0X 3 3 5" xfId="26284" xr:uid="{00000000-0005-0000-0000-00000A6C0000}"/>
    <cellStyle name="SAPBEXHLevel0X 3 3 5 2" xfId="31072" xr:uid="{69B4CAF3-76C0-419C-998A-902D1DEBAE88}"/>
    <cellStyle name="SAPBEXHLevel0X 3 3 6" xfId="29707" xr:uid="{00000000-0005-0000-0000-00000B6C0000}"/>
    <cellStyle name="SAPBEXHLevel0X 3 3 7" xfId="30280" xr:uid="{8314221C-2B84-4D68-A462-B4CA456FF1D3}"/>
    <cellStyle name="SAPBEXHLevel0X 3 4" xfId="24664" xr:uid="{00000000-0005-0000-0000-00000C6C0000}"/>
    <cellStyle name="SAPBEXHLevel0X 3 4 2" xfId="25323" xr:uid="{00000000-0005-0000-0000-00000D6C0000}"/>
    <cellStyle name="SAPBEXHLevel0X 3 4 2 2" xfId="27477" xr:uid="{00000000-0005-0000-0000-00000E6C0000}"/>
    <cellStyle name="SAPBEXHLevel0X 3 4 2 2 2" xfId="32068" xr:uid="{6F58EA4A-FEDB-4D64-A82C-1A6DC3EAF16A}"/>
    <cellStyle name="SAPBEXHLevel0X 3 4 2 3" xfId="28158" xr:uid="{00000000-0005-0000-0000-00000F6C0000}"/>
    <cellStyle name="SAPBEXHLevel0X 3 4 2 3 2" xfId="32716" xr:uid="{7F94030D-2073-40F5-87CF-1619FF09674F}"/>
    <cellStyle name="SAPBEXHLevel0X 3 4 2 4" xfId="26108" xr:uid="{00000000-0005-0000-0000-0000106C0000}"/>
    <cellStyle name="SAPBEXHLevel0X 3 4 2 4 2" xfId="30898" xr:uid="{215C7776-6A13-4A81-9DB4-3D53C090D2A3}"/>
    <cellStyle name="SAPBEXHLevel0X 3 4 2 5" xfId="29710" xr:uid="{00000000-0005-0000-0000-0000116C0000}"/>
    <cellStyle name="SAPBEXHLevel0X 3 4 2 6" xfId="30481" xr:uid="{4D5ED1E8-16FC-477A-9F3D-E460DD2C615E}"/>
    <cellStyle name="SAPBEXHLevel0X 3 4 3" xfId="25630" xr:uid="{00000000-0005-0000-0000-0000126C0000}"/>
    <cellStyle name="SAPBEXHLevel0X 3 4 3 2" xfId="27783" xr:uid="{00000000-0005-0000-0000-0000136C0000}"/>
    <cellStyle name="SAPBEXHLevel0X 3 4 3 2 2" xfId="32370" xr:uid="{5422064A-A531-4E1B-B505-6AF204CEF09E}"/>
    <cellStyle name="SAPBEXHLevel0X 3 4 3 3" xfId="28159" xr:uid="{00000000-0005-0000-0000-0000146C0000}"/>
    <cellStyle name="SAPBEXHLevel0X 3 4 3 3 2" xfId="32717" xr:uid="{07D300C8-C5DE-4FA6-9E51-21E80D6487ED}"/>
    <cellStyle name="SAPBEXHLevel0X 3 4 3 4" xfId="26233" xr:uid="{00000000-0005-0000-0000-0000156C0000}"/>
    <cellStyle name="SAPBEXHLevel0X 3 4 3 4 2" xfId="31021" xr:uid="{A2B54D75-A0F9-46EE-9AEE-66163B2BAFA9}"/>
    <cellStyle name="SAPBEXHLevel0X 3 4 3 5" xfId="29711" xr:uid="{00000000-0005-0000-0000-0000166C0000}"/>
    <cellStyle name="SAPBEXHLevel0X 3 4 4" xfId="27257" xr:uid="{00000000-0005-0000-0000-0000176C0000}"/>
    <cellStyle name="SAPBEXHLevel0X 3 4 4 2" xfId="31892" xr:uid="{5BF2E9FC-90D6-4B16-B80B-7FA6F6FD9429}"/>
    <cellStyle name="SAPBEXHLevel0X 3 4 5" xfId="28157" xr:uid="{00000000-0005-0000-0000-0000186C0000}"/>
    <cellStyle name="SAPBEXHLevel0X 3 4 5 2" xfId="32715" xr:uid="{2B993D69-6F96-4242-BF18-71F1D06575A1}"/>
    <cellStyle name="SAPBEXHLevel0X 3 4 6" xfId="26861" xr:uid="{00000000-0005-0000-0000-0000196C0000}"/>
    <cellStyle name="SAPBEXHLevel0X 3 4 6 2" xfId="31622" xr:uid="{F1DF144D-9D6B-4B36-800F-F7D5BBE23B7B}"/>
    <cellStyle name="SAPBEXHLevel0X 3 4 7" xfId="29709" xr:uid="{00000000-0005-0000-0000-00001A6C0000}"/>
    <cellStyle name="SAPBEXHLevel0X 3 4 8" xfId="30332" xr:uid="{A644D2FD-E8D5-4158-A964-3F22DA335423}"/>
    <cellStyle name="SAPBEXHLevel0X 3 5" xfId="25109" xr:uid="{00000000-0005-0000-0000-00001B6C0000}"/>
    <cellStyle name="SAPBEXHLevel0X 3 5 2" xfId="25360" xr:uid="{00000000-0005-0000-0000-00001C6C0000}"/>
    <cellStyle name="SAPBEXHLevel0X 3 5 2 2" xfId="27514" xr:uid="{00000000-0005-0000-0000-00001D6C0000}"/>
    <cellStyle name="SAPBEXHLevel0X 3 5 2 2 2" xfId="32105" xr:uid="{F5D98D43-A400-4385-AAD0-ADB2B396C91F}"/>
    <cellStyle name="SAPBEXHLevel0X 3 5 2 3" xfId="28161" xr:uid="{00000000-0005-0000-0000-00001E6C0000}"/>
    <cellStyle name="SAPBEXHLevel0X 3 5 2 3 2" xfId="32719" xr:uid="{F59F4520-3B58-43F6-9275-FDD814EAD842}"/>
    <cellStyle name="SAPBEXHLevel0X 3 5 2 4" xfId="26933" xr:uid="{00000000-0005-0000-0000-00001F6C0000}"/>
    <cellStyle name="SAPBEXHLevel0X 3 5 2 4 2" xfId="31694" xr:uid="{423238F5-5F9C-43DB-BE31-7AD3DD67AA23}"/>
    <cellStyle name="SAPBEXHLevel0X 3 5 2 5" xfId="29713" xr:uid="{00000000-0005-0000-0000-0000206C0000}"/>
    <cellStyle name="SAPBEXHLevel0X 3 5 2 6" xfId="30518" xr:uid="{141B03A0-2312-4EB4-8756-B4CC0C4FED11}"/>
    <cellStyle name="SAPBEXHLevel0X 3 5 3" xfId="25707" xr:uid="{00000000-0005-0000-0000-0000216C0000}"/>
    <cellStyle name="SAPBEXHLevel0X 3 5 3 2" xfId="27860" xr:uid="{00000000-0005-0000-0000-0000226C0000}"/>
    <cellStyle name="SAPBEXHLevel0X 3 5 3 2 2" xfId="32447" xr:uid="{83F92B81-CE82-43EB-9718-B62886F50221}"/>
    <cellStyle name="SAPBEXHLevel0X 3 5 3 3" xfId="28162" xr:uid="{00000000-0005-0000-0000-0000236C0000}"/>
    <cellStyle name="SAPBEXHLevel0X 3 5 3 3 2" xfId="32720" xr:uid="{8F050246-94F5-4599-9F33-8E128335668F}"/>
    <cellStyle name="SAPBEXHLevel0X 3 5 3 4" xfId="26090" xr:uid="{00000000-0005-0000-0000-0000246C0000}"/>
    <cellStyle name="SAPBEXHLevel0X 3 5 3 4 2" xfId="30880" xr:uid="{8763D03B-2C9D-4490-BB60-69FD9C19062A}"/>
    <cellStyle name="SAPBEXHLevel0X 3 5 3 5" xfId="29714" xr:uid="{00000000-0005-0000-0000-0000256C0000}"/>
    <cellStyle name="SAPBEXHLevel0X 3 5 3 6" xfId="30701" xr:uid="{8F4530B2-89EF-44EF-965E-76266C4D5893}"/>
    <cellStyle name="SAPBEXHLevel0X 3 5 4" xfId="27394" xr:uid="{00000000-0005-0000-0000-0000266C0000}"/>
    <cellStyle name="SAPBEXHLevel0X 3 5 4 2" xfId="31992" xr:uid="{11577B88-9FD9-4235-8DBC-4C2DE32BF00A}"/>
    <cellStyle name="SAPBEXHLevel0X 3 5 5" xfId="28160" xr:uid="{00000000-0005-0000-0000-0000276C0000}"/>
    <cellStyle name="SAPBEXHLevel0X 3 5 5 2" xfId="32718" xr:uid="{F8DDC203-5AC0-4BF6-9F85-9A059A2BFF0F}"/>
    <cellStyle name="SAPBEXHLevel0X 3 5 6" xfId="26174" xr:uid="{00000000-0005-0000-0000-0000286C0000}"/>
    <cellStyle name="SAPBEXHLevel0X 3 5 6 2" xfId="30963" xr:uid="{042775CD-D55C-4927-8ED7-4A2A520E6AD0}"/>
    <cellStyle name="SAPBEXHLevel0X 3 5 7" xfId="29712" xr:uid="{00000000-0005-0000-0000-0000296C0000}"/>
    <cellStyle name="SAPBEXHLevel0X 3 5 8" xfId="30409" xr:uid="{5C1A3400-EE1F-4C2B-B5C8-FECBDEFE12C2}"/>
    <cellStyle name="SAPBEXHLevel0X 3 6" xfId="25840" xr:uid="{00000000-0005-0000-0000-00002A6C0000}"/>
    <cellStyle name="SAPBEXHLevel0X 3 6 2" xfId="30759" xr:uid="{D4E26520-195B-48BB-8363-A5D5FDF34349}"/>
    <cellStyle name="SAPBEXHLevel0X 3 7" xfId="28152" xr:uid="{00000000-0005-0000-0000-00002B6C0000}"/>
    <cellStyle name="SAPBEXHLevel0X 3 7 2" xfId="32710" xr:uid="{DCA11ED5-9CC7-4116-A5A3-6DC4515AFA9B}"/>
    <cellStyle name="SAPBEXHLevel0X 3 8" xfId="26691" xr:uid="{00000000-0005-0000-0000-00002C6C0000}"/>
    <cellStyle name="SAPBEXHLevel0X 3 8 2" xfId="31453" xr:uid="{68C74980-1C47-4975-96D5-5047E9D9DC76}"/>
    <cellStyle name="SAPBEXHLevel0X 3 9" xfId="29704" xr:uid="{00000000-0005-0000-0000-00002D6C0000}"/>
    <cellStyle name="SAPBEXHLevel0X 4" xfId="110" xr:uid="{00000000-0005-0000-0000-00002E6C0000}"/>
    <cellStyle name="SAPBEXHLevel0X 4 2" xfId="13644" xr:uid="{00000000-0005-0000-0000-00002F6C0000}"/>
    <cellStyle name="SAPBEXHLevel0X 4 2 2" xfId="25482" xr:uid="{00000000-0005-0000-0000-0000306C0000}"/>
    <cellStyle name="SAPBEXHLevel0X 4 2 2 2" xfId="27635" xr:uid="{00000000-0005-0000-0000-0000316C0000}"/>
    <cellStyle name="SAPBEXHLevel0X 4 2 2 2 2" xfId="32222" xr:uid="{FA8AA0AF-2861-48AA-A1A8-3BACC06826CA}"/>
    <cellStyle name="SAPBEXHLevel0X 4 2 2 3" xfId="28165" xr:uid="{00000000-0005-0000-0000-0000326C0000}"/>
    <cellStyle name="SAPBEXHLevel0X 4 2 2 3 2" xfId="32723" xr:uid="{233EAD91-3FE9-49CE-99CA-E99F4B4174D1}"/>
    <cellStyle name="SAPBEXHLevel0X 4 2 2 4" xfId="26404" xr:uid="{00000000-0005-0000-0000-0000336C0000}"/>
    <cellStyle name="SAPBEXHLevel0X 4 2 2 4 2" xfId="31192" xr:uid="{1958C63F-6DF8-4D5D-80CE-8FB25682B14F}"/>
    <cellStyle name="SAPBEXHLevel0X 4 2 2 5" xfId="29717" xr:uid="{00000000-0005-0000-0000-0000346C0000}"/>
    <cellStyle name="SAPBEXHLevel0X 4 2 3" xfId="26586" xr:uid="{00000000-0005-0000-0000-0000356C0000}"/>
    <cellStyle name="SAPBEXHLevel0X 4 2 3 2" xfId="31364" xr:uid="{A918EF35-676E-49BC-98E5-85348B6CEF24}"/>
    <cellStyle name="SAPBEXHLevel0X 4 2 4" xfId="28164" xr:uid="{00000000-0005-0000-0000-0000366C0000}"/>
    <cellStyle name="SAPBEXHLevel0X 4 2 4 2" xfId="32722" xr:uid="{CA44422A-0218-4E58-9EE1-DF46C9C0570F}"/>
    <cellStyle name="SAPBEXHLevel0X 4 2 5" xfId="26515" xr:uid="{00000000-0005-0000-0000-0000376C0000}"/>
    <cellStyle name="SAPBEXHLevel0X 4 2 5 2" xfId="31303" xr:uid="{5711678B-9BBA-44E1-A017-DFF8A13E5C35}"/>
    <cellStyle name="SAPBEXHLevel0X 4 2 6" xfId="29716" xr:uid="{00000000-0005-0000-0000-0000386C0000}"/>
    <cellStyle name="SAPBEXHLevel0X 4 2 7" xfId="30184" xr:uid="{44EEE5C5-27E8-4658-8C2A-3CF8EAAB2B9C}"/>
    <cellStyle name="SAPBEXHLevel0X 4 3" xfId="25841" xr:uid="{00000000-0005-0000-0000-0000396C0000}"/>
    <cellStyle name="SAPBEXHLevel0X 4 3 2" xfId="30760" xr:uid="{B0685478-9D5B-4E5C-AC3B-BD0E61444379}"/>
    <cellStyle name="SAPBEXHLevel0X 4 4" xfId="28163" xr:uid="{00000000-0005-0000-0000-00003A6C0000}"/>
    <cellStyle name="SAPBEXHLevel0X 4 4 2" xfId="32721" xr:uid="{A6D7DCB6-8E7C-4857-9534-62C0A1FCAE9D}"/>
    <cellStyle name="SAPBEXHLevel0X 4 5" xfId="26761" xr:uid="{00000000-0005-0000-0000-00003B6C0000}"/>
    <cellStyle name="SAPBEXHLevel0X 4 5 2" xfId="31522" xr:uid="{70895AE1-0702-44EE-A4C9-8072C84053AA}"/>
    <cellStyle name="SAPBEXHLevel0X 4 6" xfId="29715" xr:uid="{00000000-0005-0000-0000-00003C6C0000}"/>
    <cellStyle name="SAPBEXHLevel0X 5" xfId="251" xr:uid="{00000000-0005-0000-0000-00003D6C0000}"/>
    <cellStyle name="SAPBEXHLevel0X 5 2" xfId="13716" xr:uid="{00000000-0005-0000-0000-00003E6C0000}"/>
    <cellStyle name="SAPBEXHLevel0X 5 2 2" xfId="25529" xr:uid="{00000000-0005-0000-0000-00003F6C0000}"/>
    <cellStyle name="SAPBEXHLevel0X 5 2 2 2" xfId="27682" xr:uid="{00000000-0005-0000-0000-0000406C0000}"/>
    <cellStyle name="SAPBEXHLevel0X 5 2 2 2 2" xfId="32269" xr:uid="{2D344B63-AE75-4FDC-A7F6-AFB067120F27}"/>
    <cellStyle name="SAPBEXHLevel0X 5 2 2 3" xfId="28168" xr:uid="{00000000-0005-0000-0000-0000416C0000}"/>
    <cellStyle name="SAPBEXHLevel0X 5 2 2 3 2" xfId="32726" xr:uid="{A4FD64D4-2F03-4A4F-9B4C-94336AEA5EBA}"/>
    <cellStyle name="SAPBEXHLevel0X 5 2 2 4" xfId="26279" xr:uid="{00000000-0005-0000-0000-0000426C0000}"/>
    <cellStyle name="SAPBEXHLevel0X 5 2 2 4 2" xfId="31067" xr:uid="{6BB8E393-45DA-454D-8E00-54DDDD4A1036}"/>
    <cellStyle name="SAPBEXHLevel0X 5 2 2 5" xfId="29720" xr:uid="{00000000-0005-0000-0000-0000436C0000}"/>
    <cellStyle name="SAPBEXHLevel0X 5 2 3" xfId="26636" xr:uid="{00000000-0005-0000-0000-0000446C0000}"/>
    <cellStyle name="SAPBEXHLevel0X 5 2 3 2" xfId="31413" xr:uid="{18F126E4-1137-41FB-8D39-AA59B7F836F9}"/>
    <cellStyle name="SAPBEXHLevel0X 5 2 4" xfId="28167" xr:uid="{00000000-0005-0000-0000-0000456C0000}"/>
    <cellStyle name="SAPBEXHLevel0X 5 2 4 2" xfId="32725" xr:uid="{5C99CABF-1F45-4199-B047-D57448C19D9F}"/>
    <cellStyle name="SAPBEXHLevel0X 5 2 5" xfId="26474" xr:uid="{00000000-0005-0000-0000-0000466C0000}"/>
    <cellStyle name="SAPBEXHLevel0X 5 2 5 2" xfId="31262" xr:uid="{240135D7-49E6-4FE4-86B9-6682B8FDD8C7}"/>
    <cellStyle name="SAPBEXHLevel0X 5 2 6" xfId="29719" xr:uid="{00000000-0005-0000-0000-0000476C0000}"/>
    <cellStyle name="SAPBEXHLevel0X 5 2 7" xfId="30231" xr:uid="{85623948-A7F6-413D-8949-41DBFF98B275}"/>
    <cellStyle name="SAPBEXHLevel0X 5 3" xfId="25919" xr:uid="{00000000-0005-0000-0000-0000486C0000}"/>
    <cellStyle name="SAPBEXHLevel0X 5 3 2" xfId="30808" xr:uid="{3BE948F4-1187-4CD2-B7FF-BEE04AE52BD7}"/>
    <cellStyle name="SAPBEXHLevel0X 5 4" xfId="28166" xr:uid="{00000000-0005-0000-0000-0000496C0000}"/>
    <cellStyle name="SAPBEXHLevel0X 5 4 2" xfId="32724" xr:uid="{CC380193-7035-4594-8A42-931D00053EEB}"/>
    <cellStyle name="SAPBEXHLevel0X 5 5" xfId="27100" xr:uid="{00000000-0005-0000-0000-00004A6C0000}"/>
    <cellStyle name="SAPBEXHLevel0X 5 5 2" xfId="31824" xr:uid="{17473B1E-099A-4660-809C-D0F7B631E7F3}"/>
    <cellStyle name="SAPBEXHLevel0X 5 6" xfId="29718" xr:uid="{00000000-0005-0000-0000-00004B6C0000}"/>
    <cellStyle name="SAPBEXHLevel0X 6" xfId="13641" xr:uid="{00000000-0005-0000-0000-00004C6C0000}"/>
    <cellStyle name="SAPBEXHLevel0X 6 2" xfId="25479" xr:uid="{00000000-0005-0000-0000-00004D6C0000}"/>
    <cellStyle name="SAPBEXHLevel0X 6 2 2" xfId="27632" xr:uid="{00000000-0005-0000-0000-00004E6C0000}"/>
    <cellStyle name="SAPBEXHLevel0X 6 2 2 2" xfId="32219" xr:uid="{2DEF0C49-B7E0-49B2-933D-0A9AA4BEE1DE}"/>
    <cellStyle name="SAPBEXHLevel0X 6 2 3" xfId="28170" xr:uid="{00000000-0005-0000-0000-00004F6C0000}"/>
    <cellStyle name="SAPBEXHLevel0X 6 2 3 2" xfId="32728" xr:uid="{ED7653B8-A3D7-4DFF-90EC-6622F9DBE3F4}"/>
    <cellStyle name="SAPBEXHLevel0X 6 2 4" xfId="26081" xr:uid="{00000000-0005-0000-0000-0000506C0000}"/>
    <cellStyle name="SAPBEXHLevel0X 6 2 4 2" xfId="30871" xr:uid="{FFDB6787-5F75-4DC4-A166-0E2E2C54233F}"/>
    <cellStyle name="SAPBEXHLevel0X 6 2 5" xfId="29722" xr:uid="{00000000-0005-0000-0000-0000516C0000}"/>
    <cellStyle name="SAPBEXHLevel0X 6 3" xfId="26583" xr:uid="{00000000-0005-0000-0000-0000526C0000}"/>
    <cellStyle name="SAPBEXHLevel0X 6 3 2" xfId="31361" xr:uid="{097A0261-233A-4F56-A4C0-20CC465F8583}"/>
    <cellStyle name="SAPBEXHLevel0X 6 4" xfId="28169" xr:uid="{00000000-0005-0000-0000-0000536C0000}"/>
    <cellStyle name="SAPBEXHLevel0X 6 4 2" xfId="32727" xr:uid="{291CF64F-53E6-4AF3-8E92-7CF0712DEBFE}"/>
    <cellStyle name="SAPBEXHLevel0X 6 5" xfId="26069" xr:uid="{00000000-0005-0000-0000-0000546C0000}"/>
    <cellStyle name="SAPBEXHLevel0X 6 5 2" xfId="30859" xr:uid="{4E2A7C1C-3BF3-43EE-B034-6E0BB8F91FC6}"/>
    <cellStyle name="SAPBEXHLevel0X 6 6" xfId="29721" xr:uid="{00000000-0005-0000-0000-0000556C0000}"/>
    <cellStyle name="SAPBEXHLevel0X 6 7" xfId="30181" xr:uid="{9B359903-B282-4615-9A95-FC096C07A9F3}"/>
    <cellStyle name="SAPBEXHLevel0X 7" xfId="24666" xr:uid="{00000000-0005-0000-0000-0000566C0000}"/>
    <cellStyle name="SAPBEXHLevel0X 7 2" xfId="25340" xr:uid="{00000000-0005-0000-0000-0000576C0000}"/>
    <cellStyle name="SAPBEXHLevel0X 7 2 2" xfId="27494" xr:uid="{00000000-0005-0000-0000-0000586C0000}"/>
    <cellStyle name="SAPBEXHLevel0X 7 2 2 2" xfId="32085" xr:uid="{2510A1D4-5003-43A5-BE00-FD8DF602B1D9}"/>
    <cellStyle name="SAPBEXHLevel0X 7 2 3" xfId="28172" xr:uid="{00000000-0005-0000-0000-0000596C0000}"/>
    <cellStyle name="SAPBEXHLevel0X 7 2 3 2" xfId="32730" xr:uid="{A5AF1248-62B9-4320-A71D-BD57E541C42E}"/>
    <cellStyle name="SAPBEXHLevel0X 7 2 4" xfId="26884" xr:uid="{00000000-0005-0000-0000-00005A6C0000}"/>
    <cellStyle name="SAPBEXHLevel0X 7 2 4 2" xfId="31645" xr:uid="{BB297D5C-BCF3-4BBC-9146-176485DAA169}"/>
    <cellStyle name="SAPBEXHLevel0X 7 2 5" xfId="29724" xr:uid="{00000000-0005-0000-0000-00005B6C0000}"/>
    <cellStyle name="SAPBEXHLevel0X 7 2 6" xfId="30498" xr:uid="{A098A655-E8E9-485B-81C2-A67A5881CEF6}"/>
    <cellStyle name="SAPBEXHLevel0X 7 3" xfId="25632" xr:uid="{00000000-0005-0000-0000-00005C6C0000}"/>
    <cellStyle name="SAPBEXHLevel0X 7 3 2" xfId="27785" xr:uid="{00000000-0005-0000-0000-00005D6C0000}"/>
    <cellStyle name="SAPBEXHLevel0X 7 3 2 2" xfId="32372" xr:uid="{51239595-D2D8-4976-83FE-1B3E72D6DEC5}"/>
    <cellStyle name="SAPBEXHLevel0X 7 3 3" xfId="28173" xr:uid="{00000000-0005-0000-0000-00005E6C0000}"/>
    <cellStyle name="SAPBEXHLevel0X 7 3 3 2" xfId="32731" xr:uid="{7D7D8214-B2BF-48F0-B301-C0BFEF77583F}"/>
    <cellStyle name="SAPBEXHLevel0X 7 3 4" xfId="26925" xr:uid="{00000000-0005-0000-0000-00005F6C0000}"/>
    <cellStyle name="SAPBEXHLevel0X 7 3 4 2" xfId="31686" xr:uid="{B07262F5-43B8-4852-AC62-4D6AF865889B}"/>
    <cellStyle name="SAPBEXHLevel0X 7 3 5" xfId="29725" xr:uid="{00000000-0005-0000-0000-0000606C0000}"/>
    <cellStyle name="SAPBEXHLevel0X 7 4" xfId="27259" xr:uid="{00000000-0005-0000-0000-0000616C0000}"/>
    <cellStyle name="SAPBEXHLevel0X 7 4 2" xfId="31894" xr:uid="{E6942AE5-CD7F-43F0-B26A-211B2F7CAF7F}"/>
    <cellStyle name="SAPBEXHLevel0X 7 5" xfId="28171" xr:uid="{00000000-0005-0000-0000-0000626C0000}"/>
    <cellStyle name="SAPBEXHLevel0X 7 5 2" xfId="32729" xr:uid="{DDE1713C-8C3B-41A8-93F3-E96793E6BB66}"/>
    <cellStyle name="SAPBEXHLevel0X 7 6" xfId="26827" xr:uid="{00000000-0005-0000-0000-0000636C0000}"/>
    <cellStyle name="SAPBEXHLevel0X 7 6 2" xfId="31588" xr:uid="{389506C8-B75E-4DE3-BAAB-1EBF472F955D}"/>
    <cellStyle name="SAPBEXHLevel0X 7 7" xfId="29723" xr:uid="{00000000-0005-0000-0000-0000646C0000}"/>
    <cellStyle name="SAPBEXHLevel0X 7 8" xfId="30334" xr:uid="{6B435508-BDB5-4AEA-B2B5-4CB138BEB518}"/>
    <cellStyle name="SAPBEXHLevel0X 8" xfId="25107" xr:uid="{00000000-0005-0000-0000-0000656C0000}"/>
    <cellStyle name="SAPBEXHLevel0X 8 2" xfId="25345" xr:uid="{00000000-0005-0000-0000-0000666C0000}"/>
    <cellStyle name="SAPBEXHLevel0X 8 2 2" xfId="27499" xr:uid="{00000000-0005-0000-0000-0000676C0000}"/>
    <cellStyle name="SAPBEXHLevel0X 8 2 2 2" xfId="32090" xr:uid="{834DE9E7-8742-4D2A-9AEE-9B2FC07E14C5}"/>
    <cellStyle name="SAPBEXHLevel0X 8 2 3" xfId="28175" xr:uid="{00000000-0005-0000-0000-0000686C0000}"/>
    <cellStyle name="SAPBEXHLevel0X 8 2 3 2" xfId="32733" xr:uid="{D976D29E-8B73-47EC-B15E-9C9C96CF6B1C}"/>
    <cellStyle name="SAPBEXHLevel0X 8 2 4" xfId="26880" xr:uid="{00000000-0005-0000-0000-0000696C0000}"/>
    <cellStyle name="SAPBEXHLevel0X 8 2 4 2" xfId="31641" xr:uid="{C6DA789A-0188-4E0D-83E8-7D30E4E32F11}"/>
    <cellStyle name="SAPBEXHLevel0X 8 2 5" xfId="29727" xr:uid="{00000000-0005-0000-0000-00006A6C0000}"/>
    <cellStyle name="SAPBEXHLevel0X 8 2 6" xfId="30503" xr:uid="{678118E3-6C7F-46A8-BBB6-0661A4177810}"/>
    <cellStyle name="SAPBEXHLevel0X 8 3" xfId="25705" xr:uid="{00000000-0005-0000-0000-00006B6C0000}"/>
    <cellStyle name="SAPBEXHLevel0X 8 3 2" xfId="27858" xr:uid="{00000000-0005-0000-0000-00006C6C0000}"/>
    <cellStyle name="SAPBEXHLevel0X 8 3 2 2" xfId="32445" xr:uid="{25D50D69-590C-4542-ABE3-554C0E4E8B1C}"/>
    <cellStyle name="SAPBEXHLevel0X 8 3 3" xfId="28176" xr:uid="{00000000-0005-0000-0000-00006D6C0000}"/>
    <cellStyle name="SAPBEXHLevel0X 8 3 3 2" xfId="32734" xr:uid="{3D745FB5-282F-4BD1-8A63-82FB137F6EB4}"/>
    <cellStyle name="SAPBEXHLevel0X 8 3 4" xfId="26264" xr:uid="{00000000-0005-0000-0000-00006E6C0000}"/>
    <cellStyle name="SAPBEXHLevel0X 8 3 4 2" xfId="31052" xr:uid="{04AA47A5-EBE8-4871-BC24-D9A34B27E01C}"/>
    <cellStyle name="SAPBEXHLevel0X 8 3 5" xfId="29728" xr:uid="{00000000-0005-0000-0000-00006F6C0000}"/>
    <cellStyle name="SAPBEXHLevel0X 8 3 6" xfId="30699" xr:uid="{FC6D1F86-5390-4172-9FF6-41901158B0A1}"/>
    <cellStyle name="SAPBEXHLevel0X 8 4" xfId="27392" xr:uid="{00000000-0005-0000-0000-0000706C0000}"/>
    <cellStyle name="SAPBEXHLevel0X 8 4 2" xfId="31990" xr:uid="{9A0D3281-A4A8-409E-8BD4-4378661193A2}"/>
    <cellStyle name="SAPBEXHLevel0X 8 5" xfId="28174" xr:uid="{00000000-0005-0000-0000-0000716C0000}"/>
    <cellStyle name="SAPBEXHLevel0X 8 5 2" xfId="32732" xr:uid="{B5402E2C-5FDC-4A10-AA3E-62AA613FF1C8}"/>
    <cellStyle name="SAPBEXHLevel0X 8 6" xfId="26111" xr:uid="{00000000-0005-0000-0000-0000726C0000}"/>
    <cellStyle name="SAPBEXHLevel0X 8 6 2" xfId="30901" xr:uid="{2F09EA3F-8055-445B-8CD0-1CC67F59C062}"/>
    <cellStyle name="SAPBEXHLevel0X 8 7" xfId="29726" xr:uid="{00000000-0005-0000-0000-0000736C0000}"/>
    <cellStyle name="SAPBEXHLevel0X 8 8" xfId="30407" xr:uid="{523FF7FA-57A0-4188-B745-6F27D7490531}"/>
    <cellStyle name="SAPBEXHLevel0X 9" xfId="25838" xr:uid="{00000000-0005-0000-0000-0000746C0000}"/>
    <cellStyle name="SAPBEXHLevel0X 9 2" xfId="30757" xr:uid="{C49C4BA4-AC42-40A0-B920-349A4428373A}"/>
    <cellStyle name="SAPBEXHLevel1" xfId="111" xr:uid="{00000000-0005-0000-0000-0000756C0000}"/>
    <cellStyle name="SAPBEXHLevel1 10" xfId="28177" xr:uid="{00000000-0005-0000-0000-0000766C0000}"/>
    <cellStyle name="SAPBEXHLevel1 10 2" xfId="32735" xr:uid="{37F3A5AF-0A15-4A23-8425-2C49646877DC}"/>
    <cellStyle name="SAPBEXHLevel1 11" xfId="26237" xr:uid="{00000000-0005-0000-0000-0000776C0000}"/>
    <cellStyle name="SAPBEXHLevel1 11 2" xfId="31025" xr:uid="{2E2E0EB5-33E7-4DAD-88F8-AC3EB45D31E8}"/>
    <cellStyle name="SAPBEXHLevel1 12" xfId="29729" xr:uid="{00000000-0005-0000-0000-0000786C0000}"/>
    <cellStyle name="SAPBEXHLevel1 2" xfId="112" xr:uid="{00000000-0005-0000-0000-0000796C0000}"/>
    <cellStyle name="SAPBEXHLevel1 2 2" xfId="13646" xr:uid="{00000000-0005-0000-0000-00007A6C0000}"/>
    <cellStyle name="SAPBEXHLevel1 2 2 2" xfId="25484" xr:uid="{00000000-0005-0000-0000-00007B6C0000}"/>
    <cellStyle name="SAPBEXHLevel1 2 2 2 2" xfId="27637" xr:uid="{00000000-0005-0000-0000-00007C6C0000}"/>
    <cellStyle name="SAPBEXHLevel1 2 2 2 2 2" xfId="32224" xr:uid="{DFC5A54A-443D-4DF0-94D6-6B1E2F82958B}"/>
    <cellStyle name="SAPBEXHLevel1 2 2 2 3" xfId="28180" xr:uid="{00000000-0005-0000-0000-00007D6C0000}"/>
    <cellStyle name="SAPBEXHLevel1 2 2 2 3 2" xfId="32738" xr:uid="{6CB7EB5E-9A35-49F6-8681-B48EA59DBFE2}"/>
    <cellStyle name="SAPBEXHLevel1 2 2 2 4" xfId="26132" xr:uid="{00000000-0005-0000-0000-00007E6C0000}"/>
    <cellStyle name="SAPBEXHLevel1 2 2 2 4 2" xfId="30922" xr:uid="{0AC7EB48-D657-4E5F-B1D2-9B73FF0EF68A}"/>
    <cellStyle name="SAPBEXHLevel1 2 2 2 5" xfId="29732" xr:uid="{00000000-0005-0000-0000-00007F6C0000}"/>
    <cellStyle name="SAPBEXHLevel1 2 2 3" xfId="26588" xr:uid="{00000000-0005-0000-0000-0000806C0000}"/>
    <cellStyle name="SAPBEXHLevel1 2 2 3 2" xfId="31366" xr:uid="{13864618-243F-4E99-AAF5-FA569E630D83}"/>
    <cellStyle name="SAPBEXHLevel1 2 2 4" xfId="28179" xr:uid="{00000000-0005-0000-0000-0000816C0000}"/>
    <cellStyle name="SAPBEXHLevel1 2 2 4 2" xfId="32737" xr:uid="{A6ABC6E5-E31A-4C8D-9188-94C8C2D5146A}"/>
    <cellStyle name="SAPBEXHLevel1 2 2 5" xfId="26550" xr:uid="{00000000-0005-0000-0000-0000826C0000}"/>
    <cellStyle name="SAPBEXHLevel1 2 2 5 2" xfId="31337" xr:uid="{B7375025-1182-4248-89B6-7C6FD542E755}"/>
    <cellStyle name="SAPBEXHLevel1 2 2 6" xfId="29731" xr:uid="{00000000-0005-0000-0000-0000836C0000}"/>
    <cellStyle name="SAPBEXHLevel1 2 2 7" xfId="30186" xr:uid="{6DA7BEC0-59EF-4ACD-8A71-8BB4085291C0}"/>
    <cellStyle name="SAPBEXHLevel1 2 3" xfId="24257" xr:uid="{00000000-0005-0000-0000-0000846C0000}"/>
    <cellStyle name="SAPBEXHLevel1 2 3 2" xfId="25579" xr:uid="{00000000-0005-0000-0000-0000856C0000}"/>
    <cellStyle name="SAPBEXHLevel1 2 3 2 2" xfId="27732" xr:uid="{00000000-0005-0000-0000-0000866C0000}"/>
    <cellStyle name="SAPBEXHLevel1 2 3 2 2 2" xfId="32319" xr:uid="{3593C65A-BD20-4AFC-A12B-8A5CE504E339}"/>
    <cellStyle name="SAPBEXHLevel1 2 3 2 3" xfId="28182" xr:uid="{00000000-0005-0000-0000-0000876C0000}"/>
    <cellStyle name="SAPBEXHLevel1 2 3 2 3 2" xfId="32740" xr:uid="{AC585BD9-7EE7-4B2F-9778-5597CBC9AE6C}"/>
    <cellStyle name="SAPBEXHLevel1 2 3 2 4" xfId="26511" xr:uid="{00000000-0005-0000-0000-0000886C0000}"/>
    <cellStyle name="SAPBEXHLevel1 2 3 2 4 2" xfId="31299" xr:uid="{4E557B10-347B-4683-BBF5-D2D143A244B6}"/>
    <cellStyle name="SAPBEXHLevel1 2 3 2 5" xfId="29734" xr:uid="{00000000-0005-0000-0000-0000896C0000}"/>
    <cellStyle name="SAPBEXHLevel1 2 3 3" xfId="27112" xr:uid="{00000000-0005-0000-0000-00008A6C0000}"/>
    <cellStyle name="SAPBEXHLevel1 2 3 3 2" xfId="31830" xr:uid="{E4F4A20C-67D9-4126-9C77-A3B1C410DD78}"/>
    <cellStyle name="SAPBEXHLevel1 2 3 4" xfId="28181" xr:uid="{00000000-0005-0000-0000-00008B6C0000}"/>
    <cellStyle name="SAPBEXHLevel1 2 3 4 2" xfId="32739" xr:uid="{FCDDB992-686E-4B5B-924A-FE64F39CD009}"/>
    <cellStyle name="SAPBEXHLevel1 2 3 5" xfId="26037" xr:uid="{00000000-0005-0000-0000-00008C6C0000}"/>
    <cellStyle name="SAPBEXHLevel1 2 3 5 2" xfId="30838" xr:uid="{C36C8373-0240-41E3-B0E1-1C78CD678D2A}"/>
    <cellStyle name="SAPBEXHLevel1 2 3 6" xfId="29733" xr:uid="{00000000-0005-0000-0000-00008D6C0000}"/>
    <cellStyle name="SAPBEXHLevel1 2 3 7" xfId="30281" xr:uid="{DF3EC625-0F63-423D-960E-BE79309EF40A}"/>
    <cellStyle name="SAPBEXHLevel1 2 4" xfId="24662" xr:uid="{00000000-0005-0000-0000-00008E6C0000}"/>
    <cellStyle name="SAPBEXHLevel1 2 4 2" xfId="25308" xr:uid="{00000000-0005-0000-0000-00008F6C0000}"/>
    <cellStyle name="SAPBEXHLevel1 2 4 2 2" xfId="27462" xr:uid="{00000000-0005-0000-0000-0000906C0000}"/>
    <cellStyle name="SAPBEXHLevel1 2 4 2 2 2" xfId="32054" xr:uid="{8A7FBA83-8AC8-48C4-8AE6-6D796304B853}"/>
    <cellStyle name="SAPBEXHLevel1 2 4 2 3" xfId="28184" xr:uid="{00000000-0005-0000-0000-0000916C0000}"/>
    <cellStyle name="SAPBEXHLevel1 2 4 2 3 2" xfId="32742" xr:uid="{241F142A-8C59-4962-81A7-229D9548B3FB}"/>
    <cellStyle name="SAPBEXHLevel1 2 4 2 4" xfId="26999" xr:uid="{00000000-0005-0000-0000-0000926C0000}"/>
    <cellStyle name="SAPBEXHLevel1 2 4 2 4 2" xfId="31760" xr:uid="{5DF48B92-0B12-4BF5-A80F-355711F1DAB2}"/>
    <cellStyle name="SAPBEXHLevel1 2 4 2 5" xfId="29736" xr:uid="{00000000-0005-0000-0000-0000936C0000}"/>
    <cellStyle name="SAPBEXHLevel1 2 4 2 6" xfId="30467" xr:uid="{83E894F2-3052-4D51-9900-CB4728E161C8}"/>
    <cellStyle name="SAPBEXHLevel1 2 4 3" xfId="25628" xr:uid="{00000000-0005-0000-0000-0000946C0000}"/>
    <cellStyle name="SAPBEXHLevel1 2 4 3 2" xfId="27781" xr:uid="{00000000-0005-0000-0000-0000956C0000}"/>
    <cellStyle name="SAPBEXHLevel1 2 4 3 2 2" xfId="32368" xr:uid="{5A62E6A9-3593-4059-B29A-4EC70F90CEC0}"/>
    <cellStyle name="SAPBEXHLevel1 2 4 3 3" xfId="28185" xr:uid="{00000000-0005-0000-0000-0000966C0000}"/>
    <cellStyle name="SAPBEXHLevel1 2 4 3 3 2" xfId="32743" xr:uid="{90158B03-5E5E-4EC9-997D-17895142E36A}"/>
    <cellStyle name="SAPBEXHLevel1 2 4 3 4" xfId="26885" xr:uid="{00000000-0005-0000-0000-0000976C0000}"/>
    <cellStyle name="SAPBEXHLevel1 2 4 3 4 2" xfId="31646" xr:uid="{AC025541-845B-4094-8348-D3E988EF9CE0}"/>
    <cellStyle name="SAPBEXHLevel1 2 4 3 5" xfId="29737" xr:uid="{00000000-0005-0000-0000-0000986C0000}"/>
    <cellStyle name="SAPBEXHLevel1 2 4 4" xfId="27255" xr:uid="{00000000-0005-0000-0000-0000996C0000}"/>
    <cellStyle name="SAPBEXHLevel1 2 4 4 2" xfId="31890" xr:uid="{5910CF6A-1FFB-45B6-A101-6D96F5830DFF}"/>
    <cellStyle name="SAPBEXHLevel1 2 4 5" xfId="28183" xr:uid="{00000000-0005-0000-0000-00009A6C0000}"/>
    <cellStyle name="SAPBEXHLevel1 2 4 5 2" xfId="32741" xr:uid="{8F4F928E-C2A5-4D8C-8472-F4F18D43E841}"/>
    <cellStyle name="SAPBEXHLevel1 2 4 6" xfId="26924" xr:uid="{00000000-0005-0000-0000-00009B6C0000}"/>
    <cellStyle name="SAPBEXHLevel1 2 4 6 2" xfId="31685" xr:uid="{5640BF9D-E594-4E3B-A0E7-C7B774BDED35}"/>
    <cellStyle name="SAPBEXHLevel1 2 4 7" xfId="29735" xr:uid="{00000000-0005-0000-0000-00009C6C0000}"/>
    <cellStyle name="SAPBEXHLevel1 2 4 8" xfId="30330" xr:uid="{8B84CE7C-F10F-4B96-A279-686E6CCA28F1}"/>
    <cellStyle name="SAPBEXHLevel1 2 5" xfId="25111" xr:uid="{00000000-0005-0000-0000-00009D6C0000}"/>
    <cellStyle name="SAPBEXHLevel1 2 5 2" xfId="25283" xr:uid="{00000000-0005-0000-0000-00009E6C0000}"/>
    <cellStyle name="SAPBEXHLevel1 2 5 2 2" xfId="27438" xr:uid="{00000000-0005-0000-0000-00009F6C0000}"/>
    <cellStyle name="SAPBEXHLevel1 2 5 2 2 2" xfId="32033" xr:uid="{6CCD872E-78C7-4454-8AD9-C742E2304ED5}"/>
    <cellStyle name="SAPBEXHLevel1 2 5 2 3" xfId="28187" xr:uid="{00000000-0005-0000-0000-0000A06C0000}"/>
    <cellStyle name="SAPBEXHLevel1 2 5 2 3 2" xfId="32745" xr:uid="{5CB14505-6043-4910-87BD-6DA93BBAF85E}"/>
    <cellStyle name="SAPBEXHLevel1 2 5 2 4" xfId="27360" xr:uid="{00000000-0005-0000-0000-0000A16C0000}"/>
    <cellStyle name="SAPBEXHLevel1 2 5 2 4 2" xfId="31958" xr:uid="{FFBBF117-F79E-4D41-9E7F-CD7AD538100E}"/>
    <cellStyle name="SAPBEXHLevel1 2 5 2 5" xfId="29739" xr:uid="{00000000-0005-0000-0000-0000A26C0000}"/>
    <cellStyle name="SAPBEXHLevel1 2 5 2 6" xfId="30446" xr:uid="{469E4B61-E977-4A25-AC2D-D45AA929C45F}"/>
    <cellStyle name="SAPBEXHLevel1 2 5 3" xfId="25709" xr:uid="{00000000-0005-0000-0000-0000A36C0000}"/>
    <cellStyle name="SAPBEXHLevel1 2 5 3 2" xfId="27862" xr:uid="{00000000-0005-0000-0000-0000A46C0000}"/>
    <cellStyle name="SAPBEXHLevel1 2 5 3 2 2" xfId="32449" xr:uid="{E5418F4C-D047-471F-8731-91273E01DB83}"/>
    <cellStyle name="SAPBEXHLevel1 2 5 3 3" xfId="28188" xr:uid="{00000000-0005-0000-0000-0000A56C0000}"/>
    <cellStyle name="SAPBEXHLevel1 2 5 3 3 2" xfId="32746" xr:uid="{2A3B5FE6-B163-4901-B678-F0E279F30BCC}"/>
    <cellStyle name="SAPBEXHLevel1 2 5 3 4" xfId="26152" xr:uid="{00000000-0005-0000-0000-0000A66C0000}"/>
    <cellStyle name="SAPBEXHLevel1 2 5 3 4 2" xfId="30941" xr:uid="{9C79D5F3-9B17-4006-A1D0-80A3264B0D85}"/>
    <cellStyle name="SAPBEXHLevel1 2 5 3 5" xfId="29740" xr:uid="{00000000-0005-0000-0000-0000A76C0000}"/>
    <cellStyle name="SAPBEXHLevel1 2 5 3 6" xfId="30703" xr:uid="{9E2D8A9C-F394-489E-919A-51F9D1B02AF5}"/>
    <cellStyle name="SAPBEXHLevel1 2 5 4" xfId="27396" xr:uid="{00000000-0005-0000-0000-0000A86C0000}"/>
    <cellStyle name="SAPBEXHLevel1 2 5 4 2" xfId="31994" xr:uid="{C7D08C3D-0966-4FAF-A830-28A5142A0708}"/>
    <cellStyle name="SAPBEXHLevel1 2 5 5" xfId="28186" xr:uid="{00000000-0005-0000-0000-0000A96C0000}"/>
    <cellStyle name="SAPBEXHLevel1 2 5 5 2" xfId="32744" xr:uid="{E45FD71A-4249-4247-A597-99F5075B9480}"/>
    <cellStyle name="SAPBEXHLevel1 2 5 6" xfId="27362" xr:uid="{00000000-0005-0000-0000-0000AA6C0000}"/>
    <cellStyle name="SAPBEXHLevel1 2 5 6 2" xfId="31960" xr:uid="{A07C6991-C7A7-4E53-A1AC-93E6AD85A7FE}"/>
    <cellStyle name="SAPBEXHLevel1 2 5 7" xfId="29738" xr:uid="{00000000-0005-0000-0000-0000AB6C0000}"/>
    <cellStyle name="SAPBEXHLevel1 2 5 8" xfId="30411" xr:uid="{D4481D37-F6CA-40AA-8E6D-98C58A7345EF}"/>
    <cellStyle name="SAPBEXHLevel1 2 6" xfId="25843" xr:uid="{00000000-0005-0000-0000-0000AC6C0000}"/>
    <cellStyle name="SAPBEXHLevel1 2 6 2" xfId="30762" xr:uid="{97164975-DA55-4048-99CA-77C10088B929}"/>
    <cellStyle name="SAPBEXHLevel1 2 7" xfId="28178" xr:uid="{00000000-0005-0000-0000-0000AD6C0000}"/>
    <cellStyle name="SAPBEXHLevel1 2 7 2" xfId="32736" xr:uid="{65CE9CA4-9034-432B-8968-EC2EDE919C8E}"/>
    <cellStyle name="SAPBEXHLevel1 2 8" xfId="26838" xr:uid="{00000000-0005-0000-0000-0000AE6C0000}"/>
    <cellStyle name="SAPBEXHLevel1 2 8 2" xfId="31599" xr:uid="{12116D8D-42F2-4DB2-BF75-CD15FAA52E64}"/>
    <cellStyle name="SAPBEXHLevel1 2 9" xfId="29730" xr:uid="{00000000-0005-0000-0000-0000AF6C0000}"/>
    <cellStyle name="SAPBEXHLevel1 3" xfId="113" xr:uid="{00000000-0005-0000-0000-0000B06C0000}"/>
    <cellStyle name="SAPBEXHLevel1 3 2" xfId="13647" xr:uid="{00000000-0005-0000-0000-0000B16C0000}"/>
    <cellStyle name="SAPBEXHLevel1 3 2 2" xfId="25485" xr:uid="{00000000-0005-0000-0000-0000B26C0000}"/>
    <cellStyle name="SAPBEXHLevel1 3 2 2 2" xfId="27638" xr:uid="{00000000-0005-0000-0000-0000B36C0000}"/>
    <cellStyle name="SAPBEXHLevel1 3 2 2 2 2" xfId="32225" xr:uid="{F32B8593-1ECA-4FBC-A6D0-E14EDBD7A277}"/>
    <cellStyle name="SAPBEXHLevel1 3 2 2 3" xfId="28191" xr:uid="{00000000-0005-0000-0000-0000B46C0000}"/>
    <cellStyle name="SAPBEXHLevel1 3 2 2 3 2" xfId="32749" xr:uid="{C126A245-AE2B-414E-840D-3CF863DC3F50}"/>
    <cellStyle name="SAPBEXHLevel1 3 2 2 4" xfId="26881" xr:uid="{00000000-0005-0000-0000-0000B56C0000}"/>
    <cellStyle name="SAPBEXHLevel1 3 2 2 4 2" xfId="31642" xr:uid="{D324096D-0186-464E-A37D-C31CEBF6743C}"/>
    <cellStyle name="SAPBEXHLevel1 3 2 2 5" xfId="29743" xr:uid="{00000000-0005-0000-0000-0000B66C0000}"/>
    <cellStyle name="SAPBEXHLevel1 3 2 3" xfId="26589" xr:uid="{00000000-0005-0000-0000-0000B76C0000}"/>
    <cellStyle name="SAPBEXHLevel1 3 2 3 2" xfId="31367" xr:uid="{54D44143-0702-4CD9-937F-01002BE577A0}"/>
    <cellStyle name="SAPBEXHLevel1 3 2 4" xfId="28190" xr:uid="{00000000-0005-0000-0000-0000B86C0000}"/>
    <cellStyle name="SAPBEXHLevel1 3 2 4 2" xfId="32748" xr:uid="{8C123B53-DB84-4446-BE32-D9CDDC9045E6}"/>
    <cellStyle name="SAPBEXHLevel1 3 2 5" xfId="26079" xr:uid="{00000000-0005-0000-0000-0000B96C0000}"/>
    <cellStyle name="SAPBEXHLevel1 3 2 5 2" xfId="30869" xr:uid="{255D7D5F-B9F0-4480-AB50-1DC0F16E216B}"/>
    <cellStyle name="SAPBEXHLevel1 3 2 6" xfId="29742" xr:uid="{00000000-0005-0000-0000-0000BA6C0000}"/>
    <cellStyle name="SAPBEXHLevel1 3 2 7" xfId="30187" xr:uid="{4400951F-078D-4D6A-BCCB-9A5672B115FD}"/>
    <cellStyle name="SAPBEXHLevel1 3 3" xfId="24258" xr:uid="{00000000-0005-0000-0000-0000BB6C0000}"/>
    <cellStyle name="SAPBEXHLevel1 3 3 2" xfId="25580" xr:uid="{00000000-0005-0000-0000-0000BC6C0000}"/>
    <cellStyle name="SAPBEXHLevel1 3 3 2 2" xfId="27733" xr:uid="{00000000-0005-0000-0000-0000BD6C0000}"/>
    <cellStyle name="SAPBEXHLevel1 3 3 2 2 2" xfId="32320" xr:uid="{D3635781-EA2E-44C0-8F0F-0C88EB4A3517}"/>
    <cellStyle name="SAPBEXHLevel1 3 3 2 3" xfId="28193" xr:uid="{00000000-0005-0000-0000-0000BE6C0000}"/>
    <cellStyle name="SAPBEXHLevel1 3 3 2 3 2" xfId="32751" xr:uid="{AEDCEC19-E766-4398-9140-92DE4B67D2A2}"/>
    <cellStyle name="SAPBEXHLevel1 3 3 2 4" xfId="26495" xr:uid="{00000000-0005-0000-0000-0000BF6C0000}"/>
    <cellStyle name="SAPBEXHLevel1 3 3 2 4 2" xfId="31283" xr:uid="{17E683A1-76D3-446F-879B-BB628C2B98A5}"/>
    <cellStyle name="SAPBEXHLevel1 3 3 2 5" xfId="29745" xr:uid="{00000000-0005-0000-0000-0000C06C0000}"/>
    <cellStyle name="SAPBEXHLevel1 3 3 3" xfId="27113" xr:uid="{00000000-0005-0000-0000-0000C16C0000}"/>
    <cellStyle name="SAPBEXHLevel1 3 3 3 2" xfId="31831" xr:uid="{BF3E599A-8621-4D82-BC0A-546FB6222B46}"/>
    <cellStyle name="SAPBEXHLevel1 3 3 4" xfId="28192" xr:uid="{00000000-0005-0000-0000-0000C26C0000}"/>
    <cellStyle name="SAPBEXHLevel1 3 3 4 2" xfId="32750" xr:uid="{E1CB69D6-95A0-42F6-B79E-087BB2E01584}"/>
    <cellStyle name="SAPBEXHLevel1 3 3 5" xfId="26216" xr:uid="{00000000-0005-0000-0000-0000C36C0000}"/>
    <cellStyle name="SAPBEXHLevel1 3 3 5 2" xfId="31004" xr:uid="{4E0B119C-38CB-4D5A-AFD8-57766B32BFD9}"/>
    <cellStyle name="SAPBEXHLevel1 3 3 6" xfId="29744" xr:uid="{00000000-0005-0000-0000-0000C46C0000}"/>
    <cellStyle name="SAPBEXHLevel1 3 3 7" xfId="30282" xr:uid="{0D46F34F-60CF-4D9A-84FB-9C355E1AF82A}"/>
    <cellStyle name="SAPBEXHLevel1 3 4" xfId="24661" xr:uid="{00000000-0005-0000-0000-0000C56C0000}"/>
    <cellStyle name="SAPBEXHLevel1 3 4 2" xfId="25400" xr:uid="{00000000-0005-0000-0000-0000C66C0000}"/>
    <cellStyle name="SAPBEXHLevel1 3 4 2 2" xfId="27554" xr:uid="{00000000-0005-0000-0000-0000C76C0000}"/>
    <cellStyle name="SAPBEXHLevel1 3 4 2 2 2" xfId="32145" xr:uid="{F0179A9C-151A-43F0-ABC9-E4F91A758A3B}"/>
    <cellStyle name="SAPBEXHLevel1 3 4 2 3" xfId="28195" xr:uid="{00000000-0005-0000-0000-0000C86C0000}"/>
    <cellStyle name="SAPBEXHLevel1 3 4 2 3 2" xfId="32753" xr:uid="{81B4343B-4C15-401D-97C3-8A42D434ABA9}"/>
    <cellStyle name="SAPBEXHLevel1 3 4 2 4" xfId="26135" xr:uid="{00000000-0005-0000-0000-0000C96C0000}"/>
    <cellStyle name="SAPBEXHLevel1 3 4 2 4 2" xfId="30925" xr:uid="{62DD3D26-8C47-4498-A7C1-3BFA20C861BD}"/>
    <cellStyle name="SAPBEXHLevel1 3 4 2 5" xfId="29747" xr:uid="{00000000-0005-0000-0000-0000CA6C0000}"/>
    <cellStyle name="SAPBEXHLevel1 3 4 2 6" xfId="30558" xr:uid="{E12223DB-A5F7-4527-B282-9B6D7E178CC8}"/>
    <cellStyle name="SAPBEXHLevel1 3 4 3" xfId="25627" xr:uid="{00000000-0005-0000-0000-0000CB6C0000}"/>
    <cellStyle name="SAPBEXHLevel1 3 4 3 2" xfId="27780" xr:uid="{00000000-0005-0000-0000-0000CC6C0000}"/>
    <cellStyle name="SAPBEXHLevel1 3 4 3 2 2" xfId="32367" xr:uid="{2C64B025-3F49-4629-A5D8-1D8C38655934}"/>
    <cellStyle name="SAPBEXHLevel1 3 4 3 3" xfId="28196" xr:uid="{00000000-0005-0000-0000-0000CD6C0000}"/>
    <cellStyle name="SAPBEXHLevel1 3 4 3 3 2" xfId="32754" xr:uid="{F9BA6243-0436-41F4-8F3B-55E7AFF1FE59}"/>
    <cellStyle name="SAPBEXHLevel1 3 4 3 4" xfId="27083" xr:uid="{00000000-0005-0000-0000-0000CE6C0000}"/>
    <cellStyle name="SAPBEXHLevel1 3 4 3 4 2" xfId="31807" xr:uid="{AF178533-D10D-4C4F-8641-0E55B940ED66}"/>
    <cellStyle name="SAPBEXHLevel1 3 4 3 5" xfId="29748" xr:uid="{00000000-0005-0000-0000-0000CF6C0000}"/>
    <cellStyle name="SAPBEXHLevel1 3 4 4" xfId="27254" xr:uid="{00000000-0005-0000-0000-0000D06C0000}"/>
    <cellStyle name="SAPBEXHLevel1 3 4 4 2" xfId="31889" xr:uid="{3543FF28-6B41-48E0-BABD-47382BB28A88}"/>
    <cellStyle name="SAPBEXHLevel1 3 4 5" xfId="28194" xr:uid="{00000000-0005-0000-0000-0000D16C0000}"/>
    <cellStyle name="SAPBEXHLevel1 3 4 5 2" xfId="32752" xr:uid="{86283293-0F25-491A-ACC3-732142F075E0}"/>
    <cellStyle name="SAPBEXHLevel1 3 4 6" xfId="26903" xr:uid="{00000000-0005-0000-0000-0000D26C0000}"/>
    <cellStyle name="SAPBEXHLevel1 3 4 6 2" xfId="31664" xr:uid="{6615C61E-3139-46C1-A41A-388F156BA64D}"/>
    <cellStyle name="SAPBEXHLevel1 3 4 7" xfId="29746" xr:uid="{00000000-0005-0000-0000-0000D36C0000}"/>
    <cellStyle name="SAPBEXHLevel1 3 4 8" xfId="30329" xr:uid="{6FE8461A-1E9E-40E8-85CB-3B75CDA2EC87}"/>
    <cellStyle name="SAPBEXHLevel1 3 5" xfId="25112" xr:uid="{00000000-0005-0000-0000-0000D46C0000}"/>
    <cellStyle name="SAPBEXHLevel1 3 5 2" xfId="25366" xr:uid="{00000000-0005-0000-0000-0000D56C0000}"/>
    <cellStyle name="SAPBEXHLevel1 3 5 2 2" xfId="27520" xr:uid="{00000000-0005-0000-0000-0000D66C0000}"/>
    <cellStyle name="SAPBEXHLevel1 3 5 2 2 2" xfId="32111" xr:uid="{D5D2E758-DF6F-43BE-874D-A839FE212441}"/>
    <cellStyle name="SAPBEXHLevel1 3 5 2 3" xfId="28198" xr:uid="{00000000-0005-0000-0000-0000D76C0000}"/>
    <cellStyle name="SAPBEXHLevel1 3 5 2 3 2" xfId="32756" xr:uid="{BD66785C-D3EB-43F1-B87E-6427F2006D3B}"/>
    <cellStyle name="SAPBEXHLevel1 3 5 2 4" xfId="26353" xr:uid="{00000000-0005-0000-0000-0000D86C0000}"/>
    <cellStyle name="SAPBEXHLevel1 3 5 2 4 2" xfId="31141" xr:uid="{269E844A-04D5-43C2-B406-9AD6EB9D331A}"/>
    <cellStyle name="SAPBEXHLevel1 3 5 2 5" xfId="29750" xr:uid="{00000000-0005-0000-0000-0000D96C0000}"/>
    <cellStyle name="SAPBEXHLevel1 3 5 2 6" xfId="30524" xr:uid="{CA7C7067-8A14-4C49-8D5F-C369307841B5}"/>
    <cellStyle name="SAPBEXHLevel1 3 5 3" xfId="25710" xr:uid="{00000000-0005-0000-0000-0000DA6C0000}"/>
    <cellStyle name="SAPBEXHLevel1 3 5 3 2" xfId="27863" xr:uid="{00000000-0005-0000-0000-0000DB6C0000}"/>
    <cellStyle name="SAPBEXHLevel1 3 5 3 2 2" xfId="32450" xr:uid="{BF33C965-2601-4DB7-9661-68E6AE24921B}"/>
    <cellStyle name="SAPBEXHLevel1 3 5 3 3" xfId="28199" xr:uid="{00000000-0005-0000-0000-0000DC6C0000}"/>
    <cellStyle name="SAPBEXHLevel1 3 5 3 3 2" xfId="32757" xr:uid="{AF05C8A7-CA83-4808-A2C7-0FE8BE96EA76}"/>
    <cellStyle name="SAPBEXHLevel1 3 5 3 4" xfId="26427" xr:uid="{00000000-0005-0000-0000-0000DD6C0000}"/>
    <cellStyle name="SAPBEXHLevel1 3 5 3 4 2" xfId="31215" xr:uid="{4E647CD9-E7E8-4BDF-9224-3E00BFB572D2}"/>
    <cellStyle name="SAPBEXHLevel1 3 5 3 5" xfId="29751" xr:uid="{00000000-0005-0000-0000-0000DE6C0000}"/>
    <cellStyle name="SAPBEXHLevel1 3 5 3 6" xfId="30704" xr:uid="{2B9C5F66-DA8A-4F1A-B52A-F8C7EB98E580}"/>
    <cellStyle name="SAPBEXHLevel1 3 5 4" xfId="27397" xr:uid="{00000000-0005-0000-0000-0000DF6C0000}"/>
    <cellStyle name="SAPBEXHLevel1 3 5 4 2" xfId="31995" xr:uid="{D76A2A1B-ACF9-4EBA-8A19-FBFC6BD739F1}"/>
    <cellStyle name="SAPBEXHLevel1 3 5 5" xfId="28197" xr:uid="{00000000-0005-0000-0000-0000E06C0000}"/>
    <cellStyle name="SAPBEXHLevel1 3 5 5 2" xfId="32755" xr:uid="{C5C579BA-0DE5-4B26-811D-377FB58F4C20}"/>
    <cellStyle name="SAPBEXHLevel1 3 5 6" xfId="26743" xr:uid="{00000000-0005-0000-0000-0000E16C0000}"/>
    <cellStyle name="SAPBEXHLevel1 3 5 6 2" xfId="31504" xr:uid="{E3C1C7D2-44A2-46F1-AE29-8367D4E7A14B}"/>
    <cellStyle name="SAPBEXHLevel1 3 5 7" xfId="29749" xr:uid="{00000000-0005-0000-0000-0000E26C0000}"/>
    <cellStyle name="SAPBEXHLevel1 3 5 8" xfId="30412" xr:uid="{4D9BF123-CD66-4C6F-8977-0ADD7964D1DB}"/>
    <cellStyle name="SAPBEXHLevel1 3 6" xfId="25844" xr:uid="{00000000-0005-0000-0000-0000E36C0000}"/>
    <cellStyle name="SAPBEXHLevel1 3 6 2" xfId="30763" xr:uid="{E78567D8-6A70-43CC-935D-D7E606AE6218}"/>
    <cellStyle name="SAPBEXHLevel1 3 7" xfId="28189" xr:uid="{00000000-0005-0000-0000-0000E46C0000}"/>
    <cellStyle name="SAPBEXHLevel1 3 7 2" xfId="32747" xr:uid="{79B59102-3C0E-41D4-A27E-06CC3B072BC6}"/>
    <cellStyle name="SAPBEXHLevel1 3 8" xfId="26311" xr:uid="{00000000-0005-0000-0000-0000E56C0000}"/>
    <cellStyle name="SAPBEXHLevel1 3 8 2" xfId="31099" xr:uid="{DFF4EC3C-54AB-455F-971D-27AC7F7948D4}"/>
    <cellStyle name="SAPBEXHLevel1 3 9" xfId="29741" xr:uid="{00000000-0005-0000-0000-0000E66C0000}"/>
    <cellStyle name="SAPBEXHLevel1 4" xfId="114" xr:uid="{00000000-0005-0000-0000-0000E76C0000}"/>
    <cellStyle name="SAPBEXHLevel1 4 2" xfId="13648" xr:uid="{00000000-0005-0000-0000-0000E86C0000}"/>
    <cellStyle name="SAPBEXHLevel1 4 2 2" xfId="25486" xr:uid="{00000000-0005-0000-0000-0000E96C0000}"/>
    <cellStyle name="SAPBEXHLevel1 4 2 2 2" xfId="27639" xr:uid="{00000000-0005-0000-0000-0000EA6C0000}"/>
    <cellStyle name="SAPBEXHLevel1 4 2 2 2 2" xfId="32226" xr:uid="{4608461E-C690-4022-8366-8610242488AE}"/>
    <cellStyle name="SAPBEXHLevel1 4 2 2 3" xfId="28202" xr:uid="{00000000-0005-0000-0000-0000EB6C0000}"/>
    <cellStyle name="SAPBEXHLevel1 4 2 2 3 2" xfId="32760" xr:uid="{D6EF4494-2980-4890-89EE-5781FC77D246}"/>
    <cellStyle name="SAPBEXHLevel1 4 2 2 4" xfId="26300" xr:uid="{00000000-0005-0000-0000-0000EC6C0000}"/>
    <cellStyle name="SAPBEXHLevel1 4 2 2 4 2" xfId="31088" xr:uid="{E6CF761B-BA3F-460B-A722-B8004BB34B2E}"/>
    <cellStyle name="SAPBEXHLevel1 4 2 2 5" xfId="29754" xr:uid="{00000000-0005-0000-0000-0000ED6C0000}"/>
    <cellStyle name="SAPBEXHLevel1 4 2 3" xfId="26590" xr:uid="{00000000-0005-0000-0000-0000EE6C0000}"/>
    <cellStyle name="SAPBEXHLevel1 4 2 3 2" xfId="31368" xr:uid="{E2B00220-A94E-46FD-8749-793A586F51E1}"/>
    <cellStyle name="SAPBEXHLevel1 4 2 4" xfId="28201" xr:uid="{00000000-0005-0000-0000-0000EF6C0000}"/>
    <cellStyle name="SAPBEXHLevel1 4 2 4 2" xfId="32759" xr:uid="{D6E8ED1A-A6CE-44D8-9FC4-72C950AE60F0}"/>
    <cellStyle name="SAPBEXHLevel1 4 2 5" xfId="26765" xr:uid="{00000000-0005-0000-0000-0000F06C0000}"/>
    <cellStyle name="SAPBEXHLevel1 4 2 5 2" xfId="31526" xr:uid="{6E5CE4CA-B46B-4EBF-8B8D-A399EA06D623}"/>
    <cellStyle name="SAPBEXHLevel1 4 2 6" xfId="29753" xr:uid="{00000000-0005-0000-0000-0000F16C0000}"/>
    <cellStyle name="SAPBEXHLevel1 4 2 7" xfId="30188" xr:uid="{14FADDF8-C325-457C-9868-4A96DC11E421}"/>
    <cellStyle name="SAPBEXHLevel1 4 3" xfId="25845" xr:uid="{00000000-0005-0000-0000-0000F26C0000}"/>
    <cellStyle name="SAPBEXHLevel1 4 3 2" xfId="30764" xr:uid="{E8284A36-D0F1-4D80-8294-985D2CC818D7}"/>
    <cellStyle name="SAPBEXHLevel1 4 4" xfId="28200" xr:uid="{00000000-0005-0000-0000-0000F36C0000}"/>
    <cellStyle name="SAPBEXHLevel1 4 4 2" xfId="32758" xr:uid="{888F82EA-6BF6-4434-AECD-6B720AC91A20}"/>
    <cellStyle name="SAPBEXHLevel1 4 5" xfId="26905" xr:uid="{00000000-0005-0000-0000-0000F46C0000}"/>
    <cellStyle name="SAPBEXHLevel1 4 5 2" xfId="31666" xr:uid="{4893EFDD-4951-4F63-B026-5395EF8849EA}"/>
    <cellStyle name="SAPBEXHLevel1 4 6" xfId="29752" xr:uid="{00000000-0005-0000-0000-0000F56C0000}"/>
    <cellStyle name="SAPBEXHLevel1 5" xfId="252" xr:uid="{00000000-0005-0000-0000-0000F66C0000}"/>
    <cellStyle name="SAPBEXHLevel1 5 2" xfId="13717" xr:uid="{00000000-0005-0000-0000-0000F76C0000}"/>
    <cellStyle name="SAPBEXHLevel1 5 2 2" xfId="25530" xr:uid="{00000000-0005-0000-0000-0000F86C0000}"/>
    <cellStyle name="SAPBEXHLevel1 5 2 2 2" xfId="27683" xr:uid="{00000000-0005-0000-0000-0000F96C0000}"/>
    <cellStyle name="SAPBEXHLevel1 5 2 2 2 2" xfId="32270" xr:uid="{8766F56C-0BB7-4B15-BB7F-7542B9EA79EE}"/>
    <cellStyle name="SAPBEXHLevel1 5 2 2 3" xfId="28205" xr:uid="{00000000-0005-0000-0000-0000FA6C0000}"/>
    <cellStyle name="SAPBEXHLevel1 5 2 2 3 2" xfId="32763" xr:uid="{3AB97583-28E6-44DF-A3D1-56C3EE264E81}"/>
    <cellStyle name="SAPBEXHLevel1 5 2 2 4" xfId="26479" xr:uid="{00000000-0005-0000-0000-0000FB6C0000}"/>
    <cellStyle name="SAPBEXHLevel1 5 2 2 4 2" xfId="31267" xr:uid="{D5D8835B-53EC-4CF7-B78A-33007BAAA280}"/>
    <cellStyle name="SAPBEXHLevel1 5 2 2 5" xfId="29757" xr:uid="{00000000-0005-0000-0000-0000FC6C0000}"/>
    <cellStyle name="SAPBEXHLevel1 5 2 3" xfId="26637" xr:uid="{00000000-0005-0000-0000-0000FD6C0000}"/>
    <cellStyle name="SAPBEXHLevel1 5 2 3 2" xfId="31414" xr:uid="{2BD4C4B7-39DC-4442-9F9A-203CF0B1CEF2}"/>
    <cellStyle name="SAPBEXHLevel1 5 2 4" xfId="28204" xr:uid="{00000000-0005-0000-0000-0000FE6C0000}"/>
    <cellStyle name="SAPBEXHLevel1 5 2 4 2" xfId="32762" xr:uid="{E566C56A-2A05-499D-A275-25D0B1C7B6C0}"/>
    <cellStyle name="SAPBEXHLevel1 5 2 5" xfId="26890" xr:uid="{00000000-0005-0000-0000-0000FF6C0000}"/>
    <cellStyle name="SAPBEXHLevel1 5 2 5 2" xfId="31651" xr:uid="{CCCD9D3E-C44C-40AF-8405-F1A7E0CF18D1}"/>
    <cellStyle name="SAPBEXHLevel1 5 2 6" xfId="29756" xr:uid="{00000000-0005-0000-0000-0000006D0000}"/>
    <cellStyle name="SAPBEXHLevel1 5 2 7" xfId="30232" xr:uid="{AF077EC7-E2FD-4B78-814D-29E96EB68C21}"/>
    <cellStyle name="SAPBEXHLevel1 5 3" xfId="25920" xr:uid="{00000000-0005-0000-0000-0000016D0000}"/>
    <cellStyle name="SAPBEXHLevel1 5 3 2" xfId="30809" xr:uid="{DD7D0190-0B52-496F-9A1D-BE6120C10A8C}"/>
    <cellStyle name="SAPBEXHLevel1 5 4" xfId="28203" xr:uid="{00000000-0005-0000-0000-0000026D0000}"/>
    <cellStyle name="SAPBEXHLevel1 5 4 2" xfId="32761" xr:uid="{D0D971DD-1D16-42DC-9A02-8F4488AC52B3}"/>
    <cellStyle name="SAPBEXHLevel1 5 5" xfId="29218" xr:uid="{00000000-0005-0000-0000-0000036D0000}"/>
    <cellStyle name="SAPBEXHLevel1 5 5 2" xfId="33201" xr:uid="{8E28EB01-CBBD-4541-A801-EC24163D25D5}"/>
    <cellStyle name="SAPBEXHLevel1 5 6" xfId="29755" xr:uid="{00000000-0005-0000-0000-0000046D0000}"/>
    <cellStyle name="SAPBEXHLevel1 6" xfId="13645" xr:uid="{00000000-0005-0000-0000-0000056D0000}"/>
    <cellStyle name="SAPBEXHLevel1 6 2" xfId="25483" xr:uid="{00000000-0005-0000-0000-0000066D0000}"/>
    <cellStyle name="SAPBEXHLevel1 6 2 2" xfId="27636" xr:uid="{00000000-0005-0000-0000-0000076D0000}"/>
    <cellStyle name="SAPBEXHLevel1 6 2 2 2" xfId="32223" xr:uid="{EAC44D98-5E89-4ED3-B23E-1346197F39CF}"/>
    <cellStyle name="SAPBEXHLevel1 6 2 3" xfId="28207" xr:uid="{00000000-0005-0000-0000-0000086D0000}"/>
    <cellStyle name="SAPBEXHLevel1 6 2 3 2" xfId="32765" xr:uid="{E896D2A4-59BE-4EBE-AA25-FDD6F20AB7D0}"/>
    <cellStyle name="SAPBEXHLevel1 6 2 4" xfId="26910" xr:uid="{00000000-0005-0000-0000-0000096D0000}"/>
    <cellStyle name="SAPBEXHLevel1 6 2 4 2" xfId="31671" xr:uid="{309A7D07-7F54-4A53-A3C1-48F06AD3B464}"/>
    <cellStyle name="SAPBEXHLevel1 6 2 5" xfId="29759" xr:uid="{00000000-0005-0000-0000-00000A6D0000}"/>
    <cellStyle name="SAPBEXHLevel1 6 3" xfId="26587" xr:uid="{00000000-0005-0000-0000-00000B6D0000}"/>
    <cellStyle name="SAPBEXHLevel1 6 3 2" xfId="31365" xr:uid="{18475630-9A47-4430-AE21-0B01A1B7E0AD}"/>
    <cellStyle name="SAPBEXHLevel1 6 4" xfId="28206" xr:uid="{00000000-0005-0000-0000-00000C6D0000}"/>
    <cellStyle name="SAPBEXHLevel1 6 4 2" xfId="32764" xr:uid="{1E6AC1F8-6AB4-4B54-9EAD-E95ABA754FA1}"/>
    <cellStyle name="SAPBEXHLevel1 6 5" xfId="26883" xr:uid="{00000000-0005-0000-0000-00000D6D0000}"/>
    <cellStyle name="SAPBEXHLevel1 6 5 2" xfId="31644" xr:uid="{603393B8-632E-4842-8F40-D5167605E4FF}"/>
    <cellStyle name="SAPBEXHLevel1 6 6" xfId="29758" xr:uid="{00000000-0005-0000-0000-00000E6D0000}"/>
    <cellStyle name="SAPBEXHLevel1 6 7" xfId="30185" xr:uid="{2BA1D673-B96A-472C-B632-E7C7E384126D}"/>
    <cellStyle name="SAPBEXHLevel1 7" xfId="24663" xr:uid="{00000000-0005-0000-0000-00000F6D0000}"/>
    <cellStyle name="SAPBEXHLevel1 7 2" xfId="25410" xr:uid="{00000000-0005-0000-0000-0000106D0000}"/>
    <cellStyle name="SAPBEXHLevel1 7 2 2" xfId="27564" xr:uid="{00000000-0005-0000-0000-0000116D0000}"/>
    <cellStyle name="SAPBEXHLevel1 7 2 2 2" xfId="32155" xr:uid="{F45A0540-4E4B-4C04-A136-4FE4521BD6E6}"/>
    <cellStyle name="SAPBEXHLevel1 7 2 3" xfId="28209" xr:uid="{00000000-0005-0000-0000-0000126D0000}"/>
    <cellStyle name="SAPBEXHLevel1 7 2 3 2" xfId="32767" xr:uid="{54861C80-131B-4EE4-A270-1BDD573FF131}"/>
    <cellStyle name="SAPBEXHLevel1 7 2 4" xfId="26775" xr:uid="{00000000-0005-0000-0000-0000136D0000}"/>
    <cellStyle name="SAPBEXHLevel1 7 2 4 2" xfId="31536" xr:uid="{6D89D195-1D6E-48AD-B0FE-AC5D617A6B57}"/>
    <cellStyle name="SAPBEXHLevel1 7 2 5" xfId="29761" xr:uid="{00000000-0005-0000-0000-0000146D0000}"/>
    <cellStyle name="SAPBEXHLevel1 7 2 6" xfId="30568" xr:uid="{F938F919-4448-4C52-A1D9-E219B866EDC7}"/>
    <cellStyle name="SAPBEXHLevel1 7 3" xfId="25629" xr:uid="{00000000-0005-0000-0000-0000156D0000}"/>
    <cellStyle name="SAPBEXHLevel1 7 3 2" xfId="27782" xr:uid="{00000000-0005-0000-0000-0000166D0000}"/>
    <cellStyle name="SAPBEXHLevel1 7 3 2 2" xfId="32369" xr:uid="{E35C3A78-34D8-4E35-B911-EA487034EF82}"/>
    <cellStyle name="SAPBEXHLevel1 7 3 3" xfId="28210" xr:uid="{00000000-0005-0000-0000-0000176D0000}"/>
    <cellStyle name="SAPBEXHLevel1 7 3 3 2" xfId="32768" xr:uid="{A6A48850-1858-4E57-94E0-B89C6D5A61CB}"/>
    <cellStyle name="SAPBEXHLevel1 7 3 4" xfId="26804" xr:uid="{00000000-0005-0000-0000-0000186D0000}"/>
    <cellStyle name="SAPBEXHLevel1 7 3 4 2" xfId="31565" xr:uid="{6CCDBFA5-2F5C-47AC-9A95-E03C57CD7DF3}"/>
    <cellStyle name="SAPBEXHLevel1 7 3 5" xfId="29762" xr:uid="{00000000-0005-0000-0000-0000196D0000}"/>
    <cellStyle name="SAPBEXHLevel1 7 4" xfId="27256" xr:uid="{00000000-0005-0000-0000-00001A6D0000}"/>
    <cellStyle name="SAPBEXHLevel1 7 4 2" xfId="31891" xr:uid="{CC7F1964-08AB-4118-B9C8-FE34027EB624}"/>
    <cellStyle name="SAPBEXHLevel1 7 5" xfId="28208" xr:uid="{00000000-0005-0000-0000-00001B6D0000}"/>
    <cellStyle name="SAPBEXHLevel1 7 5 2" xfId="32766" xr:uid="{8ED4E45B-CE91-4240-B360-C9D6637DF3B8}"/>
    <cellStyle name="SAPBEXHLevel1 7 6" xfId="26257" xr:uid="{00000000-0005-0000-0000-00001C6D0000}"/>
    <cellStyle name="SAPBEXHLevel1 7 6 2" xfId="31045" xr:uid="{B9A5DC6D-01E9-4570-B004-6CDFADEE71D7}"/>
    <cellStyle name="SAPBEXHLevel1 7 7" xfId="29760" xr:uid="{00000000-0005-0000-0000-00001D6D0000}"/>
    <cellStyle name="SAPBEXHLevel1 7 8" xfId="30331" xr:uid="{64882B99-1ACC-4C4E-B205-CAC470EA2593}"/>
    <cellStyle name="SAPBEXHLevel1 8" xfId="25110" xr:uid="{00000000-0005-0000-0000-00001E6D0000}"/>
    <cellStyle name="SAPBEXHLevel1 8 2" xfId="25297" xr:uid="{00000000-0005-0000-0000-00001F6D0000}"/>
    <cellStyle name="SAPBEXHLevel1 8 2 2" xfId="27451" xr:uid="{00000000-0005-0000-0000-0000206D0000}"/>
    <cellStyle name="SAPBEXHLevel1 8 2 2 2" xfId="32043" xr:uid="{E7839641-7F68-4164-AE4A-52F31B3951DF}"/>
    <cellStyle name="SAPBEXHLevel1 8 2 3" xfId="28212" xr:uid="{00000000-0005-0000-0000-0000216D0000}"/>
    <cellStyle name="SAPBEXHLevel1 8 2 3 2" xfId="32770" xr:uid="{D1774BB1-D6C6-4FC6-82DB-842A7D0A3E7C}"/>
    <cellStyle name="SAPBEXHLevel1 8 2 4" xfId="26269" xr:uid="{00000000-0005-0000-0000-0000226D0000}"/>
    <cellStyle name="SAPBEXHLevel1 8 2 4 2" xfId="31057" xr:uid="{AB52B957-ED78-4B61-AC72-6D3434AEB2A7}"/>
    <cellStyle name="SAPBEXHLevel1 8 2 5" xfId="29764" xr:uid="{00000000-0005-0000-0000-0000236D0000}"/>
    <cellStyle name="SAPBEXHLevel1 8 2 6" xfId="30456" xr:uid="{5E994DED-9EEC-4995-B24B-8EBEA31CB354}"/>
    <cellStyle name="SAPBEXHLevel1 8 3" xfId="25708" xr:uid="{00000000-0005-0000-0000-0000246D0000}"/>
    <cellStyle name="SAPBEXHLevel1 8 3 2" xfId="27861" xr:uid="{00000000-0005-0000-0000-0000256D0000}"/>
    <cellStyle name="SAPBEXHLevel1 8 3 2 2" xfId="32448" xr:uid="{C3ADF7B3-26EB-40BC-9D30-4A0886D04267}"/>
    <cellStyle name="SAPBEXHLevel1 8 3 3" xfId="28213" xr:uid="{00000000-0005-0000-0000-0000266D0000}"/>
    <cellStyle name="SAPBEXHLevel1 8 3 3 2" xfId="32771" xr:uid="{BEEE8DFF-7CC5-4D6E-9449-34263571CCB1}"/>
    <cellStyle name="SAPBEXHLevel1 8 3 4" xfId="26460" xr:uid="{00000000-0005-0000-0000-0000276D0000}"/>
    <cellStyle name="SAPBEXHLevel1 8 3 4 2" xfId="31248" xr:uid="{3FC5B51D-0EFC-4F82-91D8-EA678657E706}"/>
    <cellStyle name="SAPBEXHLevel1 8 3 5" xfId="29765" xr:uid="{00000000-0005-0000-0000-0000286D0000}"/>
    <cellStyle name="SAPBEXHLevel1 8 3 6" xfId="30702" xr:uid="{207CDC33-1F1A-4F8A-A002-ACD2B72CD500}"/>
    <cellStyle name="SAPBEXHLevel1 8 4" xfId="27395" xr:uid="{00000000-0005-0000-0000-0000296D0000}"/>
    <cellStyle name="SAPBEXHLevel1 8 4 2" xfId="31993" xr:uid="{F664371A-6249-404C-8311-94F1C27F77DB}"/>
    <cellStyle name="SAPBEXHLevel1 8 5" xfId="28211" xr:uid="{00000000-0005-0000-0000-00002A6D0000}"/>
    <cellStyle name="SAPBEXHLevel1 8 5 2" xfId="32769" xr:uid="{3817C8C8-E913-4F5C-BE2B-7876E48C72E1}"/>
    <cellStyle name="SAPBEXHLevel1 8 6" xfId="26464" xr:uid="{00000000-0005-0000-0000-00002B6D0000}"/>
    <cellStyle name="SAPBEXHLevel1 8 6 2" xfId="31252" xr:uid="{E9B0C959-214F-4F77-B077-7D70665D8DB7}"/>
    <cellStyle name="SAPBEXHLevel1 8 7" xfId="29763" xr:uid="{00000000-0005-0000-0000-00002C6D0000}"/>
    <cellStyle name="SAPBEXHLevel1 8 8" xfId="30410" xr:uid="{C87DB49F-8B07-4588-9366-CF133567B34C}"/>
    <cellStyle name="SAPBEXHLevel1 9" xfId="25842" xr:uid="{00000000-0005-0000-0000-00002D6D0000}"/>
    <cellStyle name="SAPBEXHLevel1 9 2" xfId="30761" xr:uid="{647A2604-0CCC-4DAD-99E8-0DF2B6B33B04}"/>
    <cellStyle name="SAPBEXHLevel1X" xfId="115" xr:uid="{00000000-0005-0000-0000-00002E6D0000}"/>
    <cellStyle name="SAPBEXHLevel1X 10" xfId="28214" xr:uid="{00000000-0005-0000-0000-00002F6D0000}"/>
    <cellStyle name="SAPBEXHLevel1X 10 2" xfId="32772" xr:uid="{1D1BF7D4-E181-484E-B919-7D0A67983C96}"/>
    <cellStyle name="SAPBEXHLevel1X 11" xfId="26381" xr:uid="{00000000-0005-0000-0000-0000306D0000}"/>
    <cellStyle name="SAPBEXHLevel1X 11 2" xfId="31169" xr:uid="{23E06D12-96F2-425C-9808-BAE86DF7E3B5}"/>
    <cellStyle name="SAPBEXHLevel1X 12" xfId="29766" xr:uid="{00000000-0005-0000-0000-0000316D0000}"/>
    <cellStyle name="SAPBEXHLevel1X 2" xfId="116" xr:uid="{00000000-0005-0000-0000-0000326D0000}"/>
    <cellStyle name="SAPBEXHLevel1X 2 2" xfId="13650" xr:uid="{00000000-0005-0000-0000-0000336D0000}"/>
    <cellStyle name="SAPBEXHLevel1X 2 2 2" xfId="25488" xr:uid="{00000000-0005-0000-0000-0000346D0000}"/>
    <cellStyle name="SAPBEXHLevel1X 2 2 2 2" xfId="27641" xr:uid="{00000000-0005-0000-0000-0000356D0000}"/>
    <cellStyle name="SAPBEXHLevel1X 2 2 2 2 2" xfId="32228" xr:uid="{A2EC119E-58C5-4A2B-A308-9A575E5E3F4B}"/>
    <cellStyle name="SAPBEXHLevel1X 2 2 2 3" xfId="28217" xr:uid="{00000000-0005-0000-0000-0000366D0000}"/>
    <cellStyle name="SAPBEXHLevel1X 2 2 2 3 2" xfId="32775" xr:uid="{07CB2A6E-6644-426A-937F-B7C44799EB88}"/>
    <cellStyle name="SAPBEXHLevel1X 2 2 2 4" xfId="26401" xr:uid="{00000000-0005-0000-0000-0000376D0000}"/>
    <cellStyle name="SAPBEXHLevel1X 2 2 2 4 2" xfId="31189" xr:uid="{F7379B7B-C189-4EA4-9D2F-4BAD1FCBE37B}"/>
    <cellStyle name="SAPBEXHLevel1X 2 2 2 5" xfId="29769" xr:uid="{00000000-0005-0000-0000-0000386D0000}"/>
    <cellStyle name="SAPBEXHLevel1X 2 2 3" xfId="26592" xr:uid="{00000000-0005-0000-0000-0000396D0000}"/>
    <cellStyle name="SAPBEXHLevel1X 2 2 3 2" xfId="31370" xr:uid="{743B6931-8CB0-47FA-8076-F8BFDE49E039}"/>
    <cellStyle name="SAPBEXHLevel1X 2 2 4" xfId="28216" xr:uid="{00000000-0005-0000-0000-00003A6D0000}"/>
    <cellStyle name="SAPBEXHLevel1X 2 2 4 2" xfId="32774" xr:uid="{1F152AD0-43EC-445F-851C-A448B7A61038}"/>
    <cellStyle name="SAPBEXHLevel1X 2 2 5" xfId="26184" xr:uid="{00000000-0005-0000-0000-00003B6D0000}"/>
    <cellStyle name="SAPBEXHLevel1X 2 2 5 2" xfId="30972" xr:uid="{BAA541BE-DDC1-45A7-8AA3-AF72EBA68F5C}"/>
    <cellStyle name="SAPBEXHLevel1X 2 2 6" xfId="29768" xr:uid="{00000000-0005-0000-0000-00003C6D0000}"/>
    <cellStyle name="SAPBEXHLevel1X 2 2 7" xfId="30190" xr:uid="{033F68AC-B7E5-468D-80A5-9BF792B9725F}"/>
    <cellStyle name="SAPBEXHLevel1X 2 3" xfId="24259" xr:uid="{00000000-0005-0000-0000-00003D6D0000}"/>
    <cellStyle name="SAPBEXHLevel1X 2 3 2" xfId="25581" xr:uid="{00000000-0005-0000-0000-00003E6D0000}"/>
    <cellStyle name="SAPBEXHLevel1X 2 3 2 2" xfId="27734" xr:uid="{00000000-0005-0000-0000-00003F6D0000}"/>
    <cellStyle name="SAPBEXHLevel1X 2 3 2 2 2" xfId="32321" xr:uid="{E93C4436-83E3-4A06-B9AA-13A937B06F87}"/>
    <cellStyle name="SAPBEXHLevel1X 2 3 2 3" xfId="28219" xr:uid="{00000000-0005-0000-0000-0000406D0000}"/>
    <cellStyle name="SAPBEXHLevel1X 2 3 2 3 2" xfId="32777" xr:uid="{FBA9389B-2E0A-45FD-803D-7099ABC30EAD}"/>
    <cellStyle name="SAPBEXHLevel1X 2 3 2 4" xfId="26096" xr:uid="{00000000-0005-0000-0000-0000416D0000}"/>
    <cellStyle name="SAPBEXHLevel1X 2 3 2 4 2" xfId="30886" xr:uid="{12CC5E50-4403-49C8-A24E-01203D759461}"/>
    <cellStyle name="SAPBEXHLevel1X 2 3 2 5" xfId="29771" xr:uid="{00000000-0005-0000-0000-0000426D0000}"/>
    <cellStyle name="SAPBEXHLevel1X 2 3 3" xfId="27114" xr:uid="{00000000-0005-0000-0000-0000436D0000}"/>
    <cellStyle name="SAPBEXHLevel1X 2 3 3 2" xfId="31832" xr:uid="{6CE510F7-9B1A-4C7C-940A-2D5709CFAF37}"/>
    <cellStyle name="SAPBEXHLevel1X 2 3 4" xfId="28218" xr:uid="{00000000-0005-0000-0000-0000446D0000}"/>
    <cellStyle name="SAPBEXHLevel1X 2 3 4 2" xfId="32776" xr:uid="{675FB070-9E4F-4A46-8A8C-C279F6C8E6B2}"/>
    <cellStyle name="SAPBEXHLevel1X 2 3 5" xfId="27028" xr:uid="{00000000-0005-0000-0000-0000456D0000}"/>
    <cellStyle name="SAPBEXHLevel1X 2 3 5 2" xfId="31788" xr:uid="{C5354754-E660-4596-8E3B-2C541FDF8E27}"/>
    <cellStyle name="SAPBEXHLevel1X 2 3 6" xfId="29770" xr:uid="{00000000-0005-0000-0000-0000466D0000}"/>
    <cellStyle name="SAPBEXHLevel1X 2 3 7" xfId="30283" xr:uid="{FEB7EFA6-C7F0-4C5D-BDBC-1DE7D958E1DE}"/>
    <cellStyle name="SAPBEXHLevel1X 2 4" xfId="24659" xr:uid="{00000000-0005-0000-0000-0000476D0000}"/>
    <cellStyle name="SAPBEXHLevel1X 2 4 2" xfId="25371" xr:uid="{00000000-0005-0000-0000-0000486D0000}"/>
    <cellStyle name="SAPBEXHLevel1X 2 4 2 2" xfId="27525" xr:uid="{00000000-0005-0000-0000-0000496D0000}"/>
    <cellStyle name="SAPBEXHLevel1X 2 4 2 2 2" xfId="32116" xr:uid="{296BEE4C-2A24-4E5A-987A-F8983FD4AE8C}"/>
    <cellStyle name="SAPBEXHLevel1X 2 4 2 3" xfId="28221" xr:uid="{00000000-0005-0000-0000-00004A6D0000}"/>
    <cellStyle name="SAPBEXHLevel1X 2 4 2 3 2" xfId="32779" xr:uid="{95A9F57A-65AA-4763-B93C-B131FFE7759A}"/>
    <cellStyle name="SAPBEXHLevel1X 2 4 2 4" xfId="26063" xr:uid="{00000000-0005-0000-0000-00004B6D0000}"/>
    <cellStyle name="SAPBEXHLevel1X 2 4 2 4 2" xfId="30853" xr:uid="{E6865548-A8E2-45D2-A109-6A32724CF8F1}"/>
    <cellStyle name="SAPBEXHLevel1X 2 4 2 5" xfId="29773" xr:uid="{00000000-0005-0000-0000-00004C6D0000}"/>
    <cellStyle name="SAPBEXHLevel1X 2 4 2 6" xfId="30529" xr:uid="{1694F7CD-FC66-4021-960D-F743C279E5DF}"/>
    <cellStyle name="SAPBEXHLevel1X 2 4 3" xfId="25625" xr:uid="{00000000-0005-0000-0000-00004D6D0000}"/>
    <cellStyle name="SAPBEXHLevel1X 2 4 3 2" xfId="27778" xr:uid="{00000000-0005-0000-0000-00004E6D0000}"/>
    <cellStyle name="SAPBEXHLevel1X 2 4 3 2 2" xfId="32365" xr:uid="{A1167B73-627E-4782-A7AB-ECB77DBF1146}"/>
    <cellStyle name="SAPBEXHLevel1X 2 4 3 3" xfId="28222" xr:uid="{00000000-0005-0000-0000-00004F6D0000}"/>
    <cellStyle name="SAPBEXHLevel1X 2 4 3 3 2" xfId="32780" xr:uid="{A7FE94E2-317A-4D50-A51B-0A4DD7013358}"/>
    <cellStyle name="SAPBEXHLevel1X 2 4 3 4" xfId="26156" xr:uid="{00000000-0005-0000-0000-0000506D0000}"/>
    <cellStyle name="SAPBEXHLevel1X 2 4 3 4 2" xfId="30945" xr:uid="{FC8698DA-1A1B-415F-8E18-9838FEE9DFAD}"/>
    <cellStyle name="SAPBEXHLevel1X 2 4 3 5" xfId="29774" xr:uid="{00000000-0005-0000-0000-0000516D0000}"/>
    <cellStyle name="SAPBEXHLevel1X 2 4 4" xfId="27252" xr:uid="{00000000-0005-0000-0000-0000526D0000}"/>
    <cellStyle name="SAPBEXHLevel1X 2 4 4 2" xfId="31887" xr:uid="{63AF0984-3E6B-4F43-9EDC-F2A5B8C35EDD}"/>
    <cellStyle name="SAPBEXHLevel1X 2 4 5" xfId="28220" xr:uid="{00000000-0005-0000-0000-0000536D0000}"/>
    <cellStyle name="SAPBEXHLevel1X 2 4 5 2" xfId="32778" xr:uid="{8BA00CCA-6B1A-4F43-8AB7-6A9ADAAEBFEA}"/>
    <cellStyle name="SAPBEXHLevel1X 2 4 6" xfId="26291" xr:uid="{00000000-0005-0000-0000-0000546D0000}"/>
    <cellStyle name="SAPBEXHLevel1X 2 4 6 2" xfId="31079" xr:uid="{F7582C0B-030B-4918-AD38-AAD701B10EB1}"/>
    <cellStyle name="SAPBEXHLevel1X 2 4 7" xfId="29772" xr:uid="{00000000-0005-0000-0000-0000556D0000}"/>
    <cellStyle name="SAPBEXHLevel1X 2 4 8" xfId="30327" xr:uid="{749C977A-905E-4978-83C8-60D23E0E4287}"/>
    <cellStyle name="SAPBEXHLevel1X 2 5" xfId="25114" xr:uid="{00000000-0005-0000-0000-0000566D0000}"/>
    <cellStyle name="SAPBEXHLevel1X 2 5 2" xfId="25394" xr:uid="{00000000-0005-0000-0000-0000576D0000}"/>
    <cellStyle name="SAPBEXHLevel1X 2 5 2 2" xfId="27548" xr:uid="{00000000-0005-0000-0000-0000586D0000}"/>
    <cellStyle name="SAPBEXHLevel1X 2 5 2 2 2" xfId="32139" xr:uid="{0302BD5D-67E8-4FE3-B0C1-9C25DC03CC4D}"/>
    <cellStyle name="SAPBEXHLevel1X 2 5 2 3" xfId="28224" xr:uid="{00000000-0005-0000-0000-0000596D0000}"/>
    <cellStyle name="SAPBEXHLevel1X 2 5 2 3 2" xfId="32782" xr:uid="{9029AD38-AF66-47D0-A0C7-01F9CDA4941F}"/>
    <cellStyle name="SAPBEXHLevel1X 2 5 2 4" xfId="26222" xr:uid="{00000000-0005-0000-0000-00005A6D0000}"/>
    <cellStyle name="SAPBEXHLevel1X 2 5 2 4 2" xfId="31010" xr:uid="{36692383-A3F7-40E5-ACAB-2F689B24EE02}"/>
    <cellStyle name="SAPBEXHLevel1X 2 5 2 5" xfId="29776" xr:uid="{00000000-0005-0000-0000-00005B6D0000}"/>
    <cellStyle name="SAPBEXHLevel1X 2 5 2 6" xfId="30552" xr:uid="{587935BD-CF96-4D08-BF20-8184FBC5ABF1}"/>
    <cellStyle name="SAPBEXHLevel1X 2 5 3" xfId="25712" xr:uid="{00000000-0005-0000-0000-00005C6D0000}"/>
    <cellStyle name="SAPBEXHLevel1X 2 5 3 2" xfId="27865" xr:uid="{00000000-0005-0000-0000-00005D6D0000}"/>
    <cellStyle name="SAPBEXHLevel1X 2 5 3 2 2" xfId="32452" xr:uid="{A7DF74C7-D19C-4FD1-99E2-233C4CBC832F}"/>
    <cellStyle name="SAPBEXHLevel1X 2 5 3 3" xfId="28225" xr:uid="{00000000-0005-0000-0000-00005E6D0000}"/>
    <cellStyle name="SAPBEXHLevel1X 2 5 3 3 2" xfId="32783" xr:uid="{8BEA2AFC-56D4-453F-A5B9-1FCD31D1457B}"/>
    <cellStyle name="SAPBEXHLevel1X 2 5 3 4" xfId="27017" xr:uid="{00000000-0005-0000-0000-00005F6D0000}"/>
    <cellStyle name="SAPBEXHLevel1X 2 5 3 4 2" xfId="31777" xr:uid="{35906D14-940A-46C5-81B3-E4E6DC6C7105}"/>
    <cellStyle name="SAPBEXHLevel1X 2 5 3 5" xfId="29777" xr:uid="{00000000-0005-0000-0000-0000606D0000}"/>
    <cellStyle name="SAPBEXHLevel1X 2 5 3 6" xfId="30706" xr:uid="{EB95B417-DC95-45A1-9AB7-EAE90CE10189}"/>
    <cellStyle name="SAPBEXHLevel1X 2 5 4" xfId="27399" xr:uid="{00000000-0005-0000-0000-0000616D0000}"/>
    <cellStyle name="SAPBEXHLevel1X 2 5 4 2" xfId="31997" xr:uid="{FE28787D-F9AD-459E-A7BB-C85F83207FE4}"/>
    <cellStyle name="SAPBEXHLevel1X 2 5 5" xfId="28223" xr:uid="{00000000-0005-0000-0000-0000626D0000}"/>
    <cellStyle name="SAPBEXHLevel1X 2 5 5 2" xfId="32781" xr:uid="{B4052269-6AA5-4358-A743-36342D330D5B}"/>
    <cellStyle name="SAPBEXHLevel1X 2 5 6" xfId="26308" xr:uid="{00000000-0005-0000-0000-0000636D0000}"/>
    <cellStyle name="SAPBEXHLevel1X 2 5 6 2" xfId="31096" xr:uid="{51CD9CC3-9664-42BB-BF8D-0714A9E8FC5A}"/>
    <cellStyle name="SAPBEXHLevel1X 2 5 7" xfId="29775" xr:uid="{00000000-0005-0000-0000-0000646D0000}"/>
    <cellStyle name="SAPBEXHLevel1X 2 5 8" xfId="30414" xr:uid="{8143D987-C63B-4588-8F48-C14DC4ECE823}"/>
    <cellStyle name="SAPBEXHLevel1X 2 6" xfId="25847" xr:uid="{00000000-0005-0000-0000-0000656D0000}"/>
    <cellStyle name="SAPBEXHLevel1X 2 6 2" xfId="30766" xr:uid="{4B4C246A-2F79-4DE8-ACCA-E981D0AC9640}"/>
    <cellStyle name="SAPBEXHLevel1X 2 7" xfId="28215" xr:uid="{00000000-0005-0000-0000-0000666D0000}"/>
    <cellStyle name="SAPBEXHLevel1X 2 7 2" xfId="32773" xr:uid="{9F74968A-1ECF-4840-B4E8-6B4974A91B52}"/>
    <cellStyle name="SAPBEXHLevel1X 2 8" xfId="26968" xr:uid="{00000000-0005-0000-0000-0000676D0000}"/>
    <cellStyle name="SAPBEXHLevel1X 2 8 2" xfId="31729" xr:uid="{E9993BCC-E2B8-45F5-8A35-5FE63CE9EF04}"/>
    <cellStyle name="SAPBEXHLevel1X 2 9" xfId="29767" xr:uid="{00000000-0005-0000-0000-0000686D0000}"/>
    <cellStyle name="SAPBEXHLevel1X 3" xfId="117" xr:uid="{00000000-0005-0000-0000-0000696D0000}"/>
    <cellStyle name="SAPBEXHLevel1X 3 2" xfId="13651" xr:uid="{00000000-0005-0000-0000-00006A6D0000}"/>
    <cellStyle name="SAPBEXHLevel1X 3 2 2" xfId="25489" xr:uid="{00000000-0005-0000-0000-00006B6D0000}"/>
    <cellStyle name="SAPBEXHLevel1X 3 2 2 2" xfId="27642" xr:uid="{00000000-0005-0000-0000-00006C6D0000}"/>
    <cellStyle name="SAPBEXHLevel1X 3 2 2 2 2" xfId="32229" xr:uid="{2A1AC2D3-2EF0-46AB-835B-9AC78B8D91E8}"/>
    <cellStyle name="SAPBEXHLevel1X 3 2 2 3" xfId="28228" xr:uid="{00000000-0005-0000-0000-00006D6D0000}"/>
    <cellStyle name="SAPBEXHLevel1X 3 2 2 3 2" xfId="32786" xr:uid="{FE21A18F-2C49-4101-9A10-2CF9561FF9A2}"/>
    <cellStyle name="SAPBEXHLevel1X 3 2 2 4" xfId="26364" xr:uid="{00000000-0005-0000-0000-00006E6D0000}"/>
    <cellStyle name="SAPBEXHLevel1X 3 2 2 4 2" xfId="31152" xr:uid="{ED4B4AA8-08B5-4AA1-9FEF-9D986313F4F1}"/>
    <cellStyle name="SAPBEXHLevel1X 3 2 2 5" xfId="29780" xr:uid="{00000000-0005-0000-0000-00006F6D0000}"/>
    <cellStyle name="SAPBEXHLevel1X 3 2 3" xfId="26593" xr:uid="{00000000-0005-0000-0000-0000706D0000}"/>
    <cellStyle name="SAPBEXHLevel1X 3 2 3 2" xfId="31371" xr:uid="{E25CEBC2-99B0-4F95-BA3D-98D7E40F6AEB}"/>
    <cellStyle name="SAPBEXHLevel1X 3 2 4" xfId="28227" xr:uid="{00000000-0005-0000-0000-0000716D0000}"/>
    <cellStyle name="SAPBEXHLevel1X 3 2 4 2" xfId="32785" xr:uid="{93E46DAD-5AA9-4CED-8B69-725580AFFB91}"/>
    <cellStyle name="SAPBEXHLevel1X 3 2 5" xfId="26378" xr:uid="{00000000-0005-0000-0000-0000726D0000}"/>
    <cellStyle name="SAPBEXHLevel1X 3 2 5 2" xfId="31166" xr:uid="{B03EFEAB-852B-43A9-A090-8FD8E5209064}"/>
    <cellStyle name="SAPBEXHLevel1X 3 2 6" xfId="29779" xr:uid="{00000000-0005-0000-0000-0000736D0000}"/>
    <cellStyle name="SAPBEXHLevel1X 3 2 7" xfId="30191" xr:uid="{07328008-6BC9-4838-B126-06D3DA013BCF}"/>
    <cellStyle name="SAPBEXHLevel1X 3 3" xfId="24260" xr:uid="{00000000-0005-0000-0000-0000746D0000}"/>
    <cellStyle name="SAPBEXHLevel1X 3 3 2" xfId="25582" xr:uid="{00000000-0005-0000-0000-0000756D0000}"/>
    <cellStyle name="SAPBEXHLevel1X 3 3 2 2" xfId="27735" xr:uid="{00000000-0005-0000-0000-0000766D0000}"/>
    <cellStyle name="SAPBEXHLevel1X 3 3 2 2 2" xfId="32322" xr:uid="{329ED777-D69B-41CB-A466-4CBB5AD04FF0}"/>
    <cellStyle name="SAPBEXHLevel1X 3 3 2 3" xfId="28230" xr:uid="{00000000-0005-0000-0000-0000776D0000}"/>
    <cellStyle name="SAPBEXHLevel1X 3 3 2 3 2" xfId="32788" xr:uid="{A0FA3413-E285-401F-A0D9-8F336AA0307A}"/>
    <cellStyle name="SAPBEXHLevel1X 3 3 2 4" xfId="26244" xr:uid="{00000000-0005-0000-0000-0000786D0000}"/>
    <cellStyle name="SAPBEXHLevel1X 3 3 2 4 2" xfId="31032" xr:uid="{FEC29357-5D12-4E5D-A6F8-61C7926070C8}"/>
    <cellStyle name="SAPBEXHLevel1X 3 3 2 5" xfId="29782" xr:uid="{00000000-0005-0000-0000-0000796D0000}"/>
    <cellStyle name="SAPBEXHLevel1X 3 3 3" xfId="27115" xr:uid="{00000000-0005-0000-0000-00007A6D0000}"/>
    <cellStyle name="SAPBEXHLevel1X 3 3 3 2" xfId="31833" xr:uid="{E98E2570-1D28-451A-8AAD-F9617DF5D53B}"/>
    <cellStyle name="SAPBEXHLevel1X 3 3 4" xfId="28229" xr:uid="{00000000-0005-0000-0000-00007B6D0000}"/>
    <cellStyle name="SAPBEXHLevel1X 3 3 4 2" xfId="32787" xr:uid="{AECEAC6E-8489-4B5C-8E13-06A0F308DA9D}"/>
    <cellStyle name="SAPBEXHLevel1X 3 3 5" xfId="26324" xr:uid="{00000000-0005-0000-0000-00007C6D0000}"/>
    <cellStyle name="SAPBEXHLevel1X 3 3 5 2" xfId="31112" xr:uid="{8D0E32B6-8F12-44B5-BD3D-88C3600F7C91}"/>
    <cellStyle name="SAPBEXHLevel1X 3 3 6" xfId="29781" xr:uid="{00000000-0005-0000-0000-00007D6D0000}"/>
    <cellStyle name="SAPBEXHLevel1X 3 3 7" xfId="30284" xr:uid="{3E88880E-E747-4EDA-9BAB-CD434869B99E}"/>
    <cellStyle name="SAPBEXHLevel1X 3 4" xfId="24658" xr:uid="{00000000-0005-0000-0000-00007E6D0000}"/>
    <cellStyle name="SAPBEXHLevel1X 3 4 2" xfId="25289" xr:uid="{00000000-0005-0000-0000-00007F6D0000}"/>
    <cellStyle name="SAPBEXHLevel1X 3 4 2 2" xfId="27444" xr:uid="{00000000-0005-0000-0000-0000806D0000}"/>
    <cellStyle name="SAPBEXHLevel1X 3 4 2 2 2" xfId="32039" xr:uid="{646EBB07-8BF6-4771-85CA-F5827B0292FA}"/>
    <cellStyle name="SAPBEXHLevel1X 3 4 2 3" xfId="28232" xr:uid="{00000000-0005-0000-0000-0000816D0000}"/>
    <cellStyle name="SAPBEXHLevel1X 3 4 2 3 2" xfId="32790" xr:uid="{E3C5FC84-923E-43AB-83D7-713C0119595D}"/>
    <cellStyle name="SAPBEXHLevel1X 3 4 2 4" xfId="26360" xr:uid="{00000000-0005-0000-0000-0000826D0000}"/>
    <cellStyle name="SAPBEXHLevel1X 3 4 2 4 2" xfId="31148" xr:uid="{A59897E2-6481-4991-89DC-FA0903FD48A3}"/>
    <cellStyle name="SAPBEXHLevel1X 3 4 2 5" xfId="29784" xr:uid="{00000000-0005-0000-0000-0000836D0000}"/>
    <cellStyle name="SAPBEXHLevel1X 3 4 2 6" xfId="30452" xr:uid="{CE796F3A-936D-4BCF-9718-CAD67F1D7544}"/>
    <cellStyle name="SAPBEXHLevel1X 3 4 3" xfId="25624" xr:uid="{00000000-0005-0000-0000-0000846D0000}"/>
    <cellStyle name="SAPBEXHLevel1X 3 4 3 2" xfId="27777" xr:uid="{00000000-0005-0000-0000-0000856D0000}"/>
    <cellStyle name="SAPBEXHLevel1X 3 4 3 2 2" xfId="32364" xr:uid="{2B3E7B29-1140-44F8-BEB8-8D13807414B6}"/>
    <cellStyle name="SAPBEXHLevel1X 3 4 3 3" xfId="28233" xr:uid="{00000000-0005-0000-0000-0000866D0000}"/>
    <cellStyle name="SAPBEXHLevel1X 3 4 3 3 2" xfId="32791" xr:uid="{65BC597E-E1E5-48DE-9902-82E9530DCCB3}"/>
    <cellStyle name="SAPBEXHLevel1X 3 4 3 4" xfId="26318" xr:uid="{00000000-0005-0000-0000-0000876D0000}"/>
    <cellStyle name="SAPBEXHLevel1X 3 4 3 4 2" xfId="31106" xr:uid="{576D0DCE-441E-4235-BDC2-45CBF8BD80F6}"/>
    <cellStyle name="SAPBEXHLevel1X 3 4 3 5" xfId="29785" xr:uid="{00000000-0005-0000-0000-0000886D0000}"/>
    <cellStyle name="SAPBEXHLevel1X 3 4 4" xfId="27251" xr:uid="{00000000-0005-0000-0000-0000896D0000}"/>
    <cellStyle name="SAPBEXHLevel1X 3 4 4 2" xfId="31886" xr:uid="{63F672A9-7163-4846-A4F7-F37A32EF9F4A}"/>
    <cellStyle name="SAPBEXHLevel1X 3 4 5" xfId="28231" xr:uid="{00000000-0005-0000-0000-00008A6D0000}"/>
    <cellStyle name="SAPBEXHLevel1X 3 4 5 2" xfId="32789" xr:uid="{86D57EB9-09D6-4B2A-B2B8-5F4F3D19E223}"/>
    <cellStyle name="SAPBEXHLevel1X 3 4 6" xfId="27086" xr:uid="{00000000-0005-0000-0000-00008B6D0000}"/>
    <cellStyle name="SAPBEXHLevel1X 3 4 6 2" xfId="31810" xr:uid="{231EB4B4-41F3-473F-B932-712202AC4A18}"/>
    <cellStyle name="SAPBEXHLevel1X 3 4 7" xfId="29783" xr:uid="{00000000-0005-0000-0000-00008C6D0000}"/>
    <cellStyle name="SAPBEXHLevel1X 3 4 8" xfId="30326" xr:uid="{EAB2EE3A-81E1-485D-8B35-11B3CBC29851}"/>
    <cellStyle name="SAPBEXHLevel1X 3 5" xfId="25115" xr:uid="{00000000-0005-0000-0000-00008D6D0000}"/>
    <cellStyle name="SAPBEXHLevel1X 3 5 2" xfId="25303" xr:uid="{00000000-0005-0000-0000-00008E6D0000}"/>
    <cellStyle name="SAPBEXHLevel1X 3 5 2 2" xfId="27457" xr:uid="{00000000-0005-0000-0000-00008F6D0000}"/>
    <cellStyle name="SAPBEXHLevel1X 3 5 2 2 2" xfId="32049" xr:uid="{201859FE-5A1E-4D6B-8FE0-69AE32E4043D}"/>
    <cellStyle name="SAPBEXHLevel1X 3 5 2 3" xfId="28235" xr:uid="{00000000-0005-0000-0000-0000906D0000}"/>
    <cellStyle name="SAPBEXHLevel1X 3 5 2 3 2" xfId="32793" xr:uid="{3D0B7D8D-E6A6-4E24-93BA-BFE4DAE78194}"/>
    <cellStyle name="SAPBEXHLevel1X 3 5 2 4" xfId="26810" xr:uid="{00000000-0005-0000-0000-0000916D0000}"/>
    <cellStyle name="SAPBEXHLevel1X 3 5 2 4 2" xfId="31571" xr:uid="{73618CF3-4B66-445D-A494-E4EF80301B5A}"/>
    <cellStyle name="SAPBEXHLevel1X 3 5 2 5" xfId="29787" xr:uid="{00000000-0005-0000-0000-0000926D0000}"/>
    <cellStyle name="SAPBEXHLevel1X 3 5 2 6" xfId="30462" xr:uid="{734ACAF3-142F-4246-B518-8C74B473D009}"/>
    <cellStyle name="SAPBEXHLevel1X 3 5 3" xfId="25713" xr:uid="{00000000-0005-0000-0000-0000936D0000}"/>
    <cellStyle name="SAPBEXHLevel1X 3 5 3 2" xfId="27866" xr:uid="{00000000-0005-0000-0000-0000946D0000}"/>
    <cellStyle name="SAPBEXHLevel1X 3 5 3 2 2" xfId="32453" xr:uid="{F6598966-1709-47D3-B99B-8EDAE8B66AF2}"/>
    <cellStyle name="SAPBEXHLevel1X 3 5 3 3" xfId="28236" xr:uid="{00000000-0005-0000-0000-0000956D0000}"/>
    <cellStyle name="SAPBEXHLevel1X 3 5 3 3 2" xfId="32794" xr:uid="{56A2F417-65C0-4037-B375-75A66F5B0BE8}"/>
    <cellStyle name="SAPBEXHLevel1X 3 5 3 4" xfId="26939" xr:uid="{00000000-0005-0000-0000-0000966D0000}"/>
    <cellStyle name="SAPBEXHLevel1X 3 5 3 4 2" xfId="31700" xr:uid="{5436CB58-5B4B-4CF4-9905-D5142EC69649}"/>
    <cellStyle name="SAPBEXHLevel1X 3 5 3 5" xfId="29788" xr:uid="{00000000-0005-0000-0000-0000976D0000}"/>
    <cellStyle name="SAPBEXHLevel1X 3 5 3 6" xfId="30707" xr:uid="{6FCC1C26-975C-4935-A2A3-0F1CF74EE553}"/>
    <cellStyle name="SAPBEXHLevel1X 3 5 4" xfId="27400" xr:uid="{00000000-0005-0000-0000-0000986D0000}"/>
    <cellStyle name="SAPBEXHLevel1X 3 5 4 2" xfId="31998" xr:uid="{BC7B6F65-474C-4670-AF1B-A8C89EB75C86}"/>
    <cellStyle name="SAPBEXHLevel1X 3 5 5" xfId="28234" xr:uid="{00000000-0005-0000-0000-0000996D0000}"/>
    <cellStyle name="SAPBEXHLevel1X 3 5 5 2" xfId="32792" xr:uid="{B207DADD-25CB-4D80-A15E-5200573048A8}"/>
    <cellStyle name="SAPBEXHLevel1X 3 5 6" xfId="26923" xr:uid="{00000000-0005-0000-0000-00009A6D0000}"/>
    <cellStyle name="SAPBEXHLevel1X 3 5 6 2" xfId="31684" xr:uid="{33EA3664-990E-4D36-A4D9-551F3E47C593}"/>
    <cellStyle name="SAPBEXHLevel1X 3 5 7" xfId="29786" xr:uid="{00000000-0005-0000-0000-00009B6D0000}"/>
    <cellStyle name="SAPBEXHLevel1X 3 5 8" xfId="30415" xr:uid="{386E2019-ABDD-4DC8-AE5C-8F33CB4F5E08}"/>
    <cellStyle name="SAPBEXHLevel1X 3 6" xfId="25848" xr:uid="{00000000-0005-0000-0000-00009C6D0000}"/>
    <cellStyle name="SAPBEXHLevel1X 3 6 2" xfId="30767" xr:uid="{9469DB00-BBEE-4534-8903-095ABB286398}"/>
    <cellStyle name="SAPBEXHLevel1X 3 7" xfId="28226" xr:uid="{00000000-0005-0000-0000-00009D6D0000}"/>
    <cellStyle name="SAPBEXHLevel1X 3 7 2" xfId="32784" xr:uid="{8E9C2538-EEC5-416E-9CA3-1D190F5A633C}"/>
    <cellStyle name="SAPBEXHLevel1X 3 8" xfId="26450" xr:uid="{00000000-0005-0000-0000-00009E6D0000}"/>
    <cellStyle name="SAPBEXHLevel1X 3 8 2" xfId="31238" xr:uid="{585F0348-A713-46F6-BFCB-E48EDD5DA3B7}"/>
    <cellStyle name="SAPBEXHLevel1X 3 9" xfId="29778" xr:uid="{00000000-0005-0000-0000-00009F6D0000}"/>
    <cellStyle name="SAPBEXHLevel1X 4" xfId="118" xr:uid="{00000000-0005-0000-0000-0000A06D0000}"/>
    <cellStyle name="SAPBEXHLevel1X 4 2" xfId="13652" xr:uid="{00000000-0005-0000-0000-0000A16D0000}"/>
    <cellStyle name="SAPBEXHLevel1X 4 2 2" xfId="25490" xr:uid="{00000000-0005-0000-0000-0000A26D0000}"/>
    <cellStyle name="SAPBEXHLevel1X 4 2 2 2" xfId="27643" xr:uid="{00000000-0005-0000-0000-0000A36D0000}"/>
    <cellStyle name="SAPBEXHLevel1X 4 2 2 2 2" xfId="32230" xr:uid="{C1BCD860-E347-4588-8466-E536128E4A66}"/>
    <cellStyle name="SAPBEXHLevel1X 4 2 2 3" xfId="28239" xr:uid="{00000000-0005-0000-0000-0000A46D0000}"/>
    <cellStyle name="SAPBEXHLevel1X 4 2 2 3 2" xfId="32797" xr:uid="{A1D8DAF0-5A68-4CEF-A6D4-5404F9F9CD94}"/>
    <cellStyle name="SAPBEXHLevel1X 4 2 2 4" xfId="26350" xr:uid="{00000000-0005-0000-0000-0000A56D0000}"/>
    <cellStyle name="SAPBEXHLevel1X 4 2 2 4 2" xfId="31138" xr:uid="{61F5B4B9-F42B-402E-9924-647E3784B993}"/>
    <cellStyle name="SAPBEXHLevel1X 4 2 2 5" xfId="29791" xr:uid="{00000000-0005-0000-0000-0000A66D0000}"/>
    <cellStyle name="SAPBEXHLevel1X 4 2 3" xfId="26594" xr:uid="{00000000-0005-0000-0000-0000A76D0000}"/>
    <cellStyle name="SAPBEXHLevel1X 4 2 3 2" xfId="31372" xr:uid="{5B888614-862B-49CE-A7C8-FDB0746AC848}"/>
    <cellStyle name="SAPBEXHLevel1X 4 2 4" xfId="28238" xr:uid="{00000000-0005-0000-0000-0000A86D0000}"/>
    <cellStyle name="SAPBEXHLevel1X 4 2 4 2" xfId="32796" xr:uid="{DC84D1BE-25A3-40F4-8ABF-51CFDFEC6C41}"/>
    <cellStyle name="SAPBEXHLevel1X 4 2 5" xfId="26855" xr:uid="{00000000-0005-0000-0000-0000A96D0000}"/>
    <cellStyle name="SAPBEXHLevel1X 4 2 5 2" xfId="31616" xr:uid="{D1455F49-F217-468F-AF81-93894F86DFBB}"/>
    <cellStyle name="SAPBEXHLevel1X 4 2 6" xfId="29790" xr:uid="{00000000-0005-0000-0000-0000AA6D0000}"/>
    <cellStyle name="SAPBEXHLevel1X 4 2 7" xfId="30192" xr:uid="{1DBE59E6-9AB9-4FDF-8CA5-C4B9CC85EC3E}"/>
    <cellStyle name="SAPBEXHLevel1X 4 3" xfId="25849" xr:uid="{00000000-0005-0000-0000-0000AB6D0000}"/>
    <cellStyle name="SAPBEXHLevel1X 4 3 2" xfId="30768" xr:uid="{32EFDCCB-36FD-472C-98BA-C029E28A1120}"/>
    <cellStyle name="SAPBEXHLevel1X 4 4" xfId="28237" xr:uid="{00000000-0005-0000-0000-0000AC6D0000}"/>
    <cellStyle name="SAPBEXHLevel1X 4 4 2" xfId="32795" xr:uid="{A961799A-0AA5-41D4-A181-C3DC80638E6D}"/>
    <cellStyle name="SAPBEXHLevel1X 4 5" xfId="29257" xr:uid="{00000000-0005-0000-0000-0000AD6D0000}"/>
    <cellStyle name="SAPBEXHLevel1X 4 5 2" xfId="33239" xr:uid="{46C812CC-398E-4888-91C5-5FC0E3311A2D}"/>
    <cellStyle name="SAPBEXHLevel1X 4 6" xfId="29789" xr:uid="{00000000-0005-0000-0000-0000AE6D0000}"/>
    <cellStyle name="SAPBEXHLevel1X 5" xfId="253" xr:uid="{00000000-0005-0000-0000-0000AF6D0000}"/>
    <cellStyle name="SAPBEXHLevel1X 5 2" xfId="13718" xr:uid="{00000000-0005-0000-0000-0000B06D0000}"/>
    <cellStyle name="SAPBEXHLevel1X 5 2 2" xfId="25531" xr:uid="{00000000-0005-0000-0000-0000B16D0000}"/>
    <cellStyle name="SAPBEXHLevel1X 5 2 2 2" xfId="27684" xr:uid="{00000000-0005-0000-0000-0000B26D0000}"/>
    <cellStyle name="SAPBEXHLevel1X 5 2 2 2 2" xfId="32271" xr:uid="{515C02B7-7EFF-48C7-989E-3ED08A7EF590}"/>
    <cellStyle name="SAPBEXHLevel1X 5 2 2 3" xfId="28242" xr:uid="{00000000-0005-0000-0000-0000B36D0000}"/>
    <cellStyle name="SAPBEXHLevel1X 5 2 2 3 2" xfId="32800" xr:uid="{0D448793-98C4-454C-919C-CCC4EEE1BCFE}"/>
    <cellStyle name="SAPBEXHLevel1X 5 2 2 4" xfId="26976" xr:uid="{00000000-0005-0000-0000-0000B46D0000}"/>
    <cellStyle name="SAPBEXHLevel1X 5 2 2 4 2" xfId="31737" xr:uid="{D0FE9E2B-8166-4A10-BFBC-374652E2A0E4}"/>
    <cellStyle name="SAPBEXHLevel1X 5 2 2 5" xfId="29794" xr:uid="{00000000-0005-0000-0000-0000B56D0000}"/>
    <cellStyle name="SAPBEXHLevel1X 5 2 3" xfId="26638" xr:uid="{00000000-0005-0000-0000-0000B66D0000}"/>
    <cellStyle name="SAPBEXHLevel1X 5 2 3 2" xfId="31415" xr:uid="{C85D6FD8-9283-4CF8-A106-2A087FA669AB}"/>
    <cellStyle name="SAPBEXHLevel1X 5 2 4" xfId="28241" xr:uid="{00000000-0005-0000-0000-0000B76D0000}"/>
    <cellStyle name="SAPBEXHLevel1X 5 2 4 2" xfId="32799" xr:uid="{034376D8-3324-45BF-AC4B-E7A46008B6CC}"/>
    <cellStyle name="SAPBEXHLevel1X 5 2 5" xfId="26066" xr:uid="{00000000-0005-0000-0000-0000B86D0000}"/>
    <cellStyle name="SAPBEXHLevel1X 5 2 5 2" xfId="30856" xr:uid="{5C26016D-D73F-4C40-B619-40FAD460D39D}"/>
    <cellStyle name="SAPBEXHLevel1X 5 2 6" xfId="29793" xr:uid="{00000000-0005-0000-0000-0000B96D0000}"/>
    <cellStyle name="SAPBEXHLevel1X 5 2 7" xfId="30233" xr:uid="{05AC14C5-307C-4030-9D03-24484CE872BD}"/>
    <cellStyle name="SAPBEXHLevel1X 5 3" xfId="25921" xr:uid="{00000000-0005-0000-0000-0000BA6D0000}"/>
    <cellStyle name="SAPBEXHLevel1X 5 3 2" xfId="30810" xr:uid="{2A31D332-CB0B-4AAA-BCA3-78AF2949C5C2}"/>
    <cellStyle name="SAPBEXHLevel1X 5 4" xfId="28240" xr:uid="{00000000-0005-0000-0000-0000BB6D0000}"/>
    <cellStyle name="SAPBEXHLevel1X 5 4 2" xfId="32798" xr:uid="{E8DA3C27-A5AC-431B-BC43-D9396C693F95}"/>
    <cellStyle name="SAPBEXHLevel1X 5 5" xfId="26472" xr:uid="{00000000-0005-0000-0000-0000BC6D0000}"/>
    <cellStyle name="SAPBEXHLevel1X 5 5 2" xfId="31260" xr:uid="{8F23E2C8-D5A5-44A3-9E3B-A0590CD2A96A}"/>
    <cellStyle name="SAPBEXHLevel1X 5 6" xfId="29792" xr:uid="{00000000-0005-0000-0000-0000BD6D0000}"/>
    <cellStyle name="SAPBEXHLevel1X 6" xfId="13649" xr:uid="{00000000-0005-0000-0000-0000BE6D0000}"/>
    <cellStyle name="SAPBEXHLevel1X 6 2" xfId="25487" xr:uid="{00000000-0005-0000-0000-0000BF6D0000}"/>
    <cellStyle name="SAPBEXHLevel1X 6 2 2" xfId="27640" xr:uid="{00000000-0005-0000-0000-0000C06D0000}"/>
    <cellStyle name="SAPBEXHLevel1X 6 2 2 2" xfId="32227" xr:uid="{2F7BD0D8-CC3A-4E86-A90A-E8F03AEE5EEC}"/>
    <cellStyle name="SAPBEXHLevel1X 6 2 3" xfId="28244" xr:uid="{00000000-0005-0000-0000-0000C16D0000}"/>
    <cellStyle name="SAPBEXHLevel1X 6 2 3 2" xfId="32802" xr:uid="{77CC2611-AFB1-4BCF-99EB-E06FAAA54A24}"/>
    <cellStyle name="SAPBEXHLevel1X 6 2 4" xfId="26077" xr:uid="{00000000-0005-0000-0000-0000C26D0000}"/>
    <cellStyle name="SAPBEXHLevel1X 6 2 4 2" xfId="30867" xr:uid="{CBB4310B-ECA9-4F3F-A1F3-EC47936D54DB}"/>
    <cellStyle name="SAPBEXHLevel1X 6 2 5" xfId="29796" xr:uid="{00000000-0005-0000-0000-0000C36D0000}"/>
    <cellStyle name="SAPBEXHLevel1X 6 3" xfId="26591" xr:uid="{00000000-0005-0000-0000-0000C46D0000}"/>
    <cellStyle name="SAPBEXHLevel1X 6 3 2" xfId="31369" xr:uid="{DADFDD32-9742-4B35-B016-3F10EFCA5CDE}"/>
    <cellStyle name="SAPBEXHLevel1X 6 4" xfId="28243" xr:uid="{00000000-0005-0000-0000-0000C56D0000}"/>
    <cellStyle name="SAPBEXHLevel1X 6 4 2" xfId="32801" xr:uid="{384CB625-7F6C-4DB4-A730-C463729B59DB}"/>
    <cellStyle name="SAPBEXHLevel1X 6 5" xfId="26188" xr:uid="{00000000-0005-0000-0000-0000C66D0000}"/>
    <cellStyle name="SAPBEXHLevel1X 6 5 2" xfId="30976" xr:uid="{8A2D5773-9E4B-468D-BF61-DADC03663E1A}"/>
    <cellStyle name="SAPBEXHLevel1X 6 6" xfId="29795" xr:uid="{00000000-0005-0000-0000-0000C76D0000}"/>
    <cellStyle name="SAPBEXHLevel1X 6 7" xfId="30189" xr:uid="{89424B0F-63F1-4DAD-9AD0-480D3DF47F15}"/>
    <cellStyle name="SAPBEXHLevel1X 7" xfId="24660" xr:uid="{00000000-0005-0000-0000-0000C86D0000}"/>
    <cellStyle name="SAPBEXHLevel1X 7 2" xfId="25384" xr:uid="{00000000-0005-0000-0000-0000C96D0000}"/>
    <cellStyle name="SAPBEXHLevel1X 7 2 2" xfId="27538" xr:uid="{00000000-0005-0000-0000-0000CA6D0000}"/>
    <cellStyle name="SAPBEXHLevel1X 7 2 2 2" xfId="32129" xr:uid="{E3F8D768-4E45-45AD-A328-5DD1CDD3A005}"/>
    <cellStyle name="SAPBEXHLevel1X 7 2 3" xfId="28246" xr:uid="{00000000-0005-0000-0000-0000CB6D0000}"/>
    <cellStyle name="SAPBEXHLevel1X 7 2 3 2" xfId="32804" xr:uid="{868805F1-A02D-4C73-BDA5-CFDBD81FD33E}"/>
    <cellStyle name="SAPBEXHLevel1X 7 2 4" xfId="26478" xr:uid="{00000000-0005-0000-0000-0000CC6D0000}"/>
    <cellStyle name="SAPBEXHLevel1X 7 2 4 2" xfId="31266" xr:uid="{57FEDCD9-D707-4D7B-BD5C-7979B07A6BD1}"/>
    <cellStyle name="SAPBEXHLevel1X 7 2 5" xfId="29798" xr:uid="{00000000-0005-0000-0000-0000CD6D0000}"/>
    <cellStyle name="SAPBEXHLevel1X 7 2 6" xfId="30542" xr:uid="{FE71CFAC-3E37-4B41-BF51-07972614AFE0}"/>
    <cellStyle name="SAPBEXHLevel1X 7 3" xfId="25626" xr:uid="{00000000-0005-0000-0000-0000CE6D0000}"/>
    <cellStyle name="SAPBEXHLevel1X 7 3 2" xfId="27779" xr:uid="{00000000-0005-0000-0000-0000CF6D0000}"/>
    <cellStyle name="SAPBEXHLevel1X 7 3 2 2" xfId="32366" xr:uid="{AA6ED78A-D6DD-44AA-A418-5F23D2BBC751}"/>
    <cellStyle name="SAPBEXHLevel1X 7 3 3" xfId="28247" xr:uid="{00000000-0005-0000-0000-0000D06D0000}"/>
    <cellStyle name="SAPBEXHLevel1X 7 3 3 2" xfId="32805" xr:uid="{69F631F9-210E-4759-8593-6B87CF1EE796}"/>
    <cellStyle name="SAPBEXHLevel1X 7 3 4" xfId="26287" xr:uid="{00000000-0005-0000-0000-0000D16D0000}"/>
    <cellStyle name="SAPBEXHLevel1X 7 3 4 2" xfId="31075" xr:uid="{0ABF05B7-6ABE-4542-867C-2BA95B8FAAE6}"/>
    <cellStyle name="SAPBEXHLevel1X 7 3 5" xfId="29799" xr:uid="{00000000-0005-0000-0000-0000D26D0000}"/>
    <cellStyle name="SAPBEXHLevel1X 7 4" xfId="27253" xr:uid="{00000000-0005-0000-0000-0000D36D0000}"/>
    <cellStyle name="SAPBEXHLevel1X 7 4 2" xfId="31888" xr:uid="{1C00ECD6-4BE2-4528-BCEA-EB20228F42EB}"/>
    <cellStyle name="SAPBEXHLevel1X 7 5" xfId="28245" xr:uid="{00000000-0005-0000-0000-0000D46D0000}"/>
    <cellStyle name="SAPBEXHLevel1X 7 5 2" xfId="32803" xr:uid="{969721FB-D643-4D75-9485-CD0869262CBC}"/>
    <cellStyle name="SAPBEXHLevel1X 7 6" xfId="26972" xr:uid="{00000000-0005-0000-0000-0000D56D0000}"/>
    <cellStyle name="SAPBEXHLevel1X 7 6 2" xfId="31733" xr:uid="{AAA01AFD-4F5B-4857-8E55-B1CFFF9F552C}"/>
    <cellStyle name="SAPBEXHLevel1X 7 7" xfId="29797" xr:uid="{00000000-0005-0000-0000-0000D66D0000}"/>
    <cellStyle name="SAPBEXHLevel1X 7 8" xfId="30328" xr:uid="{73345D3E-011D-4B5D-9BB5-FEBDDA2918C4}"/>
    <cellStyle name="SAPBEXHLevel1X 8" xfId="25113" xr:uid="{00000000-0005-0000-0000-0000D76D0000}"/>
    <cellStyle name="SAPBEXHLevel1X 8 2" xfId="25380" xr:uid="{00000000-0005-0000-0000-0000D86D0000}"/>
    <cellStyle name="SAPBEXHLevel1X 8 2 2" xfId="27534" xr:uid="{00000000-0005-0000-0000-0000D96D0000}"/>
    <cellStyle name="SAPBEXHLevel1X 8 2 2 2" xfId="32125" xr:uid="{EB54A12F-C3C9-408C-9C03-5BFB95FC73E8}"/>
    <cellStyle name="SAPBEXHLevel1X 8 2 3" xfId="28249" xr:uid="{00000000-0005-0000-0000-0000DA6D0000}"/>
    <cellStyle name="SAPBEXHLevel1X 8 2 3 2" xfId="32807" xr:uid="{8A43542F-11A9-4DA6-85F2-ACE09E3F23CB}"/>
    <cellStyle name="SAPBEXHLevel1X 8 2 4" xfId="26978" xr:uid="{00000000-0005-0000-0000-0000DB6D0000}"/>
    <cellStyle name="SAPBEXHLevel1X 8 2 4 2" xfId="31739" xr:uid="{709FD634-255B-4941-9184-DE017BF3646A}"/>
    <cellStyle name="SAPBEXHLevel1X 8 2 5" xfId="29801" xr:uid="{00000000-0005-0000-0000-0000DC6D0000}"/>
    <cellStyle name="SAPBEXHLevel1X 8 2 6" xfId="30538" xr:uid="{EB440985-0378-4039-9919-959C84D7D378}"/>
    <cellStyle name="SAPBEXHLevel1X 8 3" xfId="25711" xr:uid="{00000000-0005-0000-0000-0000DD6D0000}"/>
    <cellStyle name="SAPBEXHLevel1X 8 3 2" xfId="27864" xr:uid="{00000000-0005-0000-0000-0000DE6D0000}"/>
    <cellStyle name="SAPBEXHLevel1X 8 3 2 2" xfId="32451" xr:uid="{6D7F942A-914F-48BE-AE7A-943D2B2AB4F9}"/>
    <cellStyle name="SAPBEXHLevel1X 8 3 3" xfId="28250" xr:uid="{00000000-0005-0000-0000-0000DF6D0000}"/>
    <cellStyle name="SAPBEXHLevel1X 8 3 3 2" xfId="32808" xr:uid="{6EF56C93-48D0-4A8F-8D07-D9F573EFF668}"/>
    <cellStyle name="SAPBEXHLevel1X 8 3 4" xfId="26895" xr:uid="{00000000-0005-0000-0000-0000E06D0000}"/>
    <cellStyle name="SAPBEXHLevel1X 8 3 4 2" xfId="31656" xr:uid="{6BDA569C-B837-4519-A6A4-784621007E39}"/>
    <cellStyle name="SAPBEXHLevel1X 8 3 5" xfId="29802" xr:uid="{00000000-0005-0000-0000-0000E16D0000}"/>
    <cellStyle name="SAPBEXHLevel1X 8 3 6" xfId="30705" xr:uid="{01D8D8D4-C429-4C6C-B9A3-7644B152D0B5}"/>
    <cellStyle name="SAPBEXHLevel1X 8 4" xfId="27398" xr:uid="{00000000-0005-0000-0000-0000E26D0000}"/>
    <cellStyle name="SAPBEXHLevel1X 8 4 2" xfId="31996" xr:uid="{289ED923-19B9-4AB7-A872-DFBB9811D290}"/>
    <cellStyle name="SAPBEXHLevel1X 8 5" xfId="28248" xr:uid="{00000000-0005-0000-0000-0000E36D0000}"/>
    <cellStyle name="SAPBEXHLevel1X 8 5 2" xfId="32806" xr:uid="{A3B2CDEF-8CEE-40EF-9E4E-46D7695B4E7D}"/>
    <cellStyle name="SAPBEXHLevel1X 8 6" xfId="26971" xr:uid="{00000000-0005-0000-0000-0000E46D0000}"/>
    <cellStyle name="SAPBEXHLevel1X 8 6 2" xfId="31732" xr:uid="{F285A251-5170-4697-8D64-0425ABDECD41}"/>
    <cellStyle name="SAPBEXHLevel1X 8 7" xfId="29800" xr:uid="{00000000-0005-0000-0000-0000E56D0000}"/>
    <cellStyle name="SAPBEXHLevel1X 8 8" xfId="30413" xr:uid="{C51D6A8E-3252-41BA-9778-537C3A8A4CFE}"/>
    <cellStyle name="SAPBEXHLevel1X 9" xfId="25846" xr:uid="{00000000-0005-0000-0000-0000E66D0000}"/>
    <cellStyle name="SAPBEXHLevel1X 9 2" xfId="30765" xr:uid="{5BC7F63C-EAC2-4424-939C-381607A5129E}"/>
    <cellStyle name="SAPBEXHLevel2" xfId="119" xr:uid="{00000000-0005-0000-0000-0000E76D0000}"/>
    <cellStyle name="SAPBEXHLevel2 10" xfId="28251" xr:uid="{00000000-0005-0000-0000-0000E86D0000}"/>
    <cellStyle name="SAPBEXHLevel2 10 2" xfId="32809" xr:uid="{A3D3E06A-5513-4E5F-91F6-4FAC14199F8D}"/>
    <cellStyle name="SAPBEXHLevel2 11" xfId="29206" xr:uid="{00000000-0005-0000-0000-0000E96D0000}"/>
    <cellStyle name="SAPBEXHLevel2 11 2" xfId="33189" xr:uid="{86A1CC10-CCA7-4242-B5C9-DC9809DC3CE6}"/>
    <cellStyle name="SAPBEXHLevel2 12" xfId="29803" xr:uid="{00000000-0005-0000-0000-0000EA6D0000}"/>
    <cellStyle name="SAPBEXHLevel2 2" xfId="120" xr:uid="{00000000-0005-0000-0000-0000EB6D0000}"/>
    <cellStyle name="SAPBEXHLevel2 2 2" xfId="13654" xr:uid="{00000000-0005-0000-0000-0000EC6D0000}"/>
    <cellStyle name="SAPBEXHLevel2 2 2 2" xfId="25492" xr:uid="{00000000-0005-0000-0000-0000ED6D0000}"/>
    <cellStyle name="SAPBEXHLevel2 2 2 2 2" xfId="27645" xr:uid="{00000000-0005-0000-0000-0000EE6D0000}"/>
    <cellStyle name="SAPBEXHLevel2 2 2 2 2 2" xfId="32232" xr:uid="{06FD7798-04C7-49F7-ADEC-68DD7664A2C3}"/>
    <cellStyle name="SAPBEXHLevel2 2 2 2 3" xfId="28254" xr:uid="{00000000-0005-0000-0000-0000EF6D0000}"/>
    <cellStyle name="SAPBEXHLevel2 2 2 2 3 2" xfId="32812" xr:uid="{2FAE2923-34C3-4840-9655-0B08A418A4D6}"/>
    <cellStyle name="SAPBEXHLevel2 2 2 2 4" xfId="26071" xr:uid="{00000000-0005-0000-0000-0000F06D0000}"/>
    <cellStyle name="SAPBEXHLevel2 2 2 2 4 2" xfId="30861" xr:uid="{24DFBB97-8714-4DB9-95F9-3E9D95635A35}"/>
    <cellStyle name="SAPBEXHLevel2 2 2 2 5" xfId="29806" xr:uid="{00000000-0005-0000-0000-0000F16D0000}"/>
    <cellStyle name="SAPBEXHLevel2 2 2 3" xfId="26596" xr:uid="{00000000-0005-0000-0000-0000F26D0000}"/>
    <cellStyle name="SAPBEXHLevel2 2 2 3 2" xfId="31374" xr:uid="{2AACC676-0188-4899-B256-2E2BFD55C95B}"/>
    <cellStyle name="SAPBEXHLevel2 2 2 4" xfId="28253" xr:uid="{00000000-0005-0000-0000-0000F36D0000}"/>
    <cellStyle name="SAPBEXHLevel2 2 2 4 2" xfId="32811" xr:uid="{A73B4739-4538-453A-9BF7-03C5CF943844}"/>
    <cellStyle name="SAPBEXHLevel2 2 2 5" xfId="26747" xr:uid="{00000000-0005-0000-0000-0000F46D0000}"/>
    <cellStyle name="SAPBEXHLevel2 2 2 5 2" xfId="31508" xr:uid="{6449C02D-757E-40B1-B13D-7E65A61E3FD0}"/>
    <cellStyle name="SAPBEXHLevel2 2 2 6" xfId="29805" xr:uid="{00000000-0005-0000-0000-0000F56D0000}"/>
    <cellStyle name="SAPBEXHLevel2 2 2 7" xfId="30194" xr:uid="{A03D528A-C959-445B-A1D6-8F82FE5BDEB9}"/>
    <cellStyle name="SAPBEXHLevel2 2 3" xfId="24262" xr:uid="{00000000-0005-0000-0000-0000F66D0000}"/>
    <cellStyle name="SAPBEXHLevel2 2 3 2" xfId="25583" xr:uid="{00000000-0005-0000-0000-0000F76D0000}"/>
    <cellStyle name="SAPBEXHLevel2 2 3 2 2" xfId="27736" xr:uid="{00000000-0005-0000-0000-0000F86D0000}"/>
    <cellStyle name="SAPBEXHLevel2 2 3 2 2 2" xfId="32323" xr:uid="{005227D4-A81F-400E-A27F-4638D6CA4369}"/>
    <cellStyle name="SAPBEXHLevel2 2 3 2 3" xfId="28256" xr:uid="{00000000-0005-0000-0000-0000F96D0000}"/>
    <cellStyle name="SAPBEXHLevel2 2 3 2 3 2" xfId="32814" xr:uid="{ED71EB9A-7FBF-4B6E-993B-95A7EB5BC4BA}"/>
    <cellStyle name="SAPBEXHLevel2 2 3 2 4" xfId="26158" xr:uid="{00000000-0005-0000-0000-0000FA6D0000}"/>
    <cellStyle name="SAPBEXHLevel2 2 3 2 4 2" xfId="30947" xr:uid="{9A1477DC-7001-45D1-A39E-51B90E043F8D}"/>
    <cellStyle name="SAPBEXHLevel2 2 3 2 5" xfId="29808" xr:uid="{00000000-0005-0000-0000-0000FB6D0000}"/>
    <cellStyle name="SAPBEXHLevel2 2 3 3" xfId="27116" xr:uid="{00000000-0005-0000-0000-0000FC6D0000}"/>
    <cellStyle name="SAPBEXHLevel2 2 3 3 2" xfId="31834" xr:uid="{512B381D-420B-41AF-868F-1994945E8FC7}"/>
    <cellStyle name="SAPBEXHLevel2 2 3 4" xfId="28255" xr:uid="{00000000-0005-0000-0000-0000FD6D0000}"/>
    <cellStyle name="SAPBEXHLevel2 2 3 4 2" xfId="32813" xr:uid="{241FB119-66B3-403C-B1EA-5F8C3F68F95F}"/>
    <cellStyle name="SAPBEXHLevel2 2 3 5" xfId="26337" xr:uid="{00000000-0005-0000-0000-0000FE6D0000}"/>
    <cellStyle name="SAPBEXHLevel2 2 3 5 2" xfId="31125" xr:uid="{8AA08D84-CE9F-4751-9D73-8752D71DFE07}"/>
    <cellStyle name="SAPBEXHLevel2 2 3 6" xfId="29807" xr:uid="{00000000-0005-0000-0000-0000FF6D0000}"/>
    <cellStyle name="SAPBEXHLevel2 2 3 7" xfId="30285" xr:uid="{C0C5A759-96D1-4F0C-8732-F4843E4509A5}"/>
    <cellStyle name="SAPBEXHLevel2 2 4" xfId="24656" xr:uid="{00000000-0005-0000-0000-0000006E0000}"/>
    <cellStyle name="SAPBEXHLevel2 2 4 2" xfId="25363" xr:uid="{00000000-0005-0000-0000-0000016E0000}"/>
    <cellStyle name="SAPBEXHLevel2 2 4 2 2" xfId="27517" xr:uid="{00000000-0005-0000-0000-0000026E0000}"/>
    <cellStyle name="SAPBEXHLevel2 2 4 2 2 2" xfId="32108" xr:uid="{CE074DA2-9B3F-467E-B1F3-450F2A614D22}"/>
    <cellStyle name="SAPBEXHLevel2 2 4 2 3" xfId="28258" xr:uid="{00000000-0005-0000-0000-0000036E0000}"/>
    <cellStyle name="SAPBEXHLevel2 2 4 2 3 2" xfId="32816" xr:uid="{CBE2EA76-0ECB-4595-AE13-BAC5AD53EC28}"/>
    <cellStyle name="SAPBEXHLevel2 2 4 2 4" xfId="26987" xr:uid="{00000000-0005-0000-0000-0000046E0000}"/>
    <cellStyle name="SAPBEXHLevel2 2 4 2 4 2" xfId="31748" xr:uid="{1B407ABD-BFDA-4D5A-9ACD-D5EFC2F04539}"/>
    <cellStyle name="SAPBEXHLevel2 2 4 2 5" xfId="29810" xr:uid="{00000000-0005-0000-0000-0000056E0000}"/>
    <cellStyle name="SAPBEXHLevel2 2 4 2 6" xfId="30521" xr:uid="{18BE5C8E-9603-4C28-A8AF-1CD689AA3382}"/>
    <cellStyle name="SAPBEXHLevel2 2 4 3" xfId="25622" xr:uid="{00000000-0005-0000-0000-0000066E0000}"/>
    <cellStyle name="SAPBEXHLevel2 2 4 3 2" xfId="27775" xr:uid="{00000000-0005-0000-0000-0000076E0000}"/>
    <cellStyle name="SAPBEXHLevel2 2 4 3 2 2" xfId="32362" xr:uid="{9F28561E-3A49-4746-B882-B32377E806ED}"/>
    <cellStyle name="SAPBEXHLevel2 2 4 3 3" xfId="28259" xr:uid="{00000000-0005-0000-0000-0000086E0000}"/>
    <cellStyle name="SAPBEXHLevel2 2 4 3 3 2" xfId="32817" xr:uid="{7AD81A38-345A-4F04-BDC0-8FA1CA9F63A8}"/>
    <cellStyle name="SAPBEXHLevel2 2 4 3 4" xfId="26067" xr:uid="{00000000-0005-0000-0000-0000096E0000}"/>
    <cellStyle name="SAPBEXHLevel2 2 4 3 4 2" xfId="30857" xr:uid="{3E2A08D0-A9D1-4484-8D69-B4C16986B9CB}"/>
    <cellStyle name="SAPBEXHLevel2 2 4 3 5" xfId="29811" xr:uid="{00000000-0005-0000-0000-00000A6E0000}"/>
    <cellStyle name="SAPBEXHLevel2 2 4 4" xfId="27249" xr:uid="{00000000-0005-0000-0000-00000B6E0000}"/>
    <cellStyle name="SAPBEXHLevel2 2 4 4 2" xfId="31884" xr:uid="{6D935B50-432E-49F6-9326-699CA108C07A}"/>
    <cellStyle name="SAPBEXHLevel2 2 4 5" xfId="28257" xr:uid="{00000000-0005-0000-0000-00000C6E0000}"/>
    <cellStyle name="SAPBEXHLevel2 2 4 5 2" xfId="32815" xr:uid="{8CBD8714-094C-4092-BCF7-A4E11E8A7DA0}"/>
    <cellStyle name="SAPBEXHLevel2 2 4 6" xfId="26175" xr:uid="{00000000-0005-0000-0000-00000D6E0000}"/>
    <cellStyle name="SAPBEXHLevel2 2 4 6 2" xfId="30964" xr:uid="{369EB1D7-63FF-4833-8A9C-E20DC9534BD7}"/>
    <cellStyle name="SAPBEXHLevel2 2 4 7" xfId="29809" xr:uid="{00000000-0005-0000-0000-00000E6E0000}"/>
    <cellStyle name="SAPBEXHLevel2 2 4 8" xfId="30324" xr:uid="{C5E97B17-0015-4304-82EB-141DAC05A722}"/>
    <cellStyle name="SAPBEXHLevel2 2 5" xfId="25117" xr:uid="{00000000-0005-0000-0000-00000F6E0000}"/>
    <cellStyle name="SAPBEXHLevel2 2 5 2" xfId="25319" xr:uid="{00000000-0005-0000-0000-0000106E0000}"/>
    <cellStyle name="SAPBEXHLevel2 2 5 2 2" xfId="27473" xr:uid="{00000000-0005-0000-0000-0000116E0000}"/>
    <cellStyle name="SAPBEXHLevel2 2 5 2 2 2" xfId="32064" xr:uid="{AAF296A2-72DA-46FD-8D2E-FAFA54C860E2}"/>
    <cellStyle name="SAPBEXHLevel2 2 5 2 3" xfId="28261" xr:uid="{00000000-0005-0000-0000-0000126E0000}"/>
    <cellStyle name="SAPBEXHLevel2 2 5 2 3 2" xfId="32819" xr:uid="{551BF80C-B8F8-4C41-9F61-52D714ADA62D}"/>
    <cellStyle name="SAPBEXHLevel2 2 5 2 4" xfId="26289" xr:uid="{00000000-0005-0000-0000-0000136E0000}"/>
    <cellStyle name="SAPBEXHLevel2 2 5 2 4 2" xfId="31077" xr:uid="{FB2A98D3-1333-41EC-948B-CA3C0C384C18}"/>
    <cellStyle name="SAPBEXHLevel2 2 5 2 5" xfId="29813" xr:uid="{00000000-0005-0000-0000-0000146E0000}"/>
    <cellStyle name="SAPBEXHLevel2 2 5 2 6" xfId="30477" xr:uid="{C53DB107-816D-4071-A48C-3B293C25CF16}"/>
    <cellStyle name="SAPBEXHLevel2 2 5 3" xfId="25715" xr:uid="{00000000-0005-0000-0000-0000156E0000}"/>
    <cellStyle name="SAPBEXHLevel2 2 5 3 2" xfId="27868" xr:uid="{00000000-0005-0000-0000-0000166E0000}"/>
    <cellStyle name="SAPBEXHLevel2 2 5 3 2 2" xfId="32455" xr:uid="{7098BD23-4B70-4888-A6E5-4388066219A1}"/>
    <cellStyle name="SAPBEXHLevel2 2 5 3 3" xfId="28262" xr:uid="{00000000-0005-0000-0000-0000176E0000}"/>
    <cellStyle name="SAPBEXHLevel2 2 5 3 3 2" xfId="32820" xr:uid="{A8EC214C-108F-4598-93EC-D580DC8A6AEF}"/>
    <cellStyle name="SAPBEXHLevel2 2 5 3 4" xfId="27148" xr:uid="{00000000-0005-0000-0000-0000186E0000}"/>
    <cellStyle name="SAPBEXHLevel2 2 5 3 4 2" xfId="31850" xr:uid="{BC49B553-EA42-4DF0-88BC-FED62E4B5CBB}"/>
    <cellStyle name="SAPBEXHLevel2 2 5 3 5" xfId="29814" xr:uid="{00000000-0005-0000-0000-0000196E0000}"/>
    <cellStyle name="SAPBEXHLevel2 2 5 3 6" xfId="30709" xr:uid="{45D3B5A5-42C2-4ACC-B92E-206F914567FF}"/>
    <cellStyle name="SAPBEXHLevel2 2 5 4" xfId="27402" xr:uid="{00000000-0005-0000-0000-00001A6E0000}"/>
    <cellStyle name="SAPBEXHLevel2 2 5 4 2" xfId="32000" xr:uid="{16CB77B7-DE57-437F-AF1F-5D98B867886D}"/>
    <cellStyle name="SAPBEXHLevel2 2 5 5" xfId="28260" xr:uid="{00000000-0005-0000-0000-00001B6E0000}"/>
    <cellStyle name="SAPBEXHLevel2 2 5 5 2" xfId="32818" xr:uid="{CC0E23F3-1AA0-4032-8F6B-72A83F20EA81}"/>
    <cellStyle name="SAPBEXHLevel2 2 5 6" xfId="26860" xr:uid="{00000000-0005-0000-0000-00001C6E0000}"/>
    <cellStyle name="SAPBEXHLevel2 2 5 6 2" xfId="31621" xr:uid="{24ABD72B-DCDA-4F59-8E15-EAACD49A855E}"/>
    <cellStyle name="SAPBEXHLevel2 2 5 7" xfId="29812" xr:uid="{00000000-0005-0000-0000-00001D6E0000}"/>
    <cellStyle name="SAPBEXHLevel2 2 5 8" xfId="30417" xr:uid="{0FBF80A7-02C3-4C5C-94A7-72A1A9FDF956}"/>
    <cellStyle name="SAPBEXHLevel2 2 6" xfId="25851" xr:uid="{00000000-0005-0000-0000-00001E6E0000}"/>
    <cellStyle name="SAPBEXHLevel2 2 6 2" xfId="30770" xr:uid="{9590E993-97D8-4406-8CE6-F1F86D500F54}"/>
    <cellStyle name="SAPBEXHLevel2 2 7" xfId="28252" xr:uid="{00000000-0005-0000-0000-00001F6E0000}"/>
    <cellStyle name="SAPBEXHLevel2 2 7 2" xfId="32810" xr:uid="{8D367D9E-5CCF-4F3A-AB03-CCCCF0CEA32B}"/>
    <cellStyle name="SAPBEXHLevel2 2 8" xfId="29183" xr:uid="{00000000-0005-0000-0000-0000206E0000}"/>
    <cellStyle name="SAPBEXHLevel2 2 8 2" xfId="33166" xr:uid="{444240FB-534D-4169-B20B-87A2532061BB}"/>
    <cellStyle name="SAPBEXHLevel2 2 9" xfId="29804" xr:uid="{00000000-0005-0000-0000-0000216E0000}"/>
    <cellStyle name="SAPBEXHLevel2 3" xfId="121" xr:uid="{00000000-0005-0000-0000-0000226E0000}"/>
    <cellStyle name="SAPBEXHLevel2 3 2" xfId="13655" xr:uid="{00000000-0005-0000-0000-0000236E0000}"/>
    <cellStyle name="SAPBEXHLevel2 3 2 2" xfId="25493" xr:uid="{00000000-0005-0000-0000-0000246E0000}"/>
    <cellStyle name="SAPBEXHLevel2 3 2 2 2" xfId="27646" xr:uid="{00000000-0005-0000-0000-0000256E0000}"/>
    <cellStyle name="SAPBEXHLevel2 3 2 2 2 2" xfId="32233" xr:uid="{504F2774-0FA1-4D79-A136-52ED3839BB01}"/>
    <cellStyle name="SAPBEXHLevel2 3 2 2 3" xfId="28265" xr:uid="{00000000-0005-0000-0000-0000266E0000}"/>
    <cellStyle name="SAPBEXHLevel2 3 2 2 3 2" xfId="32823" xr:uid="{3E9416FC-A5FD-4D32-8919-027C9C2B4887}"/>
    <cellStyle name="SAPBEXHLevel2 3 2 2 4" xfId="26162" xr:uid="{00000000-0005-0000-0000-0000276E0000}"/>
    <cellStyle name="SAPBEXHLevel2 3 2 2 4 2" xfId="30951" xr:uid="{08565796-4B28-4EDC-A211-AB56246ADDF3}"/>
    <cellStyle name="SAPBEXHLevel2 3 2 2 5" xfId="29817" xr:uid="{00000000-0005-0000-0000-0000286E0000}"/>
    <cellStyle name="SAPBEXHLevel2 3 2 3" xfId="26597" xr:uid="{00000000-0005-0000-0000-0000296E0000}"/>
    <cellStyle name="SAPBEXHLevel2 3 2 3 2" xfId="31375" xr:uid="{F84F91DA-D7DE-439B-A121-CCADB104EB27}"/>
    <cellStyle name="SAPBEXHLevel2 3 2 4" xfId="28264" xr:uid="{00000000-0005-0000-0000-00002A6E0000}"/>
    <cellStyle name="SAPBEXHLevel2 3 2 4 2" xfId="32822" xr:uid="{55A94946-4DB4-41D4-A569-7B1DFA6F289D}"/>
    <cellStyle name="SAPBEXHLevel2 3 2 5" xfId="27003" xr:uid="{00000000-0005-0000-0000-00002B6E0000}"/>
    <cellStyle name="SAPBEXHLevel2 3 2 5 2" xfId="31763" xr:uid="{D409D6EC-0C24-4973-AF04-EB019E4141AE}"/>
    <cellStyle name="SAPBEXHLevel2 3 2 6" xfId="29816" xr:uid="{00000000-0005-0000-0000-00002C6E0000}"/>
    <cellStyle name="SAPBEXHLevel2 3 2 7" xfId="30195" xr:uid="{0EFF9024-79DD-4629-B0CB-5B3C6FDC3C58}"/>
    <cellStyle name="SAPBEXHLevel2 3 3" xfId="24263" xr:uid="{00000000-0005-0000-0000-00002D6E0000}"/>
    <cellStyle name="SAPBEXHLevel2 3 3 2" xfId="25584" xr:uid="{00000000-0005-0000-0000-00002E6E0000}"/>
    <cellStyle name="SAPBEXHLevel2 3 3 2 2" xfId="27737" xr:uid="{00000000-0005-0000-0000-00002F6E0000}"/>
    <cellStyle name="SAPBEXHLevel2 3 3 2 2 2" xfId="32324" xr:uid="{7E6853ED-931D-429B-9A1D-4A1714812003}"/>
    <cellStyle name="SAPBEXHLevel2 3 3 2 3" xfId="28267" xr:uid="{00000000-0005-0000-0000-0000306E0000}"/>
    <cellStyle name="SAPBEXHLevel2 3 3 2 3 2" xfId="32825" xr:uid="{A55765A4-3468-4444-BF46-F4D26843F335}"/>
    <cellStyle name="SAPBEXHLevel2 3 3 2 4" xfId="26738" xr:uid="{00000000-0005-0000-0000-0000316E0000}"/>
    <cellStyle name="SAPBEXHLevel2 3 3 2 4 2" xfId="31499" xr:uid="{D9893349-3E87-48A2-A491-0E8308C9B790}"/>
    <cellStyle name="SAPBEXHLevel2 3 3 2 5" xfId="29819" xr:uid="{00000000-0005-0000-0000-0000326E0000}"/>
    <cellStyle name="SAPBEXHLevel2 3 3 3" xfId="27117" xr:uid="{00000000-0005-0000-0000-0000336E0000}"/>
    <cellStyle name="SAPBEXHLevel2 3 3 3 2" xfId="31835" xr:uid="{5ACB60C2-BA3E-4CC8-80D5-F5F9E7441FB6}"/>
    <cellStyle name="SAPBEXHLevel2 3 3 4" xfId="28266" xr:uid="{00000000-0005-0000-0000-0000346E0000}"/>
    <cellStyle name="SAPBEXHLevel2 3 3 4 2" xfId="32824" xr:uid="{44E6EE00-DD9E-495F-B47E-B1540E11E3B5}"/>
    <cellStyle name="SAPBEXHLevel2 3 3 5" xfId="26068" xr:uid="{00000000-0005-0000-0000-0000356E0000}"/>
    <cellStyle name="SAPBEXHLevel2 3 3 5 2" xfId="30858" xr:uid="{08AB70E2-0FF9-42C1-B29F-8595AA6709F0}"/>
    <cellStyle name="SAPBEXHLevel2 3 3 6" xfId="29818" xr:uid="{00000000-0005-0000-0000-0000366E0000}"/>
    <cellStyle name="SAPBEXHLevel2 3 3 7" xfId="30286" xr:uid="{0CBC89F8-D54D-4D7C-B036-DCFC04385D4D}"/>
    <cellStyle name="SAPBEXHLevel2 3 4" xfId="24655" xr:uid="{00000000-0005-0000-0000-0000376E0000}"/>
    <cellStyle name="SAPBEXHLevel2 3 4 2" xfId="25451" xr:uid="{00000000-0005-0000-0000-0000386E0000}"/>
    <cellStyle name="SAPBEXHLevel2 3 4 2 2" xfId="27605" xr:uid="{00000000-0005-0000-0000-0000396E0000}"/>
    <cellStyle name="SAPBEXHLevel2 3 4 2 2 2" xfId="32196" xr:uid="{CF5FF323-CA47-4AF6-9D59-F6C5D0CCA909}"/>
    <cellStyle name="SAPBEXHLevel2 3 4 2 3" xfId="28269" xr:uid="{00000000-0005-0000-0000-00003A6E0000}"/>
    <cellStyle name="SAPBEXHLevel2 3 4 2 3 2" xfId="32827" xr:uid="{29FA21F9-6DA0-4B3D-A31B-A6472DEB1B58}"/>
    <cellStyle name="SAPBEXHLevel2 3 4 2 4" xfId="26164" xr:uid="{00000000-0005-0000-0000-00003B6E0000}"/>
    <cellStyle name="SAPBEXHLevel2 3 4 2 4 2" xfId="30953" xr:uid="{9E9AC64F-4D6E-4ECE-ACEE-731A5C8038D6}"/>
    <cellStyle name="SAPBEXHLevel2 3 4 2 5" xfId="29821" xr:uid="{00000000-0005-0000-0000-00003C6E0000}"/>
    <cellStyle name="SAPBEXHLevel2 3 4 2 6" xfId="30609" xr:uid="{0A556369-E3AD-45BE-9350-A886D48B039B}"/>
    <cellStyle name="SAPBEXHLevel2 3 4 3" xfId="25621" xr:uid="{00000000-0005-0000-0000-00003D6E0000}"/>
    <cellStyle name="SAPBEXHLevel2 3 4 3 2" xfId="27774" xr:uid="{00000000-0005-0000-0000-00003E6E0000}"/>
    <cellStyle name="SAPBEXHLevel2 3 4 3 2 2" xfId="32361" xr:uid="{62DFD7C2-824A-4D6C-B1AC-EC115990C98C}"/>
    <cellStyle name="SAPBEXHLevel2 3 4 3 3" xfId="28270" xr:uid="{00000000-0005-0000-0000-00003F6E0000}"/>
    <cellStyle name="SAPBEXHLevel2 3 4 3 3 2" xfId="32828" xr:uid="{214BDE5C-7CAC-480F-B76E-60D185188D0B}"/>
    <cellStyle name="SAPBEXHLevel2 3 4 3 4" xfId="26087" xr:uid="{00000000-0005-0000-0000-0000406E0000}"/>
    <cellStyle name="SAPBEXHLevel2 3 4 3 4 2" xfId="30877" xr:uid="{AE270984-DE80-4B1B-AEF9-A3CC2DC6A7E4}"/>
    <cellStyle name="SAPBEXHLevel2 3 4 3 5" xfId="29822" xr:uid="{00000000-0005-0000-0000-0000416E0000}"/>
    <cellStyle name="SAPBEXHLevel2 3 4 4" xfId="27248" xr:uid="{00000000-0005-0000-0000-0000426E0000}"/>
    <cellStyle name="SAPBEXHLevel2 3 4 4 2" xfId="31883" xr:uid="{F4108CE0-5C28-4A91-BA04-9DF48CDDFED6}"/>
    <cellStyle name="SAPBEXHLevel2 3 4 5" xfId="28268" xr:uid="{00000000-0005-0000-0000-0000436E0000}"/>
    <cellStyle name="SAPBEXHLevel2 3 4 5 2" xfId="32826" xr:uid="{A7649BAB-C2F9-4D61-A245-8A3F2C52FF2E}"/>
    <cellStyle name="SAPBEXHLevel2 3 4 6" xfId="26772" xr:uid="{00000000-0005-0000-0000-0000446E0000}"/>
    <cellStyle name="SAPBEXHLevel2 3 4 6 2" xfId="31533" xr:uid="{477CC66B-1C14-4CD3-85B7-38EB537E515C}"/>
    <cellStyle name="SAPBEXHLevel2 3 4 7" xfId="29820" xr:uid="{00000000-0005-0000-0000-0000456E0000}"/>
    <cellStyle name="SAPBEXHLevel2 3 4 8" xfId="30323" xr:uid="{9DAD2D41-5371-46A0-BCA3-57C25B4F5A2C}"/>
    <cellStyle name="SAPBEXHLevel2 3 5" xfId="25118" xr:uid="{00000000-0005-0000-0000-0000466E0000}"/>
    <cellStyle name="SAPBEXHLevel2 3 5 2" xfId="25420" xr:uid="{00000000-0005-0000-0000-0000476E0000}"/>
    <cellStyle name="SAPBEXHLevel2 3 5 2 2" xfId="27574" xr:uid="{00000000-0005-0000-0000-0000486E0000}"/>
    <cellStyle name="SAPBEXHLevel2 3 5 2 2 2" xfId="32165" xr:uid="{850FA2A6-080E-46D4-9AB0-F69D72DC2FD5}"/>
    <cellStyle name="SAPBEXHLevel2 3 5 2 3" xfId="28272" xr:uid="{00000000-0005-0000-0000-0000496E0000}"/>
    <cellStyle name="SAPBEXHLevel2 3 5 2 3 2" xfId="32830" xr:uid="{AD768DB6-A9AE-4EC2-A6A4-85005728DEA7}"/>
    <cellStyle name="SAPBEXHLevel2 3 5 2 4" xfId="26243" xr:uid="{00000000-0005-0000-0000-00004A6E0000}"/>
    <cellStyle name="SAPBEXHLevel2 3 5 2 4 2" xfId="31031" xr:uid="{C7B137BD-3316-430D-AF46-6F21E6C0F6CF}"/>
    <cellStyle name="SAPBEXHLevel2 3 5 2 5" xfId="29824" xr:uid="{00000000-0005-0000-0000-00004B6E0000}"/>
    <cellStyle name="SAPBEXHLevel2 3 5 2 6" xfId="30578" xr:uid="{FA1D6532-F3DE-441A-80D4-AEB44916EB96}"/>
    <cellStyle name="SAPBEXHLevel2 3 5 3" xfId="25716" xr:uid="{00000000-0005-0000-0000-00004C6E0000}"/>
    <cellStyle name="SAPBEXHLevel2 3 5 3 2" xfId="27869" xr:uid="{00000000-0005-0000-0000-00004D6E0000}"/>
    <cellStyle name="SAPBEXHLevel2 3 5 3 2 2" xfId="32456" xr:uid="{34B5AB80-D878-4825-A217-58B9BEFD4F30}"/>
    <cellStyle name="SAPBEXHLevel2 3 5 3 3" xfId="28273" xr:uid="{00000000-0005-0000-0000-00004E6E0000}"/>
    <cellStyle name="SAPBEXHLevel2 3 5 3 3 2" xfId="32831" xr:uid="{B7604C57-774E-41D5-8EC4-1019A3AAD5B6}"/>
    <cellStyle name="SAPBEXHLevel2 3 5 3 4" xfId="26744" xr:uid="{00000000-0005-0000-0000-00004F6E0000}"/>
    <cellStyle name="SAPBEXHLevel2 3 5 3 4 2" xfId="31505" xr:uid="{FA134876-857E-47DD-8CD3-746A19EC03DC}"/>
    <cellStyle name="SAPBEXHLevel2 3 5 3 5" xfId="29825" xr:uid="{00000000-0005-0000-0000-0000506E0000}"/>
    <cellStyle name="SAPBEXHLevel2 3 5 3 6" xfId="30710" xr:uid="{AAF0239A-3176-42F7-B7E4-9E0176ADA9E3}"/>
    <cellStyle name="SAPBEXHLevel2 3 5 4" xfId="27403" xr:uid="{00000000-0005-0000-0000-0000516E0000}"/>
    <cellStyle name="SAPBEXHLevel2 3 5 4 2" xfId="32001" xr:uid="{E8BA43F3-E339-4E8E-9DE5-4C17D8C0C8FD}"/>
    <cellStyle name="SAPBEXHLevel2 3 5 5" xfId="28271" xr:uid="{00000000-0005-0000-0000-0000526E0000}"/>
    <cellStyle name="SAPBEXHLevel2 3 5 5 2" xfId="32829" xr:uid="{F1315DF4-B89E-40B8-A2F4-CD61F19E423D}"/>
    <cellStyle name="SAPBEXHLevel2 3 5 6" xfId="26349" xr:uid="{00000000-0005-0000-0000-0000536E0000}"/>
    <cellStyle name="SAPBEXHLevel2 3 5 6 2" xfId="31137" xr:uid="{641B7158-DB69-43F5-B488-103DE3E35E69}"/>
    <cellStyle name="SAPBEXHLevel2 3 5 7" xfId="29823" xr:uid="{00000000-0005-0000-0000-0000546E0000}"/>
    <cellStyle name="SAPBEXHLevel2 3 5 8" xfId="30418" xr:uid="{18639F46-DDDC-46D5-8429-A7554DBF5E83}"/>
    <cellStyle name="SAPBEXHLevel2 3 6" xfId="25852" xr:uid="{00000000-0005-0000-0000-0000556E0000}"/>
    <cellStyle name="SAPBEXHLevel2 3 6 2" xfId="30771" xr:uid="{B8C8D3BB-A7C6-4FF1-9937-97B64B0E5201}"/>
    <cellStyle name="SAPBEXHLevel2 3 7" xfId="28263" xr:uid="{00000000-0005-0000-0000-0000566E0000}"/>
    <cellStyle name="SAPBEXHLevel2 3 7 2" xfId="32821" xr:uid="{F1A8DB8F-21F6-4167-8612-0E3F44DC5046}"/>
    <cellStyle name="SAPBEXHLevel2 3 8" xfId="29247" xr:uid="{00000000-0005-0000-0000-0000576E0000}"/>
    <cellStyle name="SAPBEXHLevel2 3 8 2" xfId="33229" xr:uid="{DE4EA4D9-744B-4F43-8C04-22CE27F1102C}"/>
    <cellStyle name="SAPBEXHLevel2 3 9" xfId="29815" xr:uid="{00000000-0005-0000-0000-0000586E0000}"/>
    <cellStyle name="SAPBEXHLevel2 4" xfId="122" xr:uid="{00000000-0005-0000-0000-0000596E0000}"/>
    <cellStyle name="SAPBEXHLevel2 4 2" xfId="13656" xr:uid="{00000000-0005-0000-0000-00005A6E0000}"/>
    <cellStyle name="SAPBEXHLevel2 4 2 2" xfId="25494" xr:uid="{00000000-0005-0000-0000-00005B6E0000}"/>
    <cellStyle name="SAPBEXHLevel2 4 2 2 2" xfId="27647" xr:uid="{00000000-0005-0000-0000-00005C6E0000}"/>
    <cellStyle name="SAPBEXHLevel2 4 2 2 2 2" xfId="32234" xr:uid="{942CDE0B-CBD9-42FB-A600-6BCC7D6FAA4A}"/>
    <cellStyle name="SAPBEXHLevel2 4 2 2 3" xfId="28276" xr:uid="{00000000-0005-0000-0000-00005D6E0000}"/>
    <cellStyle name="SAPBEXHLevel2 4 2 2 3 2" xfId="32834" xr:uid="{EED06FF0-8A48-4231-A3FB-B84E3070108B}"/>
    <cellStyle name="SAPBEXHLevel2 4 2 2 4" xfId="26915" xr:uid="{00000000-0005-0000-0000-00005E6E0000}"/>
    <cellStyle name="SAPBEXHLevel2 4 2 2 4 2" xfId="31676" xr:uid="{7F9017C4-129C-4467-8305-75837367C37A}"/>
    <cellStyle name="SAPBEXHLevel2 4 2 2 5" xfId="29828" xr:uid="{00000000-0005-0000-0000-00005F6E0000}"/>
    <cellStyle name="SAPBEXHLevel2 4 2 3" xfId="26598" xr:uid="{00000000-0005-0000-0000-0000606E0000}"/>
    <cellStyle name="SAPBEXHLevel2 4 2 3 2" xfId="31376" xr:uid="{44F3B272-EDE0-4A70-A896-BAC71D707CF8}"/>
    <cellStyle name="SAPBEXHLevel2 4 2 4" xfId="28275" xr:uid="{00000000-0005-0000-0000-0000616E0000}"/>
    <cellStyle name="SAPBEXHLevel2 4 2 4 2" xfId="32833" xr:uid="{F9C38EE1-C1ED-4A57-B197-0B19606F71BB}"/>
    <cellStyle name="SAPBEXHLevel2 4 2 5" xfId="27025" xr:uid="{00000000-0005-0000-0000-0000626E0000}"/>
    <cellStyle name="SAPBEXHLevel2 4 2 5 2" xfId="31785" xr:uid="{6887543D-A4EA-435B-862C-364836836105}"/>
    <cellStyle name="SAPBEXHLevel2 4 2 6" xfId="29827" xr:uid="{00000000-0005-0000-0000-0000636E0000}"/>
    <cellStyle name="SAPBEXHLevel2 4 2 7" xfId="30196" xr:uid="{F372C198-18D8-4002-AA99-ED04027F27E3}"/>
    <cellStyle name="SAPBEXHLevel2 4 3" xfId="25853" xr:uid="{00000000-0005-0000-0000-0000646E0000}"/>
    <cellStyle name="SAPBEXHLevel2 4 3 2" xfId="30772" xr:uid="{1CC161FB-38BA-4433-9F67-F4DC0EBCEF70}"/>
    <cellStyle name="SAPBEXHLevel2 4 4" xfId="28274" xr:uid="{00000000-0005-0000-0000-0000656E0000}"/>
    <cellStyle name="SAPBEXHLevel2 4 4 2" xfId="32832" xr:uid="{AC01FCF2-0640-455A-916C-F4BF6DB28B18}"/>
    <cellStyle name="SAPBEXHLevel2 4 5" xfId="29192" xr:uid="{00000000-0005-0000-0000-0000666E0000}"/>
    <cellStyle name="SAPBEXHLevel2 4 5 2" xfId="33175" xr:uid="{DB40BBE0-81A8-4F08-84E8-AF80CB7611E4}"/>
    <cellStyle name="SAPBEXHLevel2 4 6" xfId="29826" xr:uid="{00000000-0005-0000-0000-0000676E0000}"/>
    <cellStyle name="SAPBEXHLevel2 5" xfId="254" xr:uid="{00000000-0005-0000-0000-0000686E0000}"/>
    <cellStyle name="SAPBEXHLevel2 5 2" xfId="13719" xr:uid="{00000000-0005-0000-0000-0000696E0000}"/>
    <cellStyle name="SAPBEXHLevel2 5 2 2" xfId="25532" xr:uid="{00000000-0005-0000-0000-00006A6E0000}"/>
    <cellStyle name="SAPBEXHLevel2 5 2 2 2" xfId="27685" xr:uid="{00000000-0005-0000-0000-00006B6E0000}"/>
    <cellStyle name="SAPBEXHLevel2 5 2 2 2 2" xfId="32272" xr:uid="{05E64827-7396-438E-A1E2-DBE3D96CCE7A}"/>
    <cellStyle name="SAPBEXHLevel2 5 2 2 3" xfId="28279" xr:uid="{00000000-0005-0000-0000-00006C6E0000}"/>
    <cellStyle name="SAPBEXHLevel2 5 2 2 3 2" xfId="32837" xr:uid="{6F43E969-74D4-4EAA-B07E-875232CB39EE}"/>
    <cellStyle name="SAPBEXHLevel2 5 2 2 4" xfId="26126" xr:uid="{00000000-0005-0000-0000-00006D6E0000}"/>
    <cellStyle name="SAPBEXHLevel2 5 2 2 4 2" xfId="30916" xr:uid="{D8F46A64-0730-4C1A-8471-3433436EED0C}"/>
    <cellStyle name="SAPBEXHLevel2 5 2 2 5" xfId="29831" xr:uid="{00000000-0005-0000-0000-00006E6E0000}"/>
    <cellStyle name="SAPBEXHLevel2 5 2 3" xfId="26639" xr:uid="{00000000-0005-0000-0000-00006F6E0000}"/>
    <cellStyle name="SAPBEXHLevel2 5 2 3 2" xfId="31416" xr:uid="{203F62C2-42AE-4F58-BD65-553845A083C7}"/>
    <cellStyle name="SAPBEXHLevel2 5 2 4" xfId="28278" xr:uid="{00000000-0005-0000-0000-0000706E0000}"/>
    <cellStyle name="SAPBEXHLevel2 5 2 4 2" xfId="32836" xr:uid="{250545E3-D43B-4FDD-AC1E-391A295F03F8}"/>
    <cellStyle name="SAPBEXHLevel2 5 2 5" xfId="27350" xr:uid="{00000000-0005-0000-0000-0000716E0000}"/>
    <cellStyle name="SAPBEXHLevel2 5 2 5 2" xfId="31948" xr:uid="{6B523822-CF41-48AC-9964-78FDBC8D8806}"/>
    <cellStyle name="SAPBEXHLevel2 5 2 6" xfId="29830" xr:uid="{00000000-0005-0000-0000-0000726E0000}"/>
    <cellStyle name="SAPBEXHLevel2 5 2 7" xfId="30234" xr:uid="{C1D12180-FEF4-4B46-91BB-7F6B61276BA8}"/>
    <cellStyle name="SAPBEXHLevel2 5 3" xfId="25922" xr:uid="{00000000-0005-0000-0000-0000736E0000}"/>
    <cellStyle name="SAPBEXHLevel2 5 3 2" xfId="30811" xr:uid="{D63BA733-35F9-4C28-A805-F1105009E4A6}"/>
    <cellStyle name="SAPBEXHLevel2 5 4" xfId="28277" xr:uid="{00000000-0005-0000-0000-0000746E0000}"/>
    <cellStyle name="SAPBEXHLevel2 5 4 2" xfId="32835" xr:uid="{879802F9-9F7B-4643-8DC8-432010893E2B}"/>
    <cellStyle name="SAPBEXHLevel2 5 5" xfId="28567" xr:uid="{00000000-0005-0000-0000-0000756E0000}"/>
    <cellStyle name="SAPBEXHLevel2 5 5 2" xfId="33125" xr:uid="{37D2A4B9-CD3B-46C8-ABD2-52AE200002E5}"/>
    <cellStyle name="SAPBEXHLevel2 5 6" xfId="29829" xr:uid="{00000000-0005-0000-0000-0000766E0000}"/>
    <cellStyle name="SAPBEXHLevel2 6" xfId="13653" xr:uid="{00000000-0005-0000-0000-0000776E0000}"/>
    <cellStyle name="SAPBEXHLevel2 6 2" xfId="25491" xr:uid="{00000000-0005-0000-0000-0000786E0000}"/>
    <cellStyle name="SAPBEXHLevel2 6 2 2" xfId="27644" xr:uid="{00000000-0005-0000-0000-0000796E0000}"/>
    <cellStyle name="SAPBEXHLevel2 6 2 2 2" xfId="32231" xr:uid="{5E7C80D3-DBB6-41FA-99CF-E1FD34A916B7}"/>
    <cellStyle name="SAPBEXHLevel2 6 2 3" xfId="28281" xr:uid="{00000000-0005-0000-0000-00007A6E0000}"/>
    <cellStyle name="SAPBEXHLevel2 6 2 3 2" xfId="32839" xr:uid="{DF731675-6CF9-4012-ADDC-5EBFF82F2893}"/>
    <cellStyle name="SAPBEXHLevel2 6 2 4" xfId="26100" xr:uid="{00000000-0005-0000-0000-00007B6E0000}"/>
    <cellStyle name="SAPBEXHLevel2 6 2 4 2" xfId="30890" xr:uid="{2B145ECC-5801-4A25-9009-81F9347BAFB0}"/>
    <cellStyle name="SAPBEXHLevel2 6 2 5" xfId="29833" xr:uid="{00000000-0005-0000-0000-00007C6E0000}"/>
    <cellStyle name="SAPBEXHLevel2 6 3" xfId="26595" xr:uid="{00000000-0005-0000-0000-00007D6E0000}"/>
    <cellStyle name="SAPBEXHLevel2 6 3 2" xfId="31373" xr:uid="{80AD0B72-64DF-42BD-BCE4-F2E0D5EF34EE}"/>
    <cellStyle name="SAPBEXHLevel2 6 4" xfId="28280" xr:uid="{00000000-0005-0000-0000-00007E6E0000}"/>
    <cellStyle name="SAPBEXHLevel2 6 4 2" xfId="32838" xr:uid="{654AE24B-CBFA-4215-8124-F04D01806536}"/>
    <cellStyle name="SAPBEXHLevel2 6 5" xfId="26926" xr:uid="{00000000-0005-0000-0000-00007F6E0000}"/>
    <cellStyle name="SAPBEXHLevel2 6 5 2" xfId="31687" xr:uid="{96447FAB-74D5-4575-BD3F-C1FD341008F3}"/>
    <cellStyle name="SAPBEXHLevel2 6 6" xfId="29832" xr:uid="{00000000-0005-0000-0000-0000806E0000}"/>
    <cellStyle name="SAPBEXHLevel2 6 7" xfId="30193" xr:uid="{501B2B62-61CB-43F6-B007-4F814AA35E2B}"/>
    <cellStyle name="SAPBEXHLevel2 7" xfId="24657" xr:uid="{00000000-0005-0000-0000-0000816E0000}"/>
    <cellStyle name="SAPBEXHLevel2 7 2" xfId="25300" xr:uid="{00000000-0005-0000-0000-0000826E0000}"/>
    <cellStyle name="SAPBEXHLevel2 7 2 2" xfId="27454" xr:uid="{00000000-0005-0000-0000-0000836E0000}"/>
    <cellStyle name="SAPBEXHLevel2 7 2 2 2" xfId="32046" xr:uid="{72689DBE-8526-4B79-8C52-65485C5CC00A}"/>
    <cellStyle name="SAPBEXHLevel2 7 2 3" xfId="28283" xr:uid="{00000000-0005-0000-0000-0000846E0000}"/>
    <cellStyle name="SAPBEXHLevel2 7 2 3 2" xfId="32841" xr:uid="{2053B8D7-C4AD-4BAD-845D-FF8F4EEE9405}"/>
    <cellStyle name="SAPBEXHLevel2 7 2 4" xfId="26336" xr:uid="{00000000-0005-0000-0000-0000856E0000}"/>
    <cellStyle name="SAPBEXHLevel2 7 2 4 2" xfId="31124" xr:uid="{2F9E563C-73CD-4622-B3FA-1B7BC3D83C7D}"/>
    <cellStyle name="SAPBEXHLevel2 7 2 5" xfId="29835" xr:uid="{00000000-0005-0000-0000-0000866E0000}"/>
    <cellStyle name="SAPBEXHLevel2 7 2 6" xfId="30459" xr:uid="{76974117-37A5-42A9-B803-E7B7994D4F6B}"/>
    <cellStyle name="SAPBEXHLevel2 7 3" xfId="25623" xr:uid="{00000000-0005-0000-0000-0000876E0000}"/>
    <cellStyle name="SAPBEXHLevel2 7 3 2" xfId="27776" xr:uid="{00000000-0005-0000-0000-0000886E0000}"/>
    <cellStyle name="SAPBEXHLevel2 7 3 2 2" xfId="32363" xr:uid="{4E07E887-6096-4A33-AA54-BD03AB9110C3}"/>
    <cellStyle name="SAPBEXHLevel2 7 3 3" xfId="28284" xr:uid="{00000000-0005-0000-0000-0000896E0000}"/>
    <cellStyle name="SAPBEXHLevel2 7 3 3 2" xfId="32842" xr:uid="{031F7860-2711-4612-9597-CE65A14BBACF}"/>
    <cellStyle name="SAPBEXHLevel2 7 3 4" xfId="26094" xr:uid="{00000000-0005-0000-0000-00008A6E0000}"/>
    <cellStyle name="SAPBEXHLevel2 7 3 4 2" xfId="30884" xr:uid="{60BB0556-877A-4C34-9928-4EE5799B65D3}"/>
    <cellStyle name="SAPBEXHLevel2 7 3 5" xfId="29836" xr:uid="{00000000-0005-0000-0000-00008B6E0000}"/>
    <cellStyle name="SAPBEXHLevel2 7 4" xfId="27250" xr:uid="{00000000-0005-0000-0000-00008C6E0000}"/>
    <cellStyle name="SAPBEXHLevel2 7 4 2" xfId="31885" xr:uid="{7614FBCF-40BC-4674-9176-11EBB4D785EB}"/>
    <cellStyle name="SAPBEXHLevel2 7 5" xfId="28282" xr:uid="{00000000-0005-0000-0000-00008D6E0000}"/>
    <cellStyle name="SAPBEXHLevel2 7 5 2" xfId="32840" xr:uid="{9DCCA00F-282D-4C25-A3D6-218E58AAC836}"/>
    <cellStyle name="SAPBEXHLevel2 7 6" xfId="26465" xr:uid="{00000000-0005-0000-0000-00008E6E0000}"/>
    <cellStyle name="SAPBEXHLevel2 7 6 2" xfId="31253" xr:uid="{186EF82F-E42E-4228-B7C2-A2BB7283741E}"/>
    <cellStyle name="SAPBEXHLevel2 7 7" xfId="29834" xr:uid="{00000000-0005-0000-0000-00008F6E0000}"/>
    <cellStyle name="SAPBEXHLevel2 7 8" xfId="30325" xr:uid="{229E654F-908C-4B68-9077-0996C2E93BA8}"/>
    <cellStyle name="SAPBEXHLevel2 8" xfId="25116" xr:uid="{00000000-0005-0000-0000-0000906E0000}"/>
    <cellStyle name="SAPBEXHLevel2 8 2" xfId="25406" xr:uid="{00000000-0005-0000-0000-0000916E0000}"/>
    <cellStyle name="SAPBEXHLevel2 8 2 2" xfId="27560" xr:uid="{00000000-0005-0000-0000-0000926E0000}"/>
    <cellStyle name="SAPBEXHLevel2 8 2 2 2" xfId="32151" xr:uid="{90C7F42A-B312-4EAA-94EA-EE536237FCAD}"/>
    <cellStyle name="SAPBEXHLevel2 8 2 3" xfId="28286" xr:uid="{00000000-0005-0000-0000-0000936E0000}"/>
    <cellStyle name="SAPBEXHLevel2 8 2 3 2" xfId="32844" xr:uid="{35C54C1F-07AD-48F2-97FB-71FA763B4C90}"/>
    <cellStyle name="SAPBEXHLevel2 8 2 4" xfId="26730" xr:uid="{00000000-0005-0000-0000-0000946E0000}"/>
    <cellStyle name="SAPBEXHLevel2 8 2 4 2" xfId="31491" xr:uid="{A07F036E-BD5D-40B9-B7AE-AE262FE25B7E}"/>
    <cellStyle name="SAPBEXHLevel2 8 2 5" xfId="29838" xr:uid="{00000000-0005-0000-0000-0000956E0000}"/>
    <cellStyle name="SAPBEXHLevel2 8 2 6" xfId="30564" xr:uid="{5A113824-98B1-4C31-A967-D84ED557DABE}"/>
    <cellStyle name="SAPBEXHLevel2 8 3" xfId="25714" xr:uid="{00000000-0005-0000-0000-0000966E0000}"/>
    <cellStyle name="SAPBEXHLevel2 8 3 2" xfId="27867" xr:uid="{00000000-0005-0000-0000-0000976E0000}"/>
    <cellStyle name="SAPBEXHLevel2 8 3 2 2" xfId="32454" xr:uid="{24E2CAE4-7FE5-4584-BEF0-238A2CC18CFD}"/>
    <cellStyle name="SAPBEXHLevel2 8 3 3" xfId="28287" xr:uid="{00000000-0005-0000-0000-0000986E0000}"/>
    <cellStyle name="SAPBEXHLevel2 8 3 3 2" xfId="32845" xr:uid="{C42DA687-62E5-4635-85AA-B5DF710B513F}"/>
    <cellStyle name="SAPBEXHLevel2 8 3 4" xfId="26374" xr:uid="{00000000-0005-0000-0000-0000996E0000}"/>
    <cellStyle name="SAPBEXHLevel2 8 3 4 2" xfId="31162" xr:uid="{CFE6F01C-DCA3-46E9-A4EF-8394609C5E68}"/>
    <cellStyle name="SAPBEXHLevel2 8 3 5" xfId="29839" xr:uid="{00000000-0005-0000-0000-00009A6E0000}"/>
    <cellStyle name="SAPBEXHLevel2 8 3 6" xfId="30708" xr:uid="{EDC6D8C8-CD94-4559-AD2F-B6E4788414FA}"/>
    <cellStyle name="SAPBEXHLevel2 8 4" xfId="27401" xr:uid="{00000000-0005-0000-0000-00009B6E0000}"/>
    <cellStyle name="SAPBEXHLevel2 8 4 2" xfId="31999" xr:uid="{ECE974CF-DB81-430D-89B9-DEBC405A3DB2}"/>
    <cellStyle name="SAPBEXHLevel2 8 5" xfId="28285" xr:uid="{00000000-0005-0000-0000-00009C6E0000}"/>
    <cellStyle name="SAPBEXHLevel2 8 5 2" xfId="32843" xr:uid="{0A0A9490-D74F-4E2B-8EF9-BD9B92AC3879}"/>
    <cellStyle name="SAPBEXHLevel2 8 6" xfId="26256" xr:uid="{00000000-0005-0000-0000-00009D6E0000}"/>
    <cellStyle name="SAPBEXHLevel2 8 6 2" xfId="31044" xr:uid="{07BB5ED6-A7D3-4FA7-BE6D-D761EF9A2973}"/>
    <cellStyle name="SAPBEXHLevel2 8 7" xfId="29837" xr:uid="{00000000-0005-0000-0000-00009E6E0000}"/>
    <cellStyle name="SAPBEXHLevel2 8 8" xfId="30416" xr:uid="{BE5236FA-F633-4124-BE3E-46D7BA216F6D}"/>
    <cellStyle name="SAPBEXHLevel2 9" xfId="25850" xr:uid="{00000000-0005-0000-0000-00009F6E0000}"/>
    <cellStyle name="SAPBEXHLevel2 9 2" xfId="30769" xr:uid="{6A79FB55-0B3D-40CC-86F5-BAE994AC70BE}"/>
    <cellStyle name="SAPBEXHLevel2X" xfId="123" xr:uid="{00000000-0005-0000-0000-0000A06E0000}"/>
    <cellStyle name="SAPBEXHLevel2X 10" xfId="28288" xr:uid="{00000000-0005-0000-0000-0000A16E0000}"/>
    <cellStyle name="SAPBEXHLevel2X 10 2" xfId="32846" xr:uid="{39FF4711-184E-4155-B896-5E8F59BFA985}"/>
    <cellStyle name="SAPBEXHLevel2X 11" xfId="26051" xr:uid="{00000000-0005-0000-0000-0000A26E0000}"/>
    <cellStyle name="SAPBEXHLevel2X 11 2" xfId="30843" xr:uid="{160C7412-0291-488B-B8CE-934EDA184A09}"/>
    <cellStyle name="SAPBEXHLevel2X 12" xfId="29840" xr:uid="{00000000-0005-0000-0000-0000A36E0000}"/>
    <cellStyle name="SAPBEXHLevel2X 2" xfId="124" xr:uid="{00000000-0005-0000-0000-0000A46E0000}"/>
    <cellStyle name="SAPBEXHLevel2X 2 2" xfId="13658" xr:uid="{00000000-0005-0000-0000-0000A56E0000}"/>
    <cellStyle name="SAPBEXHLevel2X 2 2 2" xfId="25496" xr:uid="{00000000-0005-0000-0000-0000A66E0000}"/>
    <cellStyle name="SAPBEXHLevel2X 2 2 2 2" xfId="27649" xr:uid="{00000000-0005-0000-0000-0000A76E0000}"/>
    <cellStyle name="SAPBEXHLevel2X 2 2 2 2 2" xfId="32236" xr:uid="{B80A8785-D80F-41F8-A924-B5604ECBEDEC}"/>
    <cellStyle name="SAPBEXHLevel2X 2 2 2 3" xfId="28291" xr:uid="{00000000-0005-0000-0000-0000A86E0000}"/>
    <cellStyle name="SAPBEXHLevel2X 2 2 2 3 2" xfId="32849" xr:uid="{4F02ACB4-2CD5-4991-BC7A-1B9FA7180F9F}"/>
    <cellStyle name="SAPBEXHLevel2X 2 2 2 4" xfId="26394" xr:uid="{00000000-0005-0000-0000-0000A96E0000}"/>
    <cellStyle name="SAPBEXHLevel2X 2 2 2 4 2" xfId="31182" xr:uid="{064AB945-CEAF-4881-B569-8DA15229C9D0}"/>
    <cellStyle name="SAPBEXHLevel2X 2 2 2 5" xfId="29843" xr:uid="{00000000-0005-0000-0000-0000AA6E0000}"/>
    <cellStyle name="SAPBEXHLevel2X 2 2 3" xfId="26600" xr:uid="{00000000-0005-0000-0000-0000AB6E0000}"/>
    <cellStyle name="SAPBEXHLevel2X 2 2 3 2" xfId="31378" xr:uid="{73AD210C-C5DB-4949-B322-D12E40597808}"/>
    <cellStyle name="SAPBEXHLevel2X 2 2 4" xfId="28290" xr:uid="{00000000-0005-0000-0000-0000AC6E0000}"/>
    <cellStyle name="SAPBEXHLevel2X 2 2 4 2" xfId="32848" xr:uid="{5840D0B1-F0D1-4F79-9E02-223FE0D68081}"/>
    <cellStyle name="SAPBEXHLevel2X 2 2 5" xfId="26149" xr:uid="{00000000-0005-0000-0000-0000AD6E0000}"/>
    <cellStyle name="SAPBEXHLevel2X 2 2 5 2" xfId="30938" xr:uid="{2010BA28-F46B-4C4D-B415-2371015A13BD}"/>
    <cellStyle name="SAPBEXHLevel2X 2 2 6" xfId="29842" xr:uid="{00000000-0005-0000-0000-0000AE6E0000}"/>
    <cellStyle name="SAPBEXHLevel2X 2 2 7" xfId="30198" xr:uid="{E89ED948-DFA8-4487-B3E7-4268A0D64F00}"/>
    <cellStyle name="SAPBEXHLevel2X 2 3" xfId="24264" xr:uid="{00000000-0005-0000-0000-0000AF6E0000}"/>
    <cellStyle name="SAPBEXHLevel2X 2 3 2" xfId="25585" xr:uid="{00000000-0005-0000-0000-0000B06E0000}"/>
    <cellStyle name="SAPBEXHLevel2X 2 3 2 2" xfId="27738" xr:uid="{00000000-0005-0000-0000-0000B16E0000}"/>
    <cellStyle name="SAPBEXHLevel2X 2 3 2 2 2" xfId="32325" xr:uid="{B55DCE78-72F5-4335-84F2-1F3E37C0F8D3}"/>
    <cellStyle name="SAPBEXHLevel2X 2 3 2 3" xfId="28293" xr:uid="{00000000-0005-0000-0000-0000B26E0000}"/>
    <cellStyle name="SAPBEXHLevel2X 2 3 2 3 2" xfId="32851" xr:uid="{8CCD1EE3-D11E-486C-84D3-FB7A88A1BC14}"/>
    <cellStyle name="SAPBEXHLevel2X 2 3 2 4" xfId="27359" xr:uid="{00000000-0005-0000-0000-0000B36E0000}"/>
    <cellStyle name="SAPBEXHLevel2X 2 3 2 4 2" xfId="31957" xr:uid="{F62F5FC4-6A2F-4DAA-B1CA-D24826E8C0DD}"/>
    <cellStyle name="SAPBEXHLevel2X 2 3 2 5" xfId="29845" xr:uid="{00000000-0005-0000-0000-0000B46E0000}"/>
    <cellStyle name="SAPBEXHLevel2X 2 3 3" xfId="27118" xr:uid="{00000000-0005-0000-0000-0000B56E0000}"/>
    <cellStyle name="SAPBEXHLevel2X 2 3 3 2" xfId="31836" xr:uid="{1893E49A-9731-483D-BEFD-38693119A0C3}"/>
    <cellStyle name="SAPBEXHLevel2X 2 3 4" xfId="28292" xr:uid="{00000000-0005-0000-0000-0000B66E0000}"/>
    <cellStyle name="SAPBEXHLevel2X 2 3 4 2" xfId="32850" xr:uid="{6207CD6C-19D7-4F96-8118-96D4E17C7A89}"/>
    <cellStyle name="SAPBEXHLevel2X 2 3 5" xfId="26117" xr:uid="{00000000-0005-0000-0000-0000B76E0000}"/>
    <cellStyle name="SAPBEXHLevel2X 2 3 5 2" xfId="30907" xr:uid="{3159AE05-F3B5-40C0-A49C-93A7BD5CF36A}"/>
    <cellStyle name="SAPBEXHLevel2X 2 3 6" xfId="29844" xr:uid="{00000000-0005-0000-0000-0000B86E0000}"/>
    <cellStyle name="SAPBEXHLevel2X 2 3 7" xfId="30287" xr:uid="{BC6E286A-C994-4AFF-8332-49B985F50C0F}"/>
    <cellStyle name="SAPBEXHLevel2X 2 4" xfId="24653" xr:uid="{00000000-0005-0000-0000-0000B96E0000}"/>
    <cellStyle name="SAPBEXHLevel2X 2 4 2" xfId="25434" xr:uid="{00000000-0005-0000-0000-0000BA6E0000}"/>
    <cellStyle name="SAPBEXHLevel2X 2 4 2 2" xfId="27588" xr:uid="{00000000-0005-0000-0000-0000BB6E0000}"/>
    <cellStyle name="SAPBEXHLevel2X 2 4 2 2 2" xfId="32179" xr:uid="{0E315E71-56C1-4990-9C93-05CD6BF7503B}"/>
    <cellStyle name="SAPBEXHLevel2X 2 4 2 3" xfId="28295" xr:uid="{00000000-0005-0000-0000-0000BC6E0000}"/>
    <cellStyle name="SAPBEXHLevel2X 2 4 2 3 2" xfId="32853" xr:uid="{B58957F9-99E3-49F7-8243-5C2E97FF393F}"/>
    <cellStyle name="SAPBEXHLevel2X 2 4 2 4" xfId="26763" xr:uid="{00000000-0005-0000-0000-0000BD6E0000}"/>
    <cellStyle name="SAPBEXHLevel2X 2 4 2 4 2" xfId="31524" xr:uid="{77D57CD8-7F85-4C95-ADE5-E90B7D3F99AC}"/>
    <cellStyle name="SAPBEXHLevel2X 2 4 2 5" xfId="29847" xr:uid="{00000000-0005-0000-0000-0000BE6E0000}"/>
    <cellStyle name="SAPBEXHLevel2X 2 4 2 6" xfId="30592" xr:uid="{5E3FF7A5-9C71-46A0-BDE9-F91D8C6AE5D5}"/>
    <cellStyle name="SAPBEXHLevel2X 2 4 3" xfId="25619" xr:uid="{00000000-0005-0000-0000-0000BF6E0000}"/>
    <cellStyle name="SAPBEXHLevel2X 2 4 3 2" xfId="27772" xr:uid="{00000000-0005-0000-0000-0000C06E0000}"/>
    <cellStyle name="SAPBEXHLevel2X 2 4 3 2 2" xfId="32359" xr:uid="{3BFC3389-8B95-4FBF-8F74-5DA40F0D5496}"/>
    <cellStyle name="SAPBEXHLevel2X 2 4 3 3" xfId="28296" xr:uid="{00000000-0005-0000-0000-0000C16E0000}"/>
    <cellStyle name="SAPBEXHLevel2X 2 4 3 3 2" xfId="32854" xr:uid="{A4B3E655-93A8-479B-BF76-8671D269DD33}"/>
    <cellStyle name="SAPBEXHLevel2X 2 4 3 4" xfId="26850" xr:uid="{00000000-0005-0000-0000-0000C26E0000}"/>
    <cellStyle name="SAPBEXHLevel2X 2 4 3 4 2" xfId="31611" xr:uid="{E89EEC76-5DC2-47FF-B04F-8C74CA1EA7F9}"/>
    <cellStyle name="SAPBEXHLevel2X 2 4 3 5" xfId="29848" xr:uid="{00000000-0005-0000-0000-0000C36E0000}"/>
    <cellStyle name="SAPBEXHLevel2X 2 4 4" xfId="27246" xr:uid="{00000000-0005-0000-0000-0000C46E0000}"/>
    <cellStyle name="SAPBEXHLevel2X 2 4 4 2" xfId="31881" xr:uid="{E4FC204D-A7C0-46E6-8996-4BF9746D653F}"/>
    <cellStyle name="SAPBEXHLevel2X 2 4 5" xfId="28294" xr:uid="{00000000-0005-0000-0000-0000C56E0000}"/>
    <cellStyle name="SAPBEXHLevel2X 2 4 5 2" xfId="32852" xr:uid="{240CAA38-6DDF-4C2E-A40E-456D138501A4}"/>
    <cellStyle name="SAPBEXHLevel2X 2 4 6" xfId="27006" xr:uid="{00000000-0005-0000-0000-0000C66E0000}"/>
    <cellStyle name="SAPBEXHLevel2X 2 4 6 2" xfId="31766" xr:uid="{105FD8AB-48E8-45F4-BFF0-933DB92B4937}"/>
    <cellStyle name="SAPBEXHLevel2X 2 4 7" xfId="29846" xr:uid="{00000000-0005-0000-0000-0000C76E0000}"/>
    <cellStyle name="SAPBEXHLevel2X 2 4 8" xfId="30321" xr:uid="{2806D815-5F18-444E-8ED7-38A401405B00}"/>
    <cellStyle name="SAPBEXHLevel2X 2 5" xfId="25120" xr:uid="{00000000-0005-0000-0000-0000C86E0000}"/>
    <cellStyle name="SAPBEXHLevel2X 2 5 2" xfId="25437" xr:uid="{00000000-0005-0000-0000-0000C96E0000}"/>
    <cellStyle name="SAPBEXHLevel2X 2 5 2 2" xfId="27591" xr:uid="{00000000-0005-0000-0000-0000CA6E0000}"/>
    <cellStyle name="SAPBEXHLevel2X 2 5 2 2 2" xfId="32182" xr:uid="{146EB42F-5C83-4AE3-BE9F-4CB82BFE5F0D}"/>
    <cellStyle name="SAPBEXHLevel2X 2 5 2 3" xfId="28298" xr:uid="{00000000-0005-0000-0000-0000CB6E0000}"/>
    <cellStyle name="SAPBEXHLevel2X 2 5 2 3 2" xfId="32856" xr:uid="{70CF47E2-36FE-48FF-8B38-7F073D4C6CC9}"/>
    <cellStyle name="SAPBEXHLevel2X 2 5 2 4" xfId="26507" xr:uid="{00000000-0005-0000-0000-0000CC6E0000}"/>
    <cellStyle name="SAPBEXHLevel2X 2 5 2 4 2" xfId="31295" xr:uid="{62206DC2-A8DB-4625-879F-CCBB1E349A40}"/>
    <cellStyle name="SAPBEXHLevel2X 2 5 2 5" xfId="29850" xr:uid="{00000000-0005-0000-0000-0000CD6E0000}"/>
    <cellStyle name="SAPBEXHLevel2X 2 5 2 6" xfId="30595" xr:uid="{C2289268-0FCB-4B31-8762-CB57558D250E}"/>
    <cellStyle name="SAPBEXHLevel2X 2 5 3" xfId="25718" xr:uid="{00000000-0005-0000-0000-0000CE6E0000}"/>
    <cellStyle name="SAPBEXHLevel2X 2 5 3 2" xfId="27871" xr:uid="{00000000-0005-0000-0000-0000CF6E0000}"/>
    <cellStyle name="SAPBEXHLevel2X 2 5 3 2 2" xfId="32458" xr:uid="{EB1F5D69-68AF-447A-9BF1-33F449301EC0}"/>
    <cellStyle name="SAPBEXHLevel2X 2 5 3 3" xfId="28299" xr:uid="{00000000-0005-0000-0000-0000D06E0000}"/>
    <cellStyle name="SAPBEXHLevel2X 2 5 3 3 2" xfId="32857" xr:uid="{10D277D1-34CF-43B5-8979-A5793419D8E8}"/>
    <cellStyle name="SAPBEXHLevel2X 2 5 3 4" xfId="26528" xr:uid="{00000000-0005-0000-0000-0000D16E0000}"/>
    <cellStyle name="SAPBEXHLevel2X 2 5 3 4 2" xfId="31315" xr:uid="{5FC43C3A-F925-4069-8E91-207A51EDA085}"/>
    <cellStyle name="SAPBEXHLevel2X 2 5 3 5" xfId="29851" xr:uid="{00000000-0005-0000-0000-0000D26E0000}"/>
    <cellStyle name="SAPBEXHLevel2X 2 5 3 6" xfId="30712" xr:uid="{2C92B649-8AB1-4A21-8F08-48935CD35806}"/>
    <cellStyle name="SAPBEXHLevel2X 2 5 4" xfId="27405" xr:uid="{00000000-0005-0000-0000-0000D36E0000}"/>
    <cellStyle name="SAPBEXHLevel2X 2 5 4 2" xfId="32003" xr:uid="{44509791-5438-46FD-9F65-7FAEE2426485}"/>
    <cellStyle name="SAPBEXHLevel2X 2 5 5" xfId="28297" xr:uid="{00000000-0005-0000-0000-0000D46E0000}"/>
    <cellStyle name="SAPBEXHLevel2X 2 5 5 2" xfId="32855" xr:uid="{EC309A9B-E3FB-4E54-B5D6-E3D8866D7C7C}"/>
    <cellStyle name="SAPBEXHLevel2X 2 5 6" xfId="26732" xr:uid="{00000000-0005-0000-0000-0000D56E0000}"/>
    <cellStyle name="SAPBEXHLevel2X 2 5 6 2" xfId="31493" xr:uid="{110C8C70-758F-49A8-829C-38446E4B2D36}"/>
    <cellStyle name="SAPBEXHLevel2X 2 5 7" xfId="29849" xr:uid="{00000000-0005-0000-0000-0000D66E0000}"/>
    <cellStyle name="SAPBEXHLevel2X 2 5 8" xfId="30420" xr:uid="{F37C0D99-6EE7-459E-89E5-F6BCAD23A3FC}"/>
    <cellStyle name="SAPBEXHLevel2X 2 6" xfId="25855" xr:uid="{00000000-0005-0000-0000-0000D76E0000}"/>
    <cellStyle name="SAPBEXHLevel2X 2 6 2" xfId="30774" xr:uid="{ACCE309B-1CC4-4462-8476-FE1359A71F1C}"/>
    <cellStyle name="SAPBEXHLevel2X 2 7" xfId="28289" xr:uid="{00000000-0005-0000-0000-0000D86E0000}"/>
    <cellStyle name="SAPBEXHLevel2X 2 7 2" xfId="32847" xr:uid="{4C1DB4CB-9701-4254-A426-86ECD8207323}"/>
    <cellStyle name="SAPBEXHLevel2X 2 8" xfId="29232" xr:uid="{00000000-0005-0000-0000-0000D96E0000}"/>
    <cellStyle name="SAPBEXHLevel2X 2 8 2" xfId="33215" xr:uid="{5C335A7E-A0D0-418A-A9A7-41FAB1BDCE87}"/>
    <cellStyle name="SAPBEXHLevel2X 2 9" xfId="29841" xr:uid="{00000000-0005-0000-0000-0000DA6E0000}"/>
    <cellStyle name="SAPBEXHLevel2X 3" xfId="125" xr:uid="{00000000-0005-0000-0000-0000DB6E0000}"/>
    <cellStyle name="SAPBEXHLevel2X 3 2" xfId="13659" xr:uid="{00000000-0005-0000-0000-0000DC6E0000}"/>
    <cellStyle name="SAPBEXHLevel2X 3 2 2" xfId="25497" xr:uid="{00000000-0005-0000-0000-0000DD6E0000}"/>
    <cellStyle name="SAPBEXHLevel2X 3 2 2 2" xfId="27650" xr:uid="{00000000-0005-0000-0000-0000DE6E0000}"/>
    <cellStyle name="SAPBEXHLevel2X 3 2 2 2 2" xfId="32237" xr:uid="{68C814BA-31C8-4FF0-B521-FFC6EF9D9B2E}"/>
    <cellStyle name="SAPBEXHLevel2X 3 2 2 3" xfId="28302" xr:uid="{00000000-0005-0000-0000-0000DF6E0000}"/>
    <cellStyle name="SAPBEXHLevel2X 3 2 2 3 2" xfId="32860" xr:uid="{3561326F-3243-4A1F-ADB6-5C8D27C8BD4F}"/>
    <cellStyle name="SAPBEXHLevel2X 3 2 2 4" xfId="26312" xr:uid="{00000000-0005-0000-0000-0000E06E0000}"/>
    <cellStyle name="SAPBEXHLevel2X 3 2 2 4 2" xfId="31100" xr:uid="{08ED919A-E9E6-4EDE-B952-9AD494F4E66F}"/>
    <cellStyle name="SAPBEXHLevel2X 3 2 2 5" xfId="29854" xr:uid="{00000000-0005-0000-0000-0000E16E0000}"/>
    <cellStyle name="SAPBEXHLevel2X 3 2 3" xfId="26601" xr:uid="{00000000-0005-0000-0000-0000E26E0000}"/>
    <cellStyle name="SAPBEXHLevel2X 3 2 3 2" xfId="31379" xr:uid="{296C1C71-F8D2-4DDC-9F2C-0C4AD5DE6453}"/>
    <cellStyle name="SAPBEXHLevel2X 3 2 4" xfId="28301" xr:uid="{00000000-0005-0000-0000-0000E36E0000}"/>
    <cellStyle name="SAPBEXHLevel2X 3 2 4 2" xfId="32859" xr:uid="{C131D219-DAB1-4AC7-A4E7-9A9F531C34A3}"/>
    <cellStyle name="SAPBEXHLevel2X 3 2 5" xfId="26535" xr:uid="{00000000-0005-0000-0000-0000E46E0000}"/>
    <cellStyle name="SAPBEXHLevel2X 3 2 5 2" xfId="31322" xr:uid="{D412E13F-DA19-40B5-B9A4-97D4B53735A3}"/>
    <cellStyle name="SAPBEXHLevel2X 3 2 6" xfId="29853" xr:uid="{00000000-0005-0000-0000-0000E56E0000}"/>
    <cellStyle name="SAPBEXHLevel2X 3 2 7" xfId="30199" xr:uid="{B349369F-99CF-4011-B0A7-CC1173872BC4}"/>
    <cellStyle name="SAPBEXHLevel2X 3 3" xfId="24265" xr:uid="{00000000-0005-0000-0000-0000E66E0000}"/>
    <cellStyle name="SAPBEXHLevel2X 3 3 2" xfId="25586" xr:uid="{00000000-0005-0000-0000-0000E76E0000}"/>
    <cellStyle name="SAPBEXHLevel2X 3 3 2 2" xfId="27739" xr:uid="{00000000-0005-0000-0000-0000E86E0000}"/>
    <cellStyle name="SAPBEXHLevel2X 3 3 2 2 2" xfId="32326" xr:uid="{C2A2EF66-BE32-4DFA-8855-340BB683DC17}"/>
    <cellStyle name="SAPBEXHLevel2X 3 3 2 3" xfId="28304" xr:uid="{00000000-0005-0000-0000-0000E96E0000}"/>
    <cellStyle name="SAPBEXHLevel2X 3 3 2 3 2" xfId="32862" xr:uid="{76A1AFBB-E582-49E7-B0F8-8AECAF892336}"/>
    <cellStyle name="SAPBEXHLevel2X 3 3 2 4" xfId="26815" xr:uid="{00000000-0005-0000-0000-0000EA6E0000}"/>
    <cellStyle name="SAPBEXHLevel2X 3 3 2 4 2" xfId="31576" xr:uid="{6C80A768-3F40-4268-8A8A-9C47F79ABB07}"/>
    <cellStyle name="SAPBEXHLevel2X 3 3 2 5" xfId="29856" xr:uid="{00000000-0005-0000-0000-0000EB6E0000}"/>
    <cellStyle name="SAPBEXHLevel2X 3 3 3" xfId="27119" xr:uid="{00000000-0005-0000-0000-0000EC6E0000}"/>
    <cellStyle name="SAPBEXHLevel2X 3 3 3 2" xfId="31837" xr:uid="{E50DE7E4-2CE2-4068-BF91-765F266F453A}"/>
    <cellStyle name="SAPBEXHLevel2X 3 3 4" xfId="28303" xr:uid="{00000000-0005-0000-0000-0000ED6E0000}"/>
    <cellStyle name="SAPBEXHLevel2X 3 3 4 2" xfId="32861" xr:uid="{669A3092-DDC0-4A10-8493-E327A624300F}"/>
    <cellStyle name="SAPBEXHLevel2X 3 3 5" xfId="26319" xr:uid="{00000000-0005-0000-0000-0000EE6E0000}"/>
    <cellStyle name="SAPBEXHLevel2X 3 3 5 2" xfId="31107" xr:uid="{883B4567-434B-48C7-98E5-AA0FD6CA2CDB}"/>
    <cellStyle name="SAPBEXHLevel2X 3 3 6" xfId="29855" xr:uid="{00000000-0005-0000-0000-0000EF6E0000}"/>
    <cellStyle name="SAPBEXHLevel2X 3 3 7" xfId="30288" xr:uid="{350C7EE5-1DE1-4EE7-8E5E-4DDB1FD06BEF}"/>
    <cellStyle name="SAPBEXHLevel2X 3 4" xfId="24652" xr:uid="{00000000-0005-0000-0000-0000F06E0000}"/>
    <cellStyle name="SAPBEXHLevel2X 3 4 2" xfId="25333" xr:uid="{00000000-0005-0000-0000-0000F16E0000}"/>
    <cellStyle name="SAPBEXHLevel2X 3 4 2 2" xfId="27487" xr:uid="{00000000-0005-0000-0000-0000F26E0000}"/>
    <cellStyle name="SAPBEXHLevel2X 3 4 2 2 2" xfId="32078" xr:uid="{A83611BE-9A26-40FF-8CD1-9A3E6BE2E539}"/>
    <cellStyle name="SAPBEXHLevel2X 3 4 2 3" xfId="28306" xr:uid="{00000000-0005-0000-0000-0000F36E0000}"/>
    <cellStyle name="SAPBEXHLevel2X 3 4 2 3 2" xfId="32864" xr:uid="{52970F03-AB03-4B01-883D-C6CA0A84735B}"/>
    <cellStyle name="SAPBEXHLevel2X 3 4 2 4" xfId="26363" xr:uid="{00000000-0005-0000-0000-0000F46E0000}"/>
    <cellStyle name="SAPBEXHLevel2X 3 4 2 4 2" xfId="31151" xr:uid="{9CBEE3DC-A698-40AD-A48D-0CF945B10F1E}"/>
    <cellStyle name="SAPBEXHLevel2X 3 4 2 5" xfId="29858" xr:uid="{00000000-0005-0000-0000-0000F56E0000}"/>
    <cellStyle name="SAPBEXHLevel2X 3 4 2 6" xfId="30491" xr:uid="{A9C0E3A9-55F6-4015-AC68-573BEB21E894}"/>
    <cellStyle name="SAPBEXHLevel2X 3 4 3" xfId="25618" xr:uid="{00000000-0005-0000-0000-0000F66E0000}"/>
    <cellStyle name="SAPBEXHLevel2X 3 4 3 2" xfId="27771" xr:uid="{00000000-0005-0000-0000-0000F76E0000}"/>
    <cellStyle name="SAPBEXHLevel2X 3 4 3 2 2" xfId="32358" xr:uid="{42DF8C83-80E7-4331-BAE5-F05E9F80A5BB}"/>
    <cellStyle name="SAPBEXHLevel2X 3 4 3 3" xfId="28307" xr:uid="{00000000-0005-0000-0000-0000F86E0000}"/>
    <cellStyle name="SAPBEXHLevel2X 3 4 3 3 2" xfId="32865" xr:uid="{F218E463-7A97-4B09-AC7A-A8A5154395F3}"/>
    <cellStyle name="SAPBEXHLevel2X 3 4 3 4" xfId="26516" xr:uid="{00000000-0005-0000-0000-0000F96E0000}"/>
    <cellStyle name="SAPBEXHLevel2X 3 4 3 4 2" xfId="31304" xr:uid="{D4617993-C1B8-4067-B4A5-5ED3D22B95B7}"/>
    <cellStyle name="SAPBEXHLevel2X 3 4 3 5" xfId="29859" xr:uid="{00000000-0005-0000-0000-0000FA6E0000}"/>
    <cellStyle name="SAPBEXHLevel2X 3 4 4" xfId="27245" xr:uid="{00000000-0005-0000-0000-0000FB6E0000}"/>
    <cellStyle name="SAPBEXHLevel2X 3 4 4 2" xfId="31880" xr:uid="{524C7DE7-3A6B-441E-A669-D3CE7200549B}"/>
    <cellStyle name="SAPBEXHLevel2X 3 4 5" xfId="28305" xr:uid="{00000000-0005-0000-0000-0000FC6E0000}"/>
    <cellStyle name="SAPBEXHLevel2X 3 4 5 2" xfId="32863" xr:uid="{803751BF-85B9-4945-B68A-25825F65E398}"/>
    <cellStyle name="SAPBEXHLevel2X 3 4 6" xfId="26711" xr:uid="{00000000-0005-0000-0000-0000FD6E0000}"/>
    <cellStyle name="SAPBEXHLevel2X 3 4 6 2" xfId="31473" xr:uid="{C43972B6-828B-4B93-8A38-E4488229649C}"/>
    <cellStyle name="SAPBEXHLevel2X 3 4 7" xfId="29857" xr:uid="{00000000-0005-0000-0000-0000FE6E0000}"/>
    <cellStyle name="SAPBEXHLevel2X 3 4 8" xfId="30320" xr:uid="{26317DB7-6BDD-4B90-B40E-D2875A8142C5}"/>
    <cellStyle name="SAPBEXHLevel2X 3 5" xfId="25121" xr:uid="{00000000-0005-0000-0000-0000FF6E0000}"/>
    <cellStyle name="SAPBEXHLevel2X 3 5 2" xfId="25354" xr:uid="{00000000-0005-0000-0000-0000006F0000}"/>
    <cellStyle name="SAPBEXHLevel2X 3 5 2 2" xfId="27508" xr:uid="{00000000-0005-0000-0000-0000016F0000}"/>
    <cellStyle name="SAPBEXHLevel2X 3 5 2 2 2" xfId="32099" xr:uid="{DF2B96D1-52CE-4933-AFCF-F69E40F779CE}"/>
    <cellStyle name="SAPBEXHLevel2X 3 5 2 3" xfId="28309" xr:uid="{00000000-0005-0000-0000-0000026F0000}"/>
    <cellStyle name="SAPBEXHLevel2X 3 5 2 3 2" xfId="32867" xr:uid="{E90AE2DB-A9BA-40FE-BD0C-868BA220FD86}"/>
    <cellStyle name="SAPBEXHLevel2X 3 5 2 4" xfId="26955" xr:uid="{00000000-0005-0000-0000-0000036F0000}"/>
    <cellStyle name="SAPBEXHLevel2X 3 5 2 4 2" xfId="31716" xr:uid="{1905C4DC-7DD6-41C2-8F5F-3FAA3826B72C}"/>
    <cellStyle name="SAPBEXHLevel2X 3 5 2 5" xfId="29861" xr:uid="{00000000-0005-0000-0000-0000046F0000}"/>
    <cellStyle name="SAPBEXHLevel2X 3 5 2 6" xfId="30512" xr:uid="{4B44D0F1-4E54-4371-90AF-C8D4AE8B2862}"/>
    <cellStyle name="SAPBEXHLevel2X 3 5 3" xfId="25719" xr:uid="{00000000-0005-0000-0000-0000056F0000}"/>
    <cellStyle name="SAPBEXHLevel2X 3 5 3 2" xfId="27872" xr:uid="{00000000-0005-0000-0000-0000066F0000}"/>
    <cellStyle name="SAPBEXHLevel2X 3 5 3 2 2" xfId="32459" xr:uid="{6ECD7BC5-A01F-47C2-9F2A-A0BEDD710D11}"/>
    <cellStyle name="SAPBEXHLevel2X 3 5 3 3" xfId="28310" xr:uid="{00000000-0005-0000-0000-0000076F0000}"/>
    <cellStyle name="SAPBEXHLevel2X 3 5 3 3 2" xfId="32868" xr:uid="{E0BC4AFA-FA82-450F-84BE-7FD9A52DC0A1}"/>
    <cellStyle name="SAPBEXHLevel2X 3 5 3 4" xfId="26513" xr:uid="{00000000-0005-0000-0000-0000086F0000}"/>
    <cellStyle name="SAPBEXHLevel2X 3 5 3 4 2" xfId="31301" xr:uid="{5DB21D4A-477F-4CEC-B329-F4C0FF595831}"/>
    <cellStyle name="SAPBEXHLevel2X 3 5 3 5" xfId="29862" xr:uid="{00000000-0005-0000-0000-0000096F0000}"/>
    <cellStyle name="SAPBEXHLevel2X 3 5 3 6" xfId="30713" xr:uid="{CE0C89F6-3B8F-47AA-9EFD-ECA249DD3F91}"/>
    <cellStyle name="SAPBEXHLevel2X 3 5 4" xfId="27406" xr:uid="{00000000-0005-0000-0000-00000A6F0000}"/>
    <cellStyle name="SAPBEXHLevel2X 3 5 4 2" xfId="32004" xr:uid="{3C67262E-D7E2-43C3-95D6-3198AA0C5344}"/>
    <cellStyle name="SAPBEXHLevel2X 3 5 5" xfId="28308" xr:uid="{00000000-0005-0000-0000-00000B6F0000}"/>
    <cellStyle name="SAPBEXHLevel2X 3 5 5 2" xfId="32866" xr:uid="{F9D42687-1A7C-4D66-8C2D-8F7878AADFE5}"/>
    <cellStyle name="SAPBEXHLevel2X 3 5 6" xfId="26141" xr:uid="{00000000-0005-0000-0000-00000C6F0000}"/>
    <cellStyle name="SAPBEXHLevel2X 3 5 6 2" xfId="30931" xr:uid="{69C3F65B-65BA-45D6-B78B-A22DAEA2C73B}"/>
    <cellStyle name="SAPBEXHLevel2X 3 5 7" xfId="29860" xr:uid="{00000000-0005-0000-0000-00000D6F0000}"/>
    <cellStyle name="SAPBEXHLevel2X 3 5 8" xfId="30421" xr:uid="{6986DA9C-58F3-4D52-95F6-31BF86F9DCD1}"/>
    <cellStyle name="SAPBEXHLevel2X 3 6" xfId="25856" xr:uid="{00000000-0005-0000-0000-00000E6F0000}"/>
    <cellStyle name="SAPBEXHLevel2X 3 6 2" xfId="30775" xr:uid="{D0EE09E1-B8EA-40EC-A02E-467C33508226}"/>
    <cellStyle name="SAPBEXHLevel2X 3 7" xfId="28300" xr:uid="{00000000-0005-0000-0000-00000F6F0000}"/>
    <cellStyle name="SAPBEXHLevel2X 3 7 2" xfId="32858" xr:uid="{9EACCF4F-5707-4C1F-BADE-68B4708927D1}"/>
    <cellStyle name="SAPBEXHLevel2X 3 8" xfId="29214" xr:uid="{00000000-0005-0000-0000-0000106F0000}"/>
    <cellStyle name="SAPBEXHLevel2X 3 8 2" xfId="33197" xr:uid="{4D64B8D7-1A4B-49DA-B4AF-03D38E28536A}"/>
    <cellStyle name="SAPBEXHLevel2X 3 9" xfId="29852" xr:uid="{00000000-0005-0000-0000-0000116F0000}"/>
    <cellStyle name="SAPBEXHLevel2X 4" xfId="126" xr:uid="{00000000-0005-0000-0000-0000126F0000}"/>
    <cellStyle name="SAPBEXHLevel2X 4 2" xfId="13660" xr:uid="{00000000-0005-0000-0000-0000136F0000}"/>
    <cellStyle name="SAPBEXHLevel2X 4 2 2" xfId="25498" xr:uid="{00000000-0005-0000-0000-0000146F0000}"/>
    <cellStyle name="SAPBEXHLevel2X 4 2 2 2" xfId="27651" xr:uid="{00000000-0005-0000-0000-0000156F0000}"/>
    <cellStyle name="SAPBEXHLevel2X 4 2 2 2 2" xfId="32238" xr:uid="{769983A9-FC25-4B24-845E-345081FEB88C}"/>
    <cellStyle name="SAPBEXHLevel2X 4 2 2 3" xfId="28313" xr:uid="{00000000-0005-0000-0000-0000166F0000}"/>
    <cellStyle name="SAPBEXHLevel2X 4 2 2 3 2" xfId="32871" xr:uid="{2D8F571C-74DA-48DB-9E7D-CE15639BEA6F}"/>
    <cellStyle name="SAPBEXHLevel2X 4 2 2 4" xfId="27348" xr:uid="{00000000-0005-0000-0000-0000176F0000}"/>
    <cellStyle name="SAPBEXHLevel2X 4 2 2 4 2" xfId="31946" xr:uid="{7D14A477-1CB6-4F9E-BE25-CCDF30EE4B3D}"/>
    <cellStyle name="SAPBEXHLevel2X 4 2 2 5" xfId="29865" xr:uid="{00000000-0005-0000-0000-0000186F0000}"/>
    <cellStyle name="SAPBEXHLevel2X 4 2 3" xfId="26602" xr:uid="{00000000-0005-0000-0000-0000196F0000}"/>
    <cellStyle name="SAPBEXHLevel2X 4 2 3 2" xfId="31380" xr:uid="{CC15C65E-53C9-4EF0-987E-5BCB52B43667}"/>
    <cellStyle name="SAPBEXHLevel2X 4 2 4" xfId="28312" xr:uid="{00000000-0005-0000-0000-00001A6F0000}"/>
    <cellStyle name="SAPBEXHLevel2X 4 2 4 2" xfId="32870" xr:uid="{348F290E-97A2-426E-AEF8-FF08E05C193F}"/>
    <cellStyle name="SAPBEXHLevel2X 4 2 5" xfId="27082" xr:uid="{00000000-0005-0000-0000-00001B6F0000}"/>
    <cellStyle name="SAPBEXHLevel2X 4 2 5 2" xfId="31806" xr:uid="{9968531E-208C-4393-8B61-AD4ECE53455F}"/>
    <cellStyle name="SAPBEXHLevel2X 4 2 6" xfId="29864" xr:uid="{00000000-0005-0000-0000-00001C6F0000}"/>
    <cellStyle name="SAPBEXHLevel2X 4 2 7" xfId="30200" xr:uid="{973650EE-48B8-407C-A2EF-2928BD22E9A5}"/>
    <cellStyle name="SAPBEXHLevel2X 4 3" xfId="25857" xr:uid="{00000000-0005-0000-0000-00001D6F0000}"/>
    <cellStyle name="SAPBEXHLevel2X 4 3 2" xfId="30776" xr:uid="{6F22AA6E-5ACF-4450-A3A3-206F1A076CB3}"/>
    <cellStyle name="SAPBEXHLevel2X 4 4" xfId="28311" xr:uid="{00000000-0005-0000-0000-00001E6F0000}"/>
    <cellStyle name="SAPBEXHLevel2X 4 4 2" xfId="32869" xr:uid="{896D0740-6BAD-422F-B817-AEC5931338C7}"/>
    <cellStyle name="SAPBEXHLevel2X 4 5" xfId="26370" xr:uid="{00000000-0005-0000-0000-00001F6F0000}"/>
    <cellStyle name="SAPBEXHLevel2X 4 5 2" xfId="31158" xr:uid="{E95CA076-8D58-4743-9DF5-2ECA034581DC}"/>
    <cellStyle name="SAPBEXHLevel2X 4 6" xfId="29863" xr:uid="{00000000-0005-0000-0000-0000206F0000}"/>
    <cellStyle name="SAPBEXHLevel2X 5" xfId="255" xr:uid="{00000000-0005-0000-0000-0000216F0000}"/>
    <cellStyle name="SAPBEXHLevel2X 5 2" xfId="13720" xr:uid="{00000000-0005-0000-0000-0000226F0000}"/>
    <cellStyle name="SAPBEXHLevel2X 5 2 2" xfId="25533" xr:uid="{00000000-0005-0000-0000-0000236F0000}"/>
    <cellStyle name="SAPBEXHLevel2X 5 2 2 2" xfId="27686" xr:uid="{00000000-0005-0000-0000-0000246F0000}"/>
    <cellStyle name="SAPBEXHLevel2X 5 2 2 2 2" xfId="32273" xr:uid="{969DB673-F132-4CBE-994C-665BFBD48362}"/>
    <cellStyle name="SAPBEXHLevel2X 5 2 2 3" xfId="28316" xr:uid="{00000000-0005-0000-0000-0000256F0000}"/>
    <cellStyle name="SAPBEXHLevel2X 5 2 2 3 2" xfId="32874" xr:uid="{5AF32070-A573-43CF-A82F-F76A65150F26}"/>
    <cellStyle name="SAPBEXHLevel2X 5 2 2 4" xfId="26214" xr:uid="{00000000-0005-0000-0000-0000266F0000}"/>
    <cellStyle name="SAPBEXHLevel2X 5 2 2 4 2" xfId="31002" xr:uid="{97AC4181-D357-4B1E-8C2A-AC0B62651307}"/>
    <cellStyle name="SAPBEXHLevel2X 5 2 2 5" xfId="29868" xr:uid="{00000000-0005-0000-0000-0000276F0000}"/>
    <cellStyle name="SAPBEXHLevel2X 5 2 3" xfId="26640" xr:uid="{00000000-0005-0000-0000-0000286F0000}"/>
    <cellStyle name="SAPBEXHLevel2X 5 2 3 2" xfId="31417" xr:uid="{E29B80E2-11AB-4507-84F4-47950C32AA74}"/>
    <cellStyle name="SAPBEXHLevel2X 5 2 4" xfId="28315" xr:uid="{00000000-0005-0000-0000-0000296F0000}"/>
    <cellStyle name="SAPBEXHLevel2X 5 2 4 2" xfId="32873" xr:uid="{301B100A-14DB-4657-9AD5-698FB11EB8AD}"/>
    <cellStyle name="SAPBEXHLevel2X 5 2 5" xfId="27008" xr:uid="{00000000-0005-0000-0000-00002A6F0000}"/>
    <cellStyle name="SAPBEXHLevel2X 5 2 5 2" xfId="31768" xr:uid="{46C5460C-2A05-4E8D-80FC-DACAB3901175}"/>
    <cellStyle name="SAPBEXHLevel2X 5 2 6" xfId="29867" xr:uid="{00000000-0005-0000-0000-00002B6F0000}"/>
    <cellStyle name="SAPBEXHLevel2X 5 2 7" xfId="30235" xr:uid="{C03BD525-83C6-47A9-BC30-CB915168A97D}"/>
    <cellStyle name="SAPBEXHLevel2X 5 3" xfId="25923" xr:uid="{00000000-0005-0000-0000-00002C6F0000}"/>
    <cellStyle name="SAPBEXHLevel2X 5 3 2" xfId="30812" xr:uid="{05DEC17D-FB44-425C-8C75-470DC3851EBE}"/>
    <cellStyle name="SAPBEXHLevel2X 5 4" xfId="28314" xr:uid="{00000000-0005-0000-0000-00002D6F0000}"/>
    <cellStyle name="SAPBEXHLevel2X 5 4 2" xfId="32872" xr:uid="{2E98358B-10FF-44FC-AF6F-5FD64FD46555}"/>
    <cellStyle name="SAPBEXHLevel2X 5 5" xfId="27924" xr:uid="{00000000-0005-0000-0000-00002E6F0000}"/>
    <cellStyle name="SAPBEXHLevel2X 5 5 2" xfId="32482" xr:uid="{DF0E5E79-F03F-4499-909D-9C987E0A765E}"/>
    <cellStyle name="SAPBEXHLevel2X 5 6" xfId="29866" xr:uid="{00000000-0005-0000-0000-00002F6F0000}"/>
    <cellStyle name="SAPBEXHLevel2X 6" xfId="13657" xr:uid="{00000000-0005-0000-0000-0000306F0000}"/>
    <cellStyle name="SAPBEXHLevel2X 6 2" xfId="25495" xr:uid="{00000000-0005-0000-0000-0000316F0000}"/>
    <cellStyle name="SAPBEXHLevel2X 6 2 2" xfId="27648" xr:uid="{00000000-0005-0000-0000-0000326F0000}"/>
    <cellStyle name="SAPBEXHLevel2X 6 2 2 2" xfId="32235" xr:uid="{62D6E3E9-F16D-4400-89DF-D5E2BD38B569}"/>
    <cellStyle name="SAPBEXHLevel2X 6 2 3" xfId="28318" xr:uid="{00000000-0005-0000-0000-0000336F0000}"/>
    <cellStyle name="SAPBEXHLevel2X 6 2 3 2" xfId="32876" xr:uid="{7F3B2853-9A74-4353-865D-F8D35928BB50}"/>
    <cellStyle name="SAPBEXHLevel2X 6 2 4" xfId="27321" xr:uid="{00000000-0005-0000-0000-0000346F0000}"/>
    <cellStyle name="SAPBEXHLevel2X 6 2 4 2" xfId="31940" xr:uid="{B24DB459-6A37-4D29-9C5D-6DE37E9678FD}"/>
    <cellStyle name="SAPBEXHLevel2X 6 2 5" xfId="29870" xr:uid="{00000000-0005-0000-0000-0000356F0000}"/>
    <cellStyle name="SAPBEXHLevel2X 6 3" xfId="26599" xr:uid="{00000000-0005-0000-0000-0000366F0000}"/>
    <cellStyle name="SAPBEXHLevel2X 6 3 2" xfId="31377" xr:uid="{127269DD-B4D7-4E7D-92C1-E9F349449EE5}"/>
    <cellStyle name="SAPBEXHLevel2X 6 4" xfId="28317" xr:uid="{00000000-0005-0000-0000-0000376F0000}"/>
    <cellStyle name="SAPBEXHLevel2X 6 4 2" xfId="32875" xr:uid="{7D039002-1AF4-47D8-AA52-29136A2095D9}"/>
    <cellStyle name="SAPBEXHLevel2X 6 5" xfId="26352" xr:uid="{00000000-0005-0000-0000-0000386F0000}"/>
    <cellStyle name="SAPBEXHLevel2X 6 5 2" xfId="31140" xr:uid="{24C10434-4703-4634-A24A-B7999810F8E0}"/>
    <cellStyle name="SAPBEXHLevel2X 6 6" xfId="29869" xr:uid="{00000000-0005-0000-0000-0000396F0000}"/>
    <cellStyle name="SAPBEXHLevel2X 6 7" xfId="30197" xr:uid="{0DBA6F2A-DBB0-4119-96D4-9A08BB066EFA}"/>
    <cellStyle name="SAPBEXHLevel2X 7" xfId="24654" xr:uid="{00000000-0005-0000-0000-00003A6F0000}"/>
    <cellStyle name="SAPBEXHLevel2X 7 2" xfId="25350" xr:uid="{00000000-0005-0000-0000-00003B6F0000}"/>
    <cellStyle name="SAPBEXHLevel2X 7 2 2" xfId="27504" xr:uid="{00000000-0005-0000-0000-00003C6F0000}"/>
    <cellStyle name="SAPBEXHLevel2X 7 2 2 2" xfId="32095" xr:uid="{F85131B8-CC45-4460-A75E-29E81793FD40}"/>
    <cellStyle name="SAPBEXHLevel2X 7 2 3" xfId="28320" xr:uid="{00000000-0005-0000-0000-00003D6F0000}"/>
    <cellStyle name="SAPBEXHLevel2X 7 2 3 2" xfId="32878" xr:uid="{04C7A79E-6BF2-497C-8C1C-03BB16105FEC}"/>
    <cellStyle name="SAPBEXHLevel2X 7 2 4" xfId="26206" xr:uid="{00000000-0005-0000-0000-00003E6F0000}"/>
    <cellStyle name="SAPBEXHLevel2X 7 2 4 2" xfId="30994" xr:uid="{7753D107-6785-493D-8438-04D4AD959D57}"/>
    <cellStyle name="SAPBEXHLevel2X 7 2 5" xfId="29872" xr:uid="{00000000-0005-0000-0000-00003F6F0000}"/>
    <cellStyle name="SAPBEXHLevel2X 7 2 6" xfId="30508" xr:uid="{675FD031-24F5-4CED-B577-29B0C1D816EC}"/>
    <cellStyle name="SAPBEXHLevel2X 7 3" xfId="25620" xr:uid="{00000000-0005-0000-0000-0000406F0000}"/>
    <cellStyle name="SAPBEXHLevel2X 7 3 2" xfId="27773" xr:uid="{00000000-0005-0000-0000-0000416F0000}"/>
    <cellStyle name="SAPBEXHLevel2X 7 3 2 2" xfId="32360" xr:uid="{C826C5D0-40E6-4EDE-8663-C9AC6AAE5153}"/>
    <cellStyle name="SAPBEXHLevel2X 7 3 3" xfId="28321" xr:uid="{00000000-0005-0000-0000-0000426F0000}"/>
    <cellStyle name="SAPBEXHLevel2X 7 3 3 2" xfId="32879" xr:uid="{C3DDCAA5-A4BD-411B-8856-CBBA4B8F3FE0}"/>
    <cellStyle name="SAPBEXHLevel2X 7 3 4" xfId="26888" xr:uid="{00000000-0005-0000-0000-0000436F0000}"/>
    <cellStyle name="SAPBEXHLevel2X 7 3 4 2" xfId="31649" xr:uid="{21D57C68-30F9-4B6C-9844-67B585BDE5AE}"/>
    <cellStyle name="SAPBEXHLevel2X 7 3 5" xfId="29873" xr:uid="{00000000-0005-0000-0000-0000446F0000}"/>
    <cellStyle name="SAPBEXHLevel2X 7 4" xfId="27247" xr:uid="{00000000-0005-0000-0000-0000456F0000}"/>
    <cellStyle name="SAPBEXHLevel2X 7 4 2" xfId="31882" xr:uid="{1F50CDA6-D426-4BE3-93AA-CB66526806EF}"/>
    <cellStyle name="SAPBEXHLevel2X 7 5" xfId="28319" xr:uid="{00000000-0005-0000-0000-0000466F0000}"/>
    <cellStyle name="SAPBEXHLevel2X 7 5 2" xfId="32877" xr:uid="{03C2483C-A434-4110-A236-1E6DD3535078}"/>
    <cellStyle name="SAPBEXHLevel2X 7 6" xfId="26115" xr:uid="{00000000-0005-0000-0000-0000476F0000}"/>
    <cellStyle name="SAPBEXHLevel2X 7 6 2" xfId="30905" xr:uid="{129CF6D2-70A9-455A-BFB0-65BC28E450D7}"/>
    <cellStyle name="SAPBEXHLevel2X 7 7" xfId="29871" xr:uid="{00000000-0005-0000-0000-0000486F0000}"/>
    <cellStyle name="SAPBEXHLevel2X 7 8" xfId="30322" xr:uid="{9C2CAA50-A93A-4420-AE48-305EBCF23106}"/>
    <cellStyle name="SAPBEXHLevel2X 8" xfId="25119" xr:uid="{00000000-0005-0000-0000-0000496F0000}"/>
    <cellStyle name="SAPBEXHLevel2X 8 2" xfId="25337" xr:uid="{00000000-0005-0000-0000-00004A6F0000}"/>
    <cellStyle name="SAPBEXHLevel2X 8 2 2" xfId="27491" xr:uid="{00000000-0005-0000-0000-00004B6F0000}"/>
    <cellStyle name="SAPBEXHLevel2X 8 2 2 2" xfId="32082" xr:uid="{686CFDCF-31B4-455B-AE48-7F75F05EE172}"/>
    <cellStyle name="SAPBEXHLevel2X 8 2 3" xfId="28323" xr:uid="{00000000-0005-0000-0000-00004C6F0000}"/>
    <cellStyle name="SAPBEXHLevel2X 8 2 3 2" xfId="32881" xr:uid="{8854D5C0-02DF-4691-A393-6F32A7509F3E}"/>
    <cellStyle name="SAPBEXHLevel2X 8 2 4" xfId="26138" xr:uid="{00000000-0005-0000-0000-00004D6F0000}"/>
    <cellStyle name="SAPBEXHLevel2X 8 2 4 2" xfId="30928" xr:uid="{4C73DAD2-5CC0-48FE-838B-08B6E4FF6FD6}"/>
    <cellStyle name="SAPBEXHLevel2X 8 2 5" xfId="29875" xr:uid="{00000000-0005-0000-0000-00004E6F0000}"/>
    <cellStyle name="SAPBEXHLevel2X 8 2 6" xfId="30495" xr:uid="{CC2F96E7-3868-4F9E-906C-EA6B106A0B19}"/>
    <cellStyle name="SAPBEXHLevel2X 8 3" xfId="25717" xr:uid="{00000000-0005-0000-0000-00004F6F0000}"/>
    <cellStyle name="SAPBEXHLevel2X 8 3 2" xfId="27870" xr:uid="{00000000-0005-0000-0000-0000506F0000}"/>
    <cellStyle name="SAPBEXHLevel2X 8 3 2 2" xfId="32457" xr:uid="{B23026B2-2D81-4A57-8853-B023293739F1}"/>
    <cellStyle name="SAPBEXHLevel2X 8 3 3" xfId="28324" xr:uid="{00000000-0005-0000-0000-0000516F0000}"/>
    <cellStyle name="SAPBEXHLevel2X 8 3 3 2" xfId="32882" xr:uid="{117AC622-D2D6-4810-BD6D-24D778F585A5}"/>
    <cellStyle name="SAPBEXHLevel2X 8 3 4" xfId="26822" xr:uid="{00000000-0005-0000-0000-0000526F0000}"/>
    <cellStyle name="SAPBEXHLevel2X 8 3 4 2" xfId="31583" xr:uid="{D4DB7635-284C-414E-BEC7-B40091DDE713}"/>
    <cellStyle name="SAPBEXHLevel2X 8 3 5" xfId="29876" xr:uid="{00000000-0005-0000-0000-0000536F0000}"/>
    <cellStyle name="SAPBEXHLevel2X 8 3 6" xfId="30711" xr:uid="{AAB3D7A8-2466-4FE4-A4B2-92DA429CF465}"/>
    <cellStyle name="SAPBEXHLevel2X 8 4" xfId="27404" xr:uid="{00000000-0005-0000-0000-0000546F0000}"/>
    <cellStyle name="SAPBEXHLevel2X 8 4 2" xfId="32002" xr:uid="{421B840A-CBB3-4937-9CBB-1689F18F6E06}"/>
    <cellStyle name="SAPBEXHLevel2X 8 5" xfId="28322" xr:uid="{00000000-0005-0000-0000-0000556F0000}"/>
    <cellStyle name="SAPBEXHLevel2X 8 5 2" xfId="32880" xr:uid="{800D98A4-FE35-4C07-97C7-594FE8FE102F}"/>
    <cellStyle name="SAPBEXHLevel2X 8 6" xfId="26826" xr:uid="{00000000-0005-0000-0000-0000566F0000}"/>
    <cellStyle name="SAPBEXHLevel2X 8 6 2" xfId="31587" xr:uid="{B5C5A7A9-5D59-4A1E-A74F-1A3BE4914B90}"/>
    <cellStyle name="SAPBEXHLevel2X 8 7" xfId="29874" xr:uid="{00000000-0005-0000-0000-0000576F0000}"/>
    <cellStyle name="SAPBEXHLevel2X 8 8" xfId="30419" xr:uid="{25479D68-A9E2-4939-8BD0-4B760DB2443B}"/>
    <cellStyle name="SAPBEXHLevel2X 9" xfId="25854" xr:uid="{00000000-0005-0000-0000-0000586F0000}"/>
    <cellStyle name="SAPBEXHLevel2X 9 2" xfId="30773" xr:uid="{0C939519-7478-4B4C-9B66-38110537D7E9}"/>
    <cellStyle name="SAPBEXHLevel3" xfId="127" xr:uid="{00000000-0005-0000-0000-0000596F0000}"/>
    <cellStyle name="SAPBEXHLevel3 10" xfId="28325" xr:uid="{00000000-0005-0000-0000-00005A6F0000}"/>
    <cellStyle name="SAPBEXHLevel3 10 2" xfId="32883" xr:uid="{390F4228-059F-4A06-8E9C-87458E7D9AB6}"/>
    <cellStyle name="SAPBEXHLevel3 11" xfId="26726" xr:uid="{00000000-0005-0000-0000-00005B6F0000}"/>
    <cellStyle name="SAPBEXHLevel3 11 2" xfId="31487" xr:uid="{C42E8870-3739-4180-A974-9A6B484EBF9F}"/>
    <cellStyle name="SAPBEXHLevel3 12" xfId="29877" xr:uid="{00000000-0005-0000-0000-00005C6F0000}"/>
    <cellStyle name="SAPBEXHLevel3 2" xfId="128" xr:uid="{00000000-0005-0000-0000-00005D6F0000}"/>
    <cellStyle name="SAPBEXHLevel3 2 2" xfId="13662" xr:uid="{00000000-0005-0000-0000-00005E6F0000}"/>
    <cellStyle name="SAPBEXHLevel3 2 2 2" xfId="25500" xr:uid="{00000000-0005-0000-0000-00005F6F0000}"/>
    <cellStyle name="SAPBEXHLevel3 2 2 2 2" xfId="27653" xr:uid="{00000000-0005-0000-0000-0000606F0000}"/>
    <cellStyle name="SAPBEXHLevel3 2 2 2 2 2" xfId="32240" xr:uid="{3ACD2E27-846A-4B3D-982F-B31A0A7D6651}"/>
    <cellStyle name="SAPBEXHLevel3 2 2 2 3" xfId="28328" xr:uid="{00000000-0005-0000-0000-0000616F0000}"/>
    <cellStyle name="SAPBEXHLevel3 2 2 2 3 2" xfId="32886" xr:uid="{6DD8A478-4974-45E0-808C-38EDE4A00250}"/>
    <cellStyle name="SAPBEXHLevel3 2 2 2 4" xfId="26782" xr:uid="{00000000-0005-0000-0000-0000626F0000}"/>
    <cellStyle name="SAPBEXHLevel3 2 2 2 4 2" xfId="31543" xr:uid="{12E4A735-9FA2-4D1F-90CB-43A10226922B}"/>
    <cellStyle name="SAPBEXHLevel3 2 2 2 5" xfId="29880" xr:uid="{00000000-0005-0000-0000-0000636F0000}"/>
    <cellStyle name="SAPBEXHLevel3 2 2 3" xfId="26604" xr:uid="{00000000-0005-0000-0000-0000646F0000}"/>
    <cellStyle name="SAPBEXHLevel3 2 2 3 2" xfId="31382" xr:uid="{2BF13B17-76AD-4804-8BFD-D27D192C32F4}"/>
    <cellStyle name="SAPBEXHLevel3 2 2 4" xfId="28327" xr:uid="{00000000-0005-0000-0000-0000656F0000}"/>
    <cellStyle name="SAPBEXHLevel3 2 2 4 2" xfId="32885" xr:uid="{729EA39B-151C-4472-AB98-B67533377E4C}"/>
    <cellStyle name="SAPBEXHLevel3 2 2 5" xfId="26542" xr:uid="{00000000-0005-0000-0000-0000666F0000}"/>
    <cellStyle name="SAPBEXHLevel3 2 2 5 2" xfId="31329" xr:uid="{02455393-3BD4-4378-B5DE-5E9774295F4C}"/>
    <cellStyle name="SAPBEXHLevel3 2 2 6" xfId="29879" xr:uid="{00000000-0005-0000-0000-0000676F0000}"/>
    <cellStyle name="SAPBEXHLevel3 2 2 7" xfId="30202" xr:uid="{BBBD1AA3-778C-4BC5-B153-4DBD9FED934E}"/>
    <cellStyle name="SAPBEXHLevel3 2 3" xfId="24266" xr:uid="{00000000-0005-0000-0000-0000686F0000}"/>
    <cellStyle name="SAPBEXHLevel3 2 3 2" xfId="25587" xr:uid="{00000000-0005-0000-0000-0000696F0000}"/>
    <cellStyle name="SAPBEXHLevel3 2 3 2 2" xfId="27740" xr:uid="{00000000-0005-0000-0000-00006A6F0000}"/>
    <cellStyle name="SAPBEXHLevel3 2 3 2 2 2" xfId="32327" xr:uid="{D0A71B44-117A-491D-9D77-C62ED6F72671}"/>
    <cellStyle name="SAPBEXHLevel3 2 3 2 3" xfId="28330" xr:uid="{00000000-0005-0000-0000-00006B6F0000}"/>
    <cellStyle name="SAPBEXHLevel3 2 3 2 3 2" xfId="32888" xr:uid="{779DF8D9-F3A5-4B76-9F83-BF7EEF5892FA}"/>
    <cellStyle name="SAPBEXHLevel3 2 3 2 4" xfId="26451" xr:uid="{00000000-0005-0000-0000-00006C6F0000}"/>
    <cellStyle name="SAPBEXHLevel3 2 3 2 4 2" xfId="31239" xr:uid="{109D2016-F41B-480D-BC0C-C5FCE043689B}"/>
    <cellStyle name="SAPBEXHLevel3 2 3 2 5" xfId="29882" xr:uid="{00000000-0005-0000-0000-00006D6F0000}"/>
    <cellStyle name="SAPBEXHLevel3 2 3 3" xfId="27120" xr:uid="{00000000-0005-0000-0000-00006E6F0000}"/>
    <cellStyle name="SAPBEXHLevel3 2 3 3 2" xfId="31838" xr:uid="{0035D12D-E24C-42A4-8B52-91AF1B552E95}"/>
    <cellStyle name="SAPBEXHLevel3 2 3 4" xfId="28329" xr:uid="{00000000-0005-0000-0000-00006F6F0000}"/>
    <cellStyle name="SAPBEXHLevel3 2 3 4 2" xfId="32887" xr:uid="{930115E3-D16F-416E-ACF4-402ECFCA5D9E}"/>
    <cellStyle name="SAPBEXHLevel3 2 3 5" xfId="26176" xr:uid="{00000000-0005-0000-0000-0000706F0000}"/>
    <cellStyle name="SAPBEXHLevel3 2 3 5 2" xfId="30965" xr:uid="{D3E7D36C-B590-4E1F-BAC3-EDDFD6CE0B97}"/>
    <cellStyle name="SAPBEXHLevel3 2 3 6" xfId="29881" xr:uid="{00000000-0005-0000-0000-0000716F0000}"/>
    <cellStyle name="SAPBEXHLevel3 2 3 7" xfId="30289" xr:uid="{68786F03-A1A1-4938-93E2-D324674A8DE4}"/>
    <cellStyle name="SAPBEXHLevel3 2 4" xfId="24650" xr:uid="{00000000-0005-0000-0000-0000726F0000}"/>
    <cellStyle name="SAPBEXHLevel3 2 4 2" xfId="25317" xr:uid="{00000000-0005-0000-0000-0000736F0000}"/>
    <cellStyle name="SAPBEXHLevel3 2 4 2 2" xfId="27471" xr:uid="{00000000-0005-0000-0000-0000746F0000}"/>
    <cellStyle name="SAPBEXHLevel3 2 4 2 2 2" xfId="32062" xr:uid="{087651B0-C2A5-440D-A983-A13AAAD9FFB2}"/>
    <cellStyle name="SAPBEXHLevel3 2 4 2 3" xfId="28332" xr:uid="{00000000-0005-0000-0000-0000756F0000}"/>
    <cellStyle name="SAPBEXHLevel3 2 4 2 3 2" xfId="32890" xr:uid="{81CAC22D-97C2-41A5-AA93-6A2BE40E4D51}"/>
    <cellStyle name="SAPBEXHLevel3 2 4 2 4" xfId="26320" xr:uid="{00000000-0005-0000-0000-0000766F0000}"/>
    <cellStyle name="SAPBEXHLevel3 2 4 2 4 2" xfId="31108" xr:uid="{22E4178D-3D0E-4144-8E6B-706FB7BAC68D}"/>
    <cellStyle name="SAPBEXHLevel3 2 4 2 5" xfId="29884" xr:uid="{00000000-0005-0000-0000-0000776F0000}"/>
    <cellStyle name="SAPBEXHLevel3 2 4 2 6" xfId="30475" xr:uid="{5702EFEA-1A7C-4A1C-A697-D4BB52DC9D11}"/>
    <cellStyle name="SAPBEXHLevel3 2 4 3" xfId="25616" xr:uid="{00000000-0005-0000-0000-0000786F0000}"/>
    <cellStyle name="SAPBEXHLevel3 2 4 3 2" xfId="27769" xr:uid="{00000000-0005-0000-0000-0000796F0000}"/>
    <cellStyle name="SAPBEXHLevel3 2 4 3 2 2" xfId="32356" xr:uid="{FF46548E-6827-40A5-849B-98132378A016}"/>
    <cellStyle name="SAPBEXHLevel3 2 4 3 3" xfId="28333" xr:uid="{00000000-0005-0000-0000-00007A6F0000}"/>
    <cellStyle name="SAPBEXHLevel3 2 4 3 3 2" xfId="32891" xr:uid="{67E0CFF0-24D8-410F-8918-D8E809EE90F4}"/>
    <cellStyle name="SAPBEXHLevel3 2 4 3 4" xfId="26124" xr:uid="{00000000-0005-0000-0000-00007B6F0000}"/>
    <cellStyle name="SAPBEXHLevel3 2 4 3 4 2" xfId="30914" xr:uid="{2B225268-935F-48D5-A725-BD5D521C3B4D}"/>
    <cellStyle name="SAPBEXHLevel3 2 4 3 5" xfId="29885" xr:uid="{00000000-0005-0000-0000-00007C6F0000}"/>
    <cellStyle name="SAPBEXHLevel3 2 4 4" xfId="27243" xr:uid="{00000000-0005-0000-0000-00007D6F0000}"/>
    <cellStyle name="SAPBEXHLevel3 2 4 4 2" xfId="31878" xr:uid="{238F233A-17CE-4BE0-8753-89AFBE7CD717}"/>
    <cellStyle name="SAPBEXHLevel3 2 4 5" xfId="28331" xr:uid="{00000000-0005-0000-0000-00007E6F0000}"/>
    <cellStyle name="SAPBEXHLevel3 2 4 5 2" xfId="32889" xr:uid="{5E7EB697-EAC7-4C7E-BFC5-B133B717C656}"/>
    <cellStyle name="SAPBEXHLevel3 2 4 6" xfId="26779" xr:uid="{00000000-0005-0000-0000-00007F6F0000}"/>
    <cellStyle name="SAPBEXHLevel3 2 4 6 2" xfId="31540" xr:uid="{C3F2AA8E-3F21-4B99-92DB-6A5A99513555}"/>
    <cellStyle name="SAPBEXHLevel3 2 4 7" xfId="29883" xr:uid="{00000000-0005-0000-0000-0000806F0000}"/>
    <cellStyle name="SAPBEXHLevel3 2 4 8" xfId="30318" xr:uid="{88A181F7-9BE4-4925-AB9B-79CFE2B35AFB}"/>
    <cellStyle name="SAPBEXHLevel3 2 5" xfId="25123" xr:uid="{00000000-0005-0000-0000-0000816F0000}"/>
    <cellStyle name="SAPBEXHLevel3 2 5 2" xfId="25402" xr:uid="{00000000-0005-0000-0000-0000826F0000}"/>
    <cellStyle name="SAPBEXHLevel3 2 5 2 2" xfId="27556" xr:uid="{00000000-0005-0000-0000-0000836F0000}"/>
    <cellStyle name="SAPBEXHLevel3 2 5 2 2 2" xfId="32147" xr:uid="{79723505-481C-4012-88DC-7AE670F6A53C}"/>
    <cellStyle name="SAPBEXHLevel3 2 5 2 3" xfId="28335" xr:uid="{00000000-0005-0000-0000-0000846F0000}"/>
    <cellStyle name="SAPBEXHLevel3 2 5 2 3 2" xfId="32893" xr:uid="{4AFEEAF3-B2C2-45A4-996E-B5B2C2F0F2A1}"/>
    <cellStyle name="SAPBEXHLevel3 2 5 2 4" xfId="26989" xr:uid="{00000000-0005-0000-0000-0000856F0000}"/>
    <cellStyle name="SAPBEXHLevel3 2 5 2 4 2" xfId="31750" xr:uid="{B7FBEA03-64BB-4DA4-9C46-AF239438FA02}"/>
    <cellStyle name="SAPBEXHLevel3 2 5 2 5" xfId="29887" xr:uid="{00000000-0005-0000-0000-0000866F0000}"/>
    <cellStyle name="SAPBEXHLevel3 2 5 2 6" xfId="30560" xr:uid="{CA2C2169-2D1F-4F95-BDBB-CF94ADFF2567}"/>
    <cellStyle name="SAPBEXHLevel3 2 5 3" xfId="25721" xr:uid="{00000000-0005-0000-0000-0000876F0000}"/>
    <cellStyle name="SAPBEXHLevel3 2 5 3 2" xfId="27874" xr:uid="{00000000-0005-0000-0000-0000886F0000}"/>
    <cellStyle name="SAPBEXHLevel3 2 5 3 2 2" xfId="32461" xr:uid="{69800BA3-D48D-4B18-96D2-0DD317045434}"/>
    <cellStyle name="SAPBEXHLevel3 2 5 3 3" xfId="28336" xr:uid="{00000000-0005-0000-0000-0000896F0000}"/>
    <cellStyle name="SAPBEXHLevel3 2 5 3 3 2" xfId="32894" xr:uid="{57A8D45B-64EC-4794-8B86-C47441E1AC10}"/>
    <cellStyle name="SAPBEXHLevel3 2 5 3 4" xfId="26130" xr:uid="{00000000-0005-0000-0000-00008A6F0000}"/>
    <cellStyle name="SAPBEXHLevel3 2 5 3 4 2" xfId="30920" xr:uid="{3BFFD6D9-40CD-4806-8DC9-DD4EEF0FF543}"/>
    <cellStyle name="SAPBEXHLevel3 2 5 3 5" xfId="29888" xr:uid="{00000000-0005-0000-0000-00008B6F0000}"/>
    <cellStyle name="SAPBEXHLevel3 2 5 3 6" xfId="30715" xr:uid="{0EF3445F-1D0C-493F-A0F2-6F462B587C13}"/>
    <cellStyle name="SAPBEXHLevel3 2 5 4" xfId="27408" xr:uid="{00000000-0005-0000-0000-00008C6F0000}"/>
    <cellStyle name="SAPBEXHLevel3 2 5 4 2" xfId="32006" xr:uid="{44DE8BE0-F503-404A-9748-C95551C1BF22}"/>
    <cellStyle name="SAPBEXHLevel3 2 5 5" xfId="28334" xr:uid="{00000000-0005-0000-0000-00008D6F0000}"/>
    <cellStyle name="SAPBEXHLevel3 2 5 5 2" xfId="32892" xr:uid="{2D895C81-B1DF-4DC3-8081-FE71A6F9FAD3}"/>
    <cellStyle name="SAPBEXHLevel3 2 5 6" xfId="26958" xr:uid="{00000000-0005-0000-0000-00008E6F0000}"/>
    <cellStyle name="SAPBEXHLevel3 2 5 6 2" xfId="31719" xr:uid="{F47F5D6D-AB91-4FBA-AB14-8F8540202F69}"/>
    <cellStyle name="SAPBEXHLevel3 2 5 7" xfId="29886" xr:uid="{00000000-0005-0000-0000-00008F6F0000}"/>
    <cellStyle name="SAPBEXHLevel3 2 5 8" xfId="30423" xr:uid="{4B230C4A-C462-4013-AD36-50D48C947651}"/>
    <cellStyle name="SAPBEXHLevel3 2 6" xfId="25859" xr:uid="{00000000-0005-0000-0000-0000906F0000}"/>
    <cellStyle name="SAPBEXHLevel3 2 6 2" xfId="30778" xr:uid="{F1404CA5-F8C1-40E4-842C-54A69C099A43}"/>
    <cellStyle name="SAPBEXHLevel3 2 7" xfId="28326" xr:uid="{00000000-0005-0000-0000-0000916F0000}"/>
    <cellStyle name="SAPBEXHLevel3 2 7 2" xfId="32884" xr:uid="{A948E8AE-495D-4A27-8E05-0989FA2C5EFF}"/>
    <cellStyle name="SAPBEXHLevel3 2 8" xfId="26803" xr:uid="{00000000-0005-0000-0000-0000926F0000}"/>
    <cellStyle name="SAPBEXHLevel3 2 8 2" xfId="31564" xr:uid="{492255BB-88EE-4248-A3B2-0C39480E8EE2}"/>
    <cellStyle name="SAPBEXHLevel3 2 9" xfId="29878" xr:uid="{00000000-0005-0000-0000-0000936F0000}"/>
    <cellStyle name="SAPBEXHLevel3 3" xfId="129" xr:uid="{00000000-0005-0000-0000-0000946F0000}"/>
    <cellStyle name="SAPBEXHLevel3 3 2" xfId="13663" xr:uid="{00000000-0005-0000-0000-0000956F0000}"/>
    <cellStyle name="SAPBEXHLevel3 3 2 2" xfId="25501" xr:uid="{00000000-0005-0000-0000-0000966F0000}"/>
    <cellStyle name="SAPBEXHLevel3 3 2 2 2" xfId="27654" xr:uid="{00000000-0005-0000-0000-0000976F0000}"/>
    <cellStyle name="SAPBEXHLevel3 3 2 2 2 2" xfId="32241" xr:uid="{A6EC6A46-D1F6-46A4-992F-BCF644129001}"/>
    <cellStyle name="SAPBEXHLevel3 3 2 2 3" xfId="28339" xr:uid="{00000000-0005-0000-0000-0000986F0000}"/>
    <cellStyle name="SAPBEXHLevel3 3 2 2 3 2" xfId="32897" xr:uid="{9118F691-F55F-413D-9A51-8BC53DB98C83}"/>
    <cellStyle name="SAPBEXHLevel3 3 2 2 4" xfId="26540" xr:uid="{00000000-0005-0000-0000-0000996F0000}"/>
    <cellStyle name="SAPBEXHLevel3 3 2 2 4 2" xfId="31327" xr:uid="{A3F8F7AE-9154-4276-98E4-C633C6443E50}"/>
    <cellStyle name="SAPBEXHLevel3 3 2 2 5" xfId="29891" xr:uid="{00000000-0005-0000-0000-00009A6F0000}"/>
    <cellStyle name="SAPBEXHLevel3 3 2 3" xfId="26605" xr:uid="{00000000-0005-0000-0000-00009B6F0000}"/>
    <cellStyle name="SAPBEXHLevel3 3 2 3 2" xfId="31383" xr:uid="{D9AD2042-6F3D-4596-B9B7-37B22D32625A}"/>
    <cellStyle name="SAPBEXHLevel3 3 2 4" xfId="28338" xr:uid="{00000000-0005-0000-0000-00009C6F0000}"/>
    <cellStyle name="SAPBEXHLevel3 3 2 4 2" xfId="32896" xr:uid="{543C8F61-54F0-4192-ACB1-FBC492EB7016}"/>
    <cellStyle name="SAPBEXHLevel3 3 2 5" xfId="26712" xr:uid="{00000000-0005-0000-0000-00009D6F0000}"/>
    <cellStyle name="SAPBEXHLevel3 3 2 5 2" xfId="31474" xr:uid="{E9A2D744-F419-4C0E-A33E-5BC6521381CC}"/>
    <cellStyle name="SAPBEXHLevel3 3 2 6" xfId="29890" xr:uid="{00000000-0005-0000-0000-00009E6F0000}"/>
    <cellStyle name="SAPBEXHLevel3 3 2 7" xfId="30203" xr:uid="{5572BB18-1275-4C03-8CB0-DAA99260A2D9}"/>
    <cellStyle name="SAPBEXHLevel3 3 3" xfId="24267" xr:uid="{00000000-0005-0000-0000-00009F6F0000}"/>
    <cellStyle name="SAPBEXHLevel3 3 3 2" xfId="25588" xr:uid="{00000000-0005-0000-0000-0000A06F0000}"/>
    <cellStyle name="SAPBEXHLevel3 3 3 2 2" xfId="27741" xr:uid="{00000000-0005-0000-0000-0000A16F0000}"/>
    <cellStyle name="SAPBEXHLevel3 3 3 2 2 2" xfId="32328" xr:uid="{C66C74D3-B0A0-4F9A-A1C6-999A655606BD}"/>
    <cellStyle name="SAPBEXHLevel3 3 3 2 3" xfId="28341" xr:uid="{00000000-0005-0000-0000-0000A26F0000}"/>
    <cellStyle name="SAPBEXHLevel3 3 3 2 3 2" xfId="32899" xr:uid="{7C5522E9-BCDD-451C-96B9-365DBEAFBD0C}"/>
    <cellStyle name="SAPBEXHLevel3 3 3 2 4" xfId="26688" xr:uid="{00000000-0005-0000-0000-0000A36F0000}"/>
    <cellStyle name="SAPBEXHLevel3 3 3 2 4 2" xfId="31450" xr:uid="{323BA747-4870-4FCF-A32A-136477FDD5BB}"/>
    <cellStyle name="SAPBEXHLevel3 3 3 2 5" xfId="29893" xr:uid="{00000000-0005-0000-0000-0000A46F0000}"/>
    <cellStyle name="SAPBEXHLevel3 3 3 3" xfId="27121" xr:uid="{00000000-0005-0000-0000-0000A56F0000}"/>
    <cellStyle name="SAPBEXHLevel3 3 3 3 2" xfId="31839" xr:uid="{03133A09-158C-488E-9CE1-56186442D499}"/>
    <cellStyle name="SAPBEXHLevel3 3 3 4" xfId="28340" xr:uid="{00000000-0005-0000-0000-0000A66F0000}"/>
    <cellStyle name="SAPBEXHLevel3 3 3 4 2" xfId="32898" xr:uid="{E816AAF6-8948-4786-AB4C-F13407C38A06}"/>
    <cellStyle name="SAPBEXHLevel3 3 3 5" xfId="26288" xr:uid="{00000000-0005-0000-0000-0000A76F0000}"/>
    <cellStyle name="SAPBEXHLevel3 3 3 5 2" xfId="31076" xr:uid="{D251BE32-D48F-4108-AD45-5769E870534E}"/>
    <cellStyle name="SAPBEXHLevel3 3 3 6" xfId="29892" xr:uid="{00000000-0005-0000-0000-0000A86F0000}"/>
    <cellStyle name="SAPBEXHLevel3 3 3 7" xfId="30290" xr:uid="{B8AA07B4-C741-4A59-9FBC-77EF44526F45}"/>
    <cellStyle name="SAPBEXHLevel3 3 4" xfId="24649" xr:uid="{00000000-0005-0000-0000-0000A96F0000}"/>
    <cellStyle name="SAPBEXHLevel3 3 4 2" xfId="25405" xr:uid="{00000000-0005-0000-0000-0000AA6F0000}"/>
    <cellStyle name="SAPBEXHLevel3 3 4 2 2" xfId="27559" xr:uid="{00000000-0005-0000-0000-0000AB6F0000}"/>
    <cellStyle name="SAPBEXHLevel3 3 4 2 2 2" xfId="32150" xr:uid="{D52E23B2-4AF2-4F12-AC37-F00499E96FFF}"/>
    <cellStyle name="SAPBEXHLevel3 3 4 2 3" xfId="28343" xr:uid="{00000000-0005-0000-0000-0000AC6F0000}"/>
    <cellStyle name="SAPBEXHLevel3 3 4 2 3 2" xfId="32901" xr:uid="{433E9049-26DA-4E9A-AD48-3CD77353E62C}"/>
    <cellStyle name="SAPBEXHLevel3 3 4 2 4" xfId="26748" xr:uid="{00000000-0005-0000-0000-0000AD6F0000}"/>
    <cellStyle name="SAPBEXHLevel3 3 4 2 4 2" xfId="31509" xr:uid="{3A03C3C8-0558-4A63-98B8-AFEB51F8E7D4}"/>
    <cellStyle name="SAPBEXHLevel3 3 4 2 5" xfId="29895" xr:uid="{00000000-0005-0000-0000-0000AE6F0000}"/>
    <cellStyle name="SAPBEXHLevel3 3 4 2 6" xfId="30563" xr:uid="{72BFE700-20DC-4B40-AA68-9D423C320EEA}"/>
    <cellStyle name="SAPBEXHLevel3 3 4 3" xfId="25615" xr:uid="{00000000-0005-0000-0000-0000AF6F0000}"/>
    <cellStyle name="SAPBEXHLevel3 3 4 3 2" xfId="27768" xr:uid="{00000000-0005-0000-0000-0000B06F0000}"/>
    <cellStyle name="SAPBEXHLevel3 3 4 3 2 2" xfId="32355" xr:uid="{856F8FD3-8C00-4C11-BB47-D96F6009832F}"/>
    <cellStyle name="SAPBEXHLevel3 3 4 3 3" xfId="28344" xr:uid="{00000000-0005-0000-0000-0000B16F0000}"/>
    <cellStyle name="SAPBEXHLevel3 3 4 3 3 2" xfId="32902" xr:uid="{2FB193E1-5489-44B9-B429-E9E44E059481}"/>
    <cellStyle name="SAPBEXHLevel3 3 4 3 4" xfId="26282" xr:uid="{00000000-0005-0000-0000-0000B26F0000}"/>
    <cellStyle name="SAPBEXHLevel3 3 4 3 4 2" xfId="31070" xr:uid="{A910F346-740B-48C6-89CB-269109A7C369}"/>
    <cellStyle name="SAPBEXHLevel3 3 4 3 5" xfId="29896" xr:uid="{00000000-0005-0000-0000-0000B36F0000}"/>
    <cellStyle name="SAPBEXHLevel3 3 4 4" xfId="27242" xr:uid="{00000000-0005-0000-0000-0000B46F0000}"/>
    <cellStyle name="SAPBEXHLevel3 3 4 4 2" xfId="31877" xr:uid="{22EC87EE-F0C9-4F5A-99FA-6208E08F42B2}"/>
    <cellStyle name="SAPBEXHLevel3 3 4 5" xfId="28342" xr:uid="{00000000-0005-0000-0000-0000B56F0000}"/>
    <cellStyle name="SAPBEXHLevel3 3 4 5 2" xfId="32900" xr:uid="{3223B95C-34AC-4A1C-9DC6-FBE44E6203D3}"/>
    <cellStyle name="SAPBEXHLevel3 3 4 6" xfId="26368" xr:uid="{00000000-0005-0000-0000-0000B66F0000}"/>
    <cellStyle name="SAPBEXHLevel3 3 4 6 2" xfId="31156" xr:uid="{D5298CA2-60BA-4D1F-B65F-51C11EDEB375}"/>
    <cellStyle name="SAPBEXHLevel3 3 4 7" xfId="29894" xr:uid="{00000000-0005-0000-0000-0000B76F0000}"/>
    <cellStyle name="SAPBEXHLevel3 3 4 8" xfId="30317" xr:uid="{A8B505F8-E93C-4EB0-A3CB-8D06F0A9843A}"/>
    <cellStyle name="SAPBEXHLevel3 3 5" xfId="25124" xr:uid="{00000000-0005-0000-0000-0000B86F0000}"/>
    <cellStyle name="SAPBEXHLevel3 3 5 2" xfId="25313" xr:uid="{00000000-0005-0000-0000-0000B96F0000}"/>
    <cellStyle name="SAPBEXHLevel3 3 5 2 2" xfId="27467" xr:uid="{00000000-0005-0000-0000-0000BA6F0000}"/>
    <cellStyle name="SAPBEXHLevel3 3 5 2 2 2" xfId="32058" xr:uid="{A6F23E69-091F-43AD-B7C9-CAD44631E320}"/>
    <cellStyle name="SAPBEXHLevel3 3 5 2 3" xfId="28346" xr:uid="{00000000-0005-0000-0000-0000BB6F0000}"/>
    <cellStyle name="SAPBEXHLevel3 3 5 2 3 2" xfId="32904" xr:uid="{4824B40C-4DC6-4D45-A2AC-A325A7349EE2}"/>
    <cellStyle name="SAPBEXHLevel3 3 5 2 4" xfId="26766" xr:uid="{00000000-0005-0000-0000-0000BC6F0000}"/>
    <cellStyle name="SAPBEXHLevel3 3 5 2 4 2" xfId="31527" xr:uid="{BBFA4BB5-8801-4BDD-82D3-0EF4357319CA}"/>
    <cellStyle name="SAPBEXHLevel3 3 5 2 5" xfId="29898" xr:uid="{00000000-0005-0000-0000-0000BD6F0000}"/>
    <cellStyle name="SAPBEXHLevel3 3 5 2 6" xfId="30471" xr:uid="{DBFB9A03-9BDF-468A-BCFD-2403DB498759}"/>
    <cellStyle name="SAPBEXHLevel3 3 5 3" xfId="25722" xr:uid="{00000000-0005-0000-0000-0000BE6F0000}"/>
    <cellStyle name="SAPBEXHLevel3 3 5 3 2" xfId="27875" xr:uid="{00000000-0005-0000-0000-0000BF6F0000}"/>
    <cellStyle name="SAPBEXHLevel3 3 5 3 2 2" xfId="32462" xr:uid="{2B821AC4-D019-4154-B121-CB4B15430B01}"/>
    <cellStyle name="SAPBEXHLevel3 3 5 3 3" xfId="28347" xr:uid="{00000000-0005-0000-0000-0000C06F0000}"/>
    <cellStyle name="SAPBEXHLevel3 3 5 3 3 2" xfId="32905" xr:uid="{0CC86C96-ECF4-4652-B072-330B8CD4A97D}"/>
    <cellStyle name="SAPBEXHLevel3 3 5 3 4" xfId="26947" xr:uid="{00000000-0005-0000-0000-0000C16F0000}"/>
    <cellStyle name="SAPBEXHLevel3 3 5 3 4 2" xfId="31708" xr:uid="{CE1F4693-F839-4099-BF08-9700AAE61C9E}"/>
    <cellStyle name="SAPBEXHLevel3 3 5 3 5" xfId="29899" xr:uid="{00000000-0005-0000-0000-0000C26F0000}"/>
    <cellStyle name="SAPBEXHLevel3 3 5 3 6" xfId="30716" xr:uid="{FEDC0ECE-9E8C-4814-A2BF-14F076955364}"/>
    <cellStyle name="SAPBEXHLevel3 3 5 4" xfId="27409" xr:uid="{00000000-0005-0000-0000-0000C36F0000}"/>
    <cellStyle name="SAPBEXHLevel3 3 5 4 2" xfId="32007" xr:uid="{39BD0938-5642-409A-84E5-4862C597B0E0}"/>
    <cellStyle name="SAPBEXHLevel3 3 5 5" xfId="28345" xr:uid="{00000000-0005-0000-0000-0000C46F0000}"/>
    <cellStyle name="SAPBEXHLevel3 3 5 5 2" xfId="32903" xr:uid="{398EB182-6084-426C-8E7B-DC153011D061}"/>
    <cellStyle name="SAPBEXHLevel3 3 5 6" xfId="26250" xr:uid="{00000000-0005-0000-0000-0000C56F0000}"/>
    <cellStyle name="SAPBEXHLevel3 3 5 6 2" xfId="31038" xr:uid="{4B98F7A7-8D59-41CB-B46C-AF3C0BD2B46B}"/>
    <cellStyle name="SAPBEXHLevel3 3 5 7" xfId="29897" xr:uid="{00000000-0005-0000-0000-0000C66F0000}"/>
    <cellStyle name="SAPBEXHLevel3 3 5 8" xfId="30424" xr:uid="{CD66E6E1-73DC-4CCA-A799-0A161640029B}"/>
    <cellStyle name="SAPBEXHLevel3 3 6" xfId="25860" xr:uid="{00000000-0005-0000-0000-0000C76F0000}"/>
    <cellStyle name="SAPBEXHLevel3 3 6 2" xfId="30779" xr:uid="{B7D70DE1-5CB6-42F4-A047-B3EFE4AB17AF}"/>
    <cellStyle name="SAPBEXHLevel3 3 7" xfId="28337" xr:uid="{00000000-0005-0000-0000-0000C86F0000}"/>
    <cellStyle name="SAPBEXHLevel3 3 7 2" xfId="32895" xr:uid="{B11384A2-482C-41A0-8123-04BFB108CE62}"/>
    <cellStyle name="SAPBEXHLevel3 3 8" xfId="26277" xr:uid="{00000000-0005-0000-0000-0000C96F0000}"/>
    <cellStyle name="SAPBEXHLevel3 3 8 2" xfId="31065" xr:uid="{E75C802E-1F11-4E60-AF63-3C04D2FC4AF9}"/>
    <cellStyle name="SAPBEXHLevel3 3 9" xfId="29889" xr:uid="{00000000-0005-0000-0000-0000CA6F0000}"/>
    <cellStyle name="SAPBEXHLevel3 4" xfId="130" xr:uid="{00000000-0005-0000-0000-0000CB6F0000}"/>
    <cellStyle name="SAPBEXHLevel3 4 2" xfId="13664" xr:uid="{00000000-0005-0000-0000-0000CC6F0000}"/>
    <cellStyle name="SAPBEXHLevel3 4 2 2" xfId="25502" xr:uid="{00000000-0005-0000-0000-0000CD6F0000}"/>
    <cellStyle name="SAPBEXHLevel3 4 2 2 2" xfId="27655" xr:uid="{00000000-0005-0000-0000-0000CE6F0000}"/>
    <cellStyle name="SAPBEXHLevel3 4 2 2 2 2" xfId="32242" xr:uid="{DCF34BC6-C1ED-4D4E-8CD2-00A315050FC3}"/>
    <cellStyle name="SAPBEXHLevel3 4 2 2 3" xfId="28350" xr:uid="{00000000-0005-0000-0000-0000CF6F0000}"/>
    <cellStyle name="SAPBEXHLevel3 4 2 2 3 2" xfId="32908" xr:uid="{D4EA904A-7EF7-487C-B227-50F81470DD38}"/>
    <cellStyle name="SAPBEXHLevel3 4 2 2 4" xfId="26709" xr:uid="{00000000-0005-0000-0000-0000D06F0000}"/>
    <cellStyle name="SAPBEXHLevel3 4 2 2 4 2" xfId="31471" xr:uid="{AA5AA700-C16F-4356-A6FC-79E66AF508EF}"/>
    <cellStyle name="SAPBEXHLevel3 4 2 2 5" xfId="29902" xr:uid="{00000000-0005-0000-0000-0000D16F0000}"/>
    <cellStyle name="SAPBEXHLevel3 4 2 3" xfId="26606" xr:uid="{00000000-0005-0000-0000-0000D26F0000}"/>
    <cellStyle name="SAPBEXHLevel3 4 2 3 2" xfId="31384" xr:uid="{31EB22C3-8594-40C4-BD48-3E1498FFDCBF}"/>
    <cellStyle name="SAPBEXHLevel3 4 2 4" xfId="28349" xr:uid="{00000000-0005-0000-0000-0000D36F0000}"/>
    <cellStyle name="SAPBEXHLevel3 4 2 4 2" xfId="32907" xr:uid="{D4D71F68-A404-42DB-A5EB-C1CF690FBD16}"/>
    <cellStyle name="SAPBEXHLevel3 4 2 5" xfId="26531" xr:uid="{00000000-0005-0000-0000-0000D46F0000}"/>
    <cellStyle name="SAPBEXHLevel3 4 2 5 2" xfId="31318" xr:uid="{4109E92F-63E2-4110-953B-D440C7DF01FA}"/>
    <cellStyle name="SAPBEXHLevel3 4 2 6" xfId="29901" xr:uid="{00000000-0005-0000-0000-0000D56F0000}"/>
    <cellStyle name="SAPBEXHLevel3 4 2 7" xfId="30204" xr:uid="{78E148D1-4B9F-4F13-8416-C8ABA4C9B8CB}"/>
    <cellStyle name="SAPBEXHLevel3 4 3" xfId="25861" xr:uid="{00000000-0005-0000-0000-0000D66F0000}"/>
    <cellStyle name="SAPBEXHLevel3 4 3 2" xfId="30780" xr:uid="{4793C011-09A9-41AE-91F7-6B1D3563F9B5}"/>
    <cellStyle name="SAPBEXHLevel3 4 4" xfId="28348" xr:uid="{00000000-0005-0000-0000-0000D76F0000}"/>
    <cellStyle name="SAPBEXHLevel3 4 4 2" xfId="32906" xr:uid="{5C370678-43BA-4143-8DC2-66461B3508E8}"/>
    <cellStyle name="SAPBEXHLevel3 4 5" xfId="26872" xr:uid="{00000000-0005-0000-0000-0000D86F0000}"/>
    <cellStyle name="SAPBEXHLevel3 4 5 2" xfId="31633" xr:uid="{9281A1B2-4AAE-4617-B8BA-ACECFF9D935F}"/>
    <cellStyle name="SAPBEXHLevel3 4 6" xfId="29900" xr:uid="{00000000-0005-0000-0000-0000D96F0000}"/>
    <cellStyle name="SAPBEXHLevel3 5" xfId="256" xr:uid="{00000000-0005-0000-0000-0000DA6F0000}"/>
    <cellStyle name="SAPBEXHLevel3 5 2" xfId="13721" xr:uid="{00000000-0005-0000-0000-0000DB6F0000}"/>
    <cellStyle name="SAPBEXHLevel3 5 2 2" xfId="25534" xr:uid="{00000000-0005-0000-0000-0000DC6F0000}"/>
    <cellStyle name="SAPBEXHLevel3 5 2 2 2" xfId="27687" xr:uid="{00000000-0005-0000-0000-0000DD6F0000}"/>
    <cellStyle name="SAPBEXHLevel3 5 2 2 2 2" xfId="32274" xr:uid="{5B25153C-21D5-4CC1-A987-84663E8FB2FF}"/>
    <cellStyle name="SAPBEXHLevel3 5 2 2 3" xfId="28353" xr:uid="{00000000-0005-0000-0000-0000DE6F0000}"/>
    <cellStyle name="SAPBEXHLevel3 5 2 2 3 2" xfId="32911" xr:uid="{08B18678-FA3B-46B9-809C-D530B3883FEB}"/>
    <cellStyle name="SAPBEXHLevel3 5 2 2 4" xfId="26367" xr:uid="{00000000-0005-0000-0000-0000DF6F0000}"/>
    <cellStyle name="SAPBEXHLevel3 5 2 2 4 2" xfId="31155" xr:uid="{C37B0BD9-8E79-469D-B398-9D802812FE38}"/>
    <cellStyle name="SAPBEXHLevel3 5 2 2 5" xfId="29905" xr:uid="{00000000-0005-0000-0000-0000E06F0000}"/>
    <cellStyle name="SAPBEXHLevel3 5 2 3" xfId="26641" xr:uid="{00000000-0005-0000-0000-0000E16F0000}"/>
    <cellStyle name="SAPBEXHLevel3 5 2 3 2" xfId="31418" xr:uid="{416B3960-B635-459F-8510-8D481B44FE18}"/>
    <cellStyle name="SAPBEXHLevel3 5 2 4" xfId="28352" xr:uid="{00000000-0005-0000-0000-0000E26F0000}"/>
    <cellStyle name="SAPBEXHLevel3 5 2 4 2" xfId="32910" xr:uid="{EA392423-7540-4DE5-9633-53EEF87AE1F0}"/>
    <cellStyle name="SAPBEXHLevel3 5 2 5" xfId="26147" xr:uid="{00000000-0005-0000-0000-0000E36F0000}"/>
    <cellStyle name="SAPBEXHLevel3 5 2 5 2" xfId="30936" xr:uid="{98E377F1-087C-48A6-93A6-32101F4D07BC}"/>
    <cellStyle name="SAPBEXHLevel3 5 2 6" xfId="29904" xr:uid="{00000000-0005-0000-0000-0000E46F0000}"/>
    <cellStyle name="SAPBEXHLevel3 5 2 7" xfId="30236" xr:uid="{2F74F913-0742-4C11-964F-17CD59297CB0}"/>
    <cellStyle name="SAPBEXHLevel3 5 3" xfId="25924" xr:uid="{00000000-0005-0000-0000-0000E56F0000}"/>
    <cellStyle name="SAPBEXHLevel3 5 3 2" xfId="30813" xr:uid="{F1C2AE9C-FD5E-45DB-ACA5-8F36E833280E}"/>
    <cellStyle name="SAPBEXHLevel3 5 4" xfId="28351" xr:uid="{00000000-0005-0000-0000-0000E66F0000}"/>
    <cellStyle name="SAPBEXHLevel3 5 4 2" xfId="32909" xr:uid="{B3DFA827-607E-4F8D-A577-BC4406EDF386}"/>
    <cellStyle name="SAPBEXHLevel3 5 5" xfId="27925" xr:uid="{00000000-0005-0000-0000-0000E76F0000}"/>
    <cellStyle name="SAPBEXHLevel3 5 5 2" xfId="32483" xr:uid="{D7F33FEC-024A-4948-A435-DEC870447515}"/>
    <cellStyle name="SAPBEXHLevel3 5 6" xfId="29903" xr:uid="{00000000-0005-0000-0000-0000E86F0000}"/>
    <cellStyle name="SAPBEXHLevel3 6" xfId="13661" xr:uid="{00000000-0005-0000-0000-0000E96F0000}"/>
    <cellStyle name="SAPBEXHLevel3 6 2" xfId="25499" xr:uid="{00000000-0005-0000-0000-0000EA6F0000}"/>
    <cellStyle name="SAPBEXHLevel3 6 2 2" xfId="27652" xr:uid="{00000000-0005-0000-0000-0000EB6F0000}"/>
    <cellStyle name="SAPBEXHLevel3 6 2 2 2" xfId="32239" xr:uid="{668D9F72-6A8C-4DE4-9C85-9EB40FC43A15}"/>
    <cellStyle name="SAPBEXHLevel3 6 2 3" xfId="28355" xr:uid="{00000000-0005-0000-0000-0000EC6F0000}"/>
    <cellStyle name="SAPBEXHLevel3 6 2 3 2" xfId="32913" xr:uid="{CB48DB85-A35F-4FEE-960E-5E7D48793C60}"/>
    <cellStyle name="SAPBEXHLevel3 6 2 4" xfId="26794" xr:uid="{00000000-0005-0000-0000-0000ED6F0000}"/>
    <cellStyle name="SAPBEXHLevel3 6 2 4 2" xfId="31555" xr:uid="{E176367F-542D-4131-8C4F-C0A0499599A7}"/>
    <cellStyle name="SAPBEXHLevel3 6 2 5" xfId="29907" xr:uid="{00000000-0005-0000-0000-0000EE6F0000}"/>
    <cellStyle name="SAPBEXHLevel3 6 3" xfId="26603" xr:uid="{00000000-0005-0000-0000-0000EF6F0000}"/>
    <cellStyle name="SAPBEXHLevel3 6 3 2" xfId="31381" xr:uid="{5F545534-DD63-4537-8E5B-E127F68486C8}"/>
    <cellStyle name="SAPBEXHLevel3 6 4" xfId="28354" xr:uid="{00000000-0005-0000-0000-0000F06F0000}"/>
    <cellStyle name="SAPBEXHLevel3 6 4 2" xfId="32912" xr:uid="{EB195557-1EBF-44AB-9361-F9DF343FF301}"/>
    <cellStyle name="SAPBEXHLevel3 6 5" xfId="26393" xr:uid="{00000000-0005-0000-0000-0000F16F0000}"/>
    <cellStyle name="SAPBEXHLevel3 6 5 2" xfId="31181" xr:uid="{4C4ED018-D722-4C94-9A2F-04D92C87ED0D}"/>
    <cellStyle name="SAPBEXHLevel3 6 6" xfId="29906" xr:uid="{00000000-0005-0000-0000-0000F26F0000}"/>
    <cellStyle name="SAPBEXHLevel3 6 7" xfId="30201" xr:uid="{9F4B375B-9C1F-4E71-ABB8-95C9CC45826E}"/>
    <cellStyle name="SAPBEXHLevel3 7" xfId="24651" xr:uid="{00000000-0005-0000-0000-0000F36F0000}"/>
    <cellStyle name="SAPBEXHLevel3 7 2" xfId="25418" xr:uid="{00000000-0005-0000-0000-0000F46F0000}"/>
    <cellStyle name="SAPBEXHLevel3 7 2 2" xfId="27572" xr:uid="{00000000-0005-0000-0000-0000F56F0000}"/>
    <cellStyle name="SAPBEXHLevel3 7 2 2 2" xfId="32163" xr:uid="{A04F3B43-2F39-4407-9E2C-77353E529F96}"/>
    <cellStyle name="SAPBEXHLevel3 7 2 3" xfId="28357" xr:uid="{00000000-0005-0000-0000-0000F66F0000}"/>
    <cellStyle name="SAPBEXHLevel3 7 2 3 2" xfId="32915" xr:uid="{805D60E6-F214-410B-8ED9-33B0B7A90C1D}"/>
    <cellStyle name="SAPBEXHLevel3 7 2 4" xfId="26385" xr:uid="{00000000-0005-0000-0000-0000F76F0000}"/>
    <cellStyle name="SAPBEXHLevel3 7 2 4 2" xfId="31173" xr:uid="{474F3DD6-0578-4BE0-920F-723127349A54}"/>
    <cellStyle name="SAPBEXHLevel3 7 2 5" xfId="29909" xr:uid="{00000000-0005-0000-0000-0000F86F0000}"/>
    <cellStyle name="SAPBEXHLevel3 7 2 6" xfId="30576" xr:uid="{8F984D2E-47FB-439E-9F86-48863A21BC1C}"/>
    <cellStyle name="SAPBEXHLevel3 7 3" xfId="25617" xr:uid="{00000000-0005-0000-0000-0000F96F0000}"/>
    <cellStyle name="SAPBEXHLevel3 7 3 2" xfId="27770" xr:uid="{00000000-0005-0000-0000-0000FA6F0000}"/>
    <cellStyle name="SAPBEXHLevel3 7 3 2 2" xfId="32357" xr:uid="{A61A6933-F8BB-4307-87FC-C237DF279BE1}"/>
    <cellStyle name="SAPBEXHLevel3 7 3 3" xfId="28358" xr:uid="{00000000-0005-0000-0000-0000FB6F0000}"/>
    <cellStyle name="SAPBEXHLevel3 7 3 3 2" xfId="32916" xr:uid="{E44D309F-6BA7-49EC-8C89-1451E2A6AD81}"/>
    <cellStyle name="SAPBEXHLevel3 7 3 4" xfId="27042" xr:uid="{00000000-0005-0000-0000-0000FC6F0000}"/>
    <cellStyle name="SAPBEXHLevel3 7 3 4 2" xfId="31790" xr:uid="{BE553B79-05D6-4193-9234-800F319C7455}"/>
    <cellStyle name="SAPBEXHLevel3 7 3 5" xfId="29910" xr:uid="{00000000-0005-0000-0000-0000FD6F0000}"/>
    <cellStyle name="SAPBEXHLevel3 7 4" xfId="27244" xr:uid="{00000000-0005-0000-0000-0000FE6F0000}"/>
    <cellStyle name="SAPBEXHLevel3 7 4 2" xfId="31879" xr:uid="{7B68BD0B-CF30-4926-9AE9-636DD273FD3A}"/>
    <cellStyle name="SAPBEXHLevel3 7 5" xfId="28356" xr:uid="{00000000-0005-0000-0000-0000FF6F0000}"/>
    <cellStyle name="SAPBEXHLevel3 7 5 2" xfId="32914" xr:uid="{A4201494-3AED-4732-854F-36AC61FC814B}"/>
    <cellStyle name="SAPBEXHLevel3 7 6" xfId="26436" xr:uid="{00000000-0005-0000-0000-000000700000}"/>
    <cellStyle name="SAPBEXHLevel3 7 6 2" xfId="31224" xr:uid="{A13C6F1F-C9B2-4637-BBF5-34473A453CF2}"/>
    <cellStyle name="SAPBEXHLevel3 7 7" xfId="29908" xr:uid="{00000000-0005-0000-0000-000001700000}"/>
    <cellStyle name="SAPBEXHLevel3 7 8" xfId="30319" xr:uid="{B11FE871-B35C-4986-9DF7-5A2060F8D49E}"/>
    <cellStyle name="SAPBEXHLevel3 8" xfId="25122" xr:uid="{00000000-0005-0000-0000-000002700000}"/>
    <cellStyle name="SAPBEXHLevel3 8 2" xfId="25388" xr:uid="{00000000-0005-0000-0000-000003700000}"/>
    <cellStyle name="SAPBEXHLevel3 8 2 2" xfId="27542" xr:uid="{00000000-0005-0000-0000-000004700000}"/>
    <cellStyle name="SAPBEXHLevel3 8 2 2 2" xfId="32133" xr:uid="{1BE6C9C2-FF59-4CD3-9BFC-2F1A68A02B35}"/>
    <cellStyle name="SAPBEXHLevel3 8 2 3" xfId="28360" xr:uid="{00000000-0005-0000-0000-000005700000}"/>
    <cellStyle name="SAPBEXHLevel3 8 2 3 2" xfId="32918" xr:uid="{A9A4C4EA-B837-47FB-968D-7AEB77BA049E}"/>
    <cellStyle name="SAPBEXHLevel3 8 2 4" xfId="26167" xr:uid="{00000000-0005-0000-0000-000006700000}"/>
    <cellStyle name="SAPBEXHLevel3 8 2 4 2" xfId="30956" xr:uid="{DA2571E1-2719-4E78-9545-47DA2E951D59}"/>
    <cellStyle name="SAPBEXHLevel3 8 2 5" xfId="29912" xr:uid="{00000000-0005-0000-0000-000007700000}"/>
    <cellStyle name="SAPBEXHLevel3 8 2 6" xfId="30546" xr:uid="{7DC491B1-983E-4C2B-BF6F-C9B3873ABC14}"/>
    <cellStyle name="SAPBEXHLevel3 8 3" xfId="25720" xr:uid="{00000000-0005-0000-0000-000008700000}"/>
    <cellStyle name="SAPBEXHLevel3 8 3 2" xfId="27873" xr:uid="{00000000-0005-0000-0000-000009700000}"/>
    <cellStyle name="SAPBEXHLevel3 8 3 2 2" xfId="32460" xr:uid="{A821DC7E-DAC6-4D4F-AAE2-24FF2B8A8FAE}"/>
    <cellStyle name="SAPBEXHLevel3 8 3 3" xfId="28361" xr:uid="{00000000-0005-0000-0000-00000A700000}"/>
    <cellStyle name="SAPBEXHLevel3 8 3 3 2" xfId="32919" xr:uid="{D1977913-2B64-468C-9881-AC5C3D7DF6AF}"/>
    <cellStyle name="SAPBEXHLevel3 8 3 4" xfId="27007" xr:uid="{00000000-0005-0000-0000-00000B700000}"/>
    <cellStyle name="SAPBEXHLevel3 8 3 4 2" xfId="31767" xr:uid="{C51FB8F3-9580-43FD-93AA-B0DFAC0F43B0}"/>
    <cellStyle name="SAPBEXHLevel3 8 3 5" xfId="29913" xr:uid="{00000000-0005-0000-0000-00000C700000}"/>
    <cellStyle name="SAPBEXHLevel3 8 3 6" xfId="30714" xr:uid="{F9848995-1295-42F8-95CC-5CA13C5980FE}"/>
    <cellStyle name="SAPBEXHLevel3 8 4" xfId="27407" xr:uid="{00000000-0005-0000-0000-00000D700000}"/>
    <cellStyle name="SAPBEXHLevel3 8 4 2" xfId="32005" xr:uid="{2F1555A1-B554-49EC-9141-30EF248D14EE}"/>
    <cellStyle name="SAPBEXHLevel3 8 5" xfId="28359" xr:uid="{00000000-0005-0000-0000-00000E700000}"/>
    <cellStyle name="SAPBEXHLevel3 8 5 2" xfId="32917" xr:uid="{610FB90E-49C4-4B0F-AD15-5023090204D0}"/>
    <cellStyle name="SAPBEXHLevel3 8 6" xfId="27011" xr:uid="{00000000-0005-0000-0000-00000F700000}"/>
    <cellStyle name="SAPBEXHLevel3 8 6 2" xfId="31771" xr:uid="{C762534F-965B-4BE1-8104-19AF190FDA03}"/>
    <cellStyle name="SAPBEXHLevel3 8 7" xfId="29911" xr:uid="{00000000-0005-0000-0000-000010700000}"/>
    <cellStyle name="SAPBEXHLevel3 8 8" xfId="30422" xr:uid="{F6BE29FF-10AE-4C07-8CB3-6CE8CEF910D2}"/>
    <cellStyle name="SAPBEXHLevel3 9" xfId="25858" xr:uid="{00000000-0005-0000-0000-000011700000}"/>
    <cellStyle name="SAPBEXHLevel3 9 2" xfId="30777" xr:uid="{268C28AB-60F0-499B-8CE2-918873F2311A}"/>
    <cellStyle name="SAPBEXHLevel3X" xfId="131" xr:uid="{00000000-0005-0000-0000-000012700000}"/>
    <cellStyle name="SAPBEXHLevel3X 10" xfId="28362" xr:uid="{00000000-0005-0000-0000-000013700000}"/>
    <cellStyle name="SAPBEXHLevel3X 10 2" xfId="32920" xr:uid="{11621F44-FDEB-4865-8F9A-08A93EE8731D}"/>
    <cellStyle name="SAPBEXHLevel3X 11" xfId="26346" xr:uid="{00000000-0005-0000-0000-000014700000}"/>
    <cellStyle name="SAPBEXHLevel3X 11 2" xfId="31134" xr:uid="{FA68AC57-2062-46B1-A5DF-F5927AE8776B}"/>
    <cellStyle name="SAPBEXHLevel3X 12" xfId="29914" xr:uid="{00000000-0005-0000-0000-000015700000}"/>
    <cellStyle name="SAPBEXHLevel3X 2" xfId="132" xr:uid="{00000000-0005-0000-0000-000016700000}"/>
    <cellStyle name="SAPBEXHLevel3X 2 2" xfId="13666" xr:uid="{00000000-0005-0000-0000-000017700000}"/>
    <cellStyle name="SAPBEXHLevel3X 2 2 2" xfId="25504" xr:uid="{00000000-0005-0000-0000-000018700000}"/>
    <cellStyle name="SAPBEXHLevel3X 2 2 2 2" xfId="27657" xr:uid="{00000000-0005-0000-0000-000019700000}"/>
    <cellStyle name="SAPBEXHLevel3X 2 2 2 2 2" xfId="32244" xr:uid="{A94E29C9-0001-4209-A89C-49E31D0A7749}"/>
    <cellStyle name="SAPBEXHLevel3X 2 2 2 3" xfId="28365" xr:uid="{00000000-0005-0000-0000-00001A700000}"/>
    <cellStyle name="SAPBEXHLevel3X 2 2 2 3 2" xfId="32923" xr:uid="{2E97E469-414C-4FD2-B278-36779B074FA2}"/>
    <cellStyle name="SAPBEXHLevel3X 2 2 2 4" xfId="26988" xr:uid="{00000000-0005-0000-0000-00001B700000}"/>
    <cellStyle name="SAPBEXHLevel3X 2 2 2 4 2" xfId="31749" xr:uid="{D0ED1A95-A758-4BD1-B905-CA6F27234B6E}"/>
    <cellStyle name="SAPBEXHLevel3X 2 2 2 5" xfId="29917" xr:uid="{00000000-0005-0000-0000-00001C700000}"/>
    <cellStyle name="SAPBEXHLevel3X 2 2 3" xfId="26608" xr:uid="{00000000-0005-0000-0000-00001D700000}"/>
    <cellStyle name="SAPBEXHLevel3X 2 2 3 2" xfId="31386" xr:uid="{C40AF5BB-0917-4918-9CF5-71FF6F2AF2C5}"/>
    <cellStyle name="SAPBEXHLevel3X 2 2 4" xfId="28364" xr:uid="{00000000-0005-0000-0000-00001E700000}"/>
    <cellStyle name="SAPBEXHLevel3X 2 2 4 2" xfId="32922" xr:uid="{A45550F3-51A4-4793-8FD2-DE19B259EDB3}"/>
    <cellStyle name="SAPBEXHLevel3X 2 2 5" xfId="26389" xr:uid="{00000000-0005-0000-0000-00001F700000}"/>
    <cellStyle name="SAPBEXHLevel3X 2 2 5 2" xfId="31177" xr:uid="{AB680CDE-526D-49FC-8FBC-4051E2F047FA}"/>
    <cellStyle name="SAPBEXHLevel3X 2 2 6" xfId="29916" xr:uid="{00000000-0005-0000-0000-000020700000}"/>
    <cellStyle name="SAPBEXHLevel3X 2 2 7" xfId="30206" xr:uid="{40CB4C43-24BF-4F00-ADEF-639D5F2188AB}"/>
    <cellStyle name="SAPBEXHLevel3X 2 3" xfId="24268" xr:uid="{00000000-0005-0000-0000-000021700000}"/>
    <cellStyle name="SAPBEXHLevel3X 2 3 2" xfId="25589" xr:uid="{00000000-0005-0000-0000-000022700000}"/>
    <cellStyle name="SAPBEXHLevel3X 2 3 2 2" xfId="27742" xr:uid="{00000000-0005-0000-0000-000023700000}"/>
    <cellStyle name="SAPBEXHLevel3X 2 3 2 2 2" xfId="32329" xr:uid="{DB735D1E-414A-464B-9CF6-43F01866573D}"/>
    <cellStyle name="SAPBEXHLevel3X 2 3 2 3" xfId="28367" xr:uid="{00000000-0005-0000-0000-000024700000}"/>
    <cellStyle name="SAPBEXHLevel3X 2 3 2 3 2" xfId="32925" xr:uid="{92FFC510-0780-4E32-8FC0-4866BC9D9F49}"/>
    <cellStyle name="SAPBEXHLevel3X 2 3 2 4" xfId="26922" xr:uid="{00000000-0005-0000-0000-000025700000}"/>
    <cellStyle name="SAPBEXHLevel3X 2 3 2 4 2" xfId="31683" xr:uid="{04C871BF-A386-41FE-840B-26A3E0419F42}"/>
    <cellStyle name="SAPBEXHLevel3X 2 3 2 5" xfId="29919" xr:uid="{00000000-0005-0000-0000-000026700000}"/>
    <cellStyle name="SAPBEXHLevel3X 2 3 3" xfId="27122" xr:uid="{00000000-0005-0000-0000-000027700000}"/>
    <cellStyle name="SAPBEXHLevel3X 2 3 3 2" xfId="31840" xr:uid="{9DAFE868-A6DA-41A0-851F-28068239C1C6}"/>
    <cellStyle name="SAPBEXHLevel3X 2 3 4" xfId="28366" xr:uid="{00000000-0005-0000-0000-000028700000}"/>
    <cellStyle name="SAPBEXHLevel3X 2 3 4 2" xfId="32924" xr:uid="{43C271B0-82E4-4B15-9AD0-81870F98FE3F}"/>
    <cellStyle name="SAPBEXHLevel3X 2 3 5" xfId="27164" xr:uid="{00000000-0005-0000-0000-000029700000}"/>
    <cellStyle name="SAPBEXHLevel3X 2 3 5 2" xfId="31855" xr:uid="{8663B18A-E581-4164-8027-AED7E7E69FD0}"/>
    <cellStyle name="SAPBEXHLevel3X 2 3 6" xfId="29918" xr:uid="{00000000-0005-0000-0000-00002A700000}"/>
    <cellStyle name="SAPBEXHLevel3X 2 3 7" xfId="30291" xr:uid="{C63E0506-4261-4F0D-BA32-E6D4B9B3F60D}"/>
    <cellStyle name="SAPBEXHLevel3X 2 4" xfId="24647" xr:uid="{00000000-0005-0000-0000-00002B700000}"/>
    <cellStyle name="SAPBEXHLevel3X 2 4 2" xfId="25358" xr:uid="{00000000-0005-0000-0000-00002C700000}"/>
    <cellStyle name="SAPBEXHLevel3X 2 4 2 2" xfId="27512" xr:uid="{00000000-0005-0000-0000-00002D700000}"/>
    <cellStyle name="SAPBEXHLevel3X 2 4 2 2 2" xfId="32103" xr:uid="{D7C9F1CC-12C8-41F1-B606-60011B4D22AE}"/>
    <cellStyle name="SAPBEXHLevel3X 2 4 2 3" xfId="28369" xr:uid="{00000000-0005-0000-0000-00002E700000}"/>
    <cellStyle name="SAPBEXHLevel3X 2 4 2 3 2" xfId="32927" xr:uid="{C2C4B16F-011E-485D-A304-6B8FAFEBE8A7}"/>
    <cellStyle name="SAPBEXHLevel3X 2 4 2 4" xfId="26137" xr:uid="{00000000-0005-0000-0000-00002F700000}"/>
    <cellStyle name="SAPBEXHLevel3X 2 4 2 4 2" xfId="30927" xr:uid="{2A25FF93-81DC-4245-85F2-7CBE6C48EE92}"/>
    <cellStyle name="SAPBEXHLevel3X 2 4 2 5" xfId="29921" xr:uid="{00000000-0005-0000-0000-000030700000}"/>
    <cellStyle name="SAPBEXHLevel3X 2 4 2 6" xfId="30516" xr:uid="{B4DCA501-5C1A-4F2A-A8A3-1517461D3419}"/>
    <cellStyle name="SAPBEXHLevel3X 2 4 3" xfId="25613" xr:uid="{00000000-0005-0000-0000-000031700000}"/>
    <cellStyle name="SAPBEXHLevel3X 2 4 3 2" xfId="27766" xr:uid="{00000000-0005-0000-0000-000032700000}"/>
    <cellStyle name="SAPBEXHLevel3X 2 4 3 2 2" xfId="32353" xr:uid="{43BB4D17-1E35-4B40-817B-4827DAAB81DD}"/>
    <cellStyle name="SAPBEXHLevel3X 2 4 3 3" xfId="28370" xr:uid="{00000000-0005-0000-0000-000033700000}"/>
    <cellStyle name="SAPBEXHLevel3X 2 4 3 3 2" xfId="32928" xr:uid="{016662A2-605E-48D3-AD0C-4689DC12773B}"/>
    <cellStyle name="SAPBEXHLevel3X 2 4 3 4" xfId="26416" xr:uid="{00000000-0005-0000-0000-000034700000}"/>
    <cellStyle name="SAPBEXHLevel3X 2 4 3 4 2" xfId="31204" xr:uid="{27C49BFC-72BA-4824-BA3D-F153A3E89D3F}"/>
    <cellStyle name="SAPBEXHLevel3X 2 4 3 5" xfId="29922" xr:uid="{00000000-0005-0000-0000-000035700000}"/>
    <cellStyle name="SAPBEXHLevel3X 2 4 4" xfId="27240" xr:uid="{00000000-0005-0000-0000-000036700000}"/>
    <cellStyle name="SAPBEXHLevel3X 2 4 4 2" xfId="31875" xr:uid="{ED0BC1E4-4364-4F95-B507-334C449D03D8}"/>
    <cellStyle name="SAPBEXHLevel3X 2 4 5" xfId="28368" xr:uid="{00000000-0005-0000-0000-000037700000}"/>
    <cellStyle name="SAPBEXHLevel3X 2 4 5 2" xfId="32926" xr:uid="{1174CCE6-2E97-42C9-B9FC-433ED4CF3D6D}"/>
    <cellStyle name="SAPBEXHLevel3X 2 4 6" xfId="26145" xr:uid="{00000000-0005-0000-0000-000038700000}"/>
    <cellStyle name="SAPBEXHLevel3X 2 4 6 2" xfId="30935" xr:uid="{FEEAC14C-EEEB-45D6-A5EA-973896FDA51F}"/>
    <cellStyle name="SAPBEXHLevel3X 2 4 7" xfId="29920" xr:uid="{00000000-0005-0000-0000-000039700000}"/>
    <cellStyle name="SAPBEXHLevel3X 2 4 8" xfId="30315" xr:uid="{77FC5731-9C3C-4578-9FA9-DA2BF5988AAE}"/>
    <cellStyle name="SAPBEXHLevel3X 2 5" xfId="25126" xr:uid="{00000000-0005-0000-0000-00003A700000}"/>
    <cellStyle name="SAPBEXHLevel3X 2 5 2" xfId="25327" xr:uid="{00000000-0005-0000-0000-00003B700000}"/>
    <cellStyle name="SAPBEXHLevel3X 2 5 2 2" xfId="27481" xr:uid="{00000000-0005-0000-0000-00003C700000}"/>
    <cellStyle name="SAPBEXHLevel3X 2 5 2 2 2" xfId="32072" xr:uid="{74D14D4D-B4BA-4416-8881-AF21335FAADA}"/>
    <cellStyle name="SAPBEXHLevel3X 2 5 2 3" xfId="28372" xr:uid="{00000000-0005-0000-0000-00003D700000}"/>
    <cellStyle name="SAPBEXHLevel3X 2 5 2 3 2" xfId="32930" xr:uid="{5910C690-B46C-4CB4-9A01-EAEDB0F63403}"/>
    <cellStyle name="SAPBEXHLevel3X 2 5 2 4" xfId="27084" xr:uid="{00000000-0005-0000-0000-00003E700000}"/>
    <cellStyle name="SAPBEXHLevel3X 2 5 2 4 2" xfId="31808" xr:uid="{598B73BA-12A2-4ED9-ACA8-D34CB7704AE5}"/>
    <cellStyle name="SAPBEXHLevel3X 2 5 2 5" xfId="29924" xr:uid="{00000000-0005-0000-0000-00003F700000}"/>
    <cellStyle name="SAPBEXHLevel3X 2 5 2 6" xfId="30485" xr:uid="{5F4BB849-C8DB-4B40-A74A-D0DC5A1488CE}"/>
    <cellStyle name="SAPBEXHLevel3X 2 5 3" xfId="25724" xr:uid="{00000000-0005-0000-0000-000040700000}"/>
    <cellStyle name="SAPBEXHLevel3X 2 5 3 2" xfId="27877" xr:uid="{00000000-0005-0000-0000-000041700000}"/>
    <cellStyle name="SAPBEXHLevel3X 2 5 3 2 2" xfId="32464" xr:uid="{089F2F43-5561-43EF-8547-5B9BB64E6E6E}"/>
    <cellStyle name="SAPBEXHLevel3X 2 5 3 3" xfId="28373" xr:uid="{00000000-0005-0000-0000-000042700000}"/>
    <cellStyle name="SAPBEXHLevel3X 2 5 3 3 2" xfId="32931" xr:uid="{1D7FD07F-E432-43A4-933D-F681EA8460FC}"/>
    <cellStyle name="SAPBEXHLevel3X 2 5 3 4" xfId="26467" xr:uid="{00000000-0005-0000-0000-000043700000}"/>
    <cellStyle name="SAPBEXHLevel3X 2 5 3 4 2" xfId="31255" xr:uid="{BB46B35F-4917-4B6E-A76B-D6E27C399AB4}"/>
    <cellStyle name="SAPBEXHLevel3X 2 5 3 5" xfId="29925" xr:uid="{00000000-0005-0000-0000-000044700000}"/>
    <cellStyle name="SAPBEXHLevel3X 2 5 3 6" xfId="30718" xr:uid="{9501C45C-F55E-408F-BBD8-46EF45884285}"/>
    <cellStyle name="SAPBEXHLevel3X 2 5 4" xfId="27411" xr:uid="{00000000-0005-0000-0000-000045700000}"/>
    <cellStyle name="SAPBEXHLevel3X 2 5 4 2" xfId="32009" xr:uid="{B963967A-B5BD-46DE-9661-6C3D661A43BA}"/>
    <cellStyle name="SAPBEXHLevel3X 2 5 5" xfId="28371" xr:uid="{00000000-0005-0000-0000-000046700000}"/>
    <cellStyle name="SAPBEXHLevel3X 2 5 5 2" xfId="32929" xr:uid="{FF6AD0FD-4A12-49B9-8E50-EC5BE2E61FE4}"/>
    <cellStyle name="SAPBEXHLevel3X 2 5 6" xfId="27349" xr:uid="{00000000-0005-0000-0000-000047700000}"/>
    <cellStyle name="SAPBEXHLevel3X 2 5 6 2" xfId="31947" xr:uid="{3A0F00AB-61D7-46EF-8DD5-44D14E4471EE}"/>
    <cellStyle name="SAPBEXHLevel3X 2 5 7" xfId="29923" xr:uid="{00000000-0005-0000-0000-000048700000}"/>
    <cellStyle name="SAPBEXHLevel3X 2 5 8" xfId="30426" xr:uid="{0D99F112-65FD-4913-808C-EC234BA6F5B8}"/>
    <cellStyle name="SAPBEXHLevel3X 2 6" xfId="25863" xr:uid="{00000000-0005-0000-0000-000049700000}"/>
    <cellStyle name="SAPBEXHLevel3X 2 6 2" xfId="30782" xr:uid="{5D7C521D-7709-4E30-A4A3-AEB4B661BCE7}"/>
    <cellStyle name="SAPBEXHLevel3X 2 7" xfId="28363" xr:uid="{00000000-0005-0000-0000-00004A700000}"/>
    <cellStyle name="SAPBEXHLevel3X 2 7 2" xfId="32921" xr:uid="{B8DCD961-5FED-4850-97AF-0E2F1363450C}"/>
    <cellStyle name="SAPBEXHLevel3X 2 8" xfId="26938" xr:uid="{00000000-0005-0000-0000-00004B700000}"/>
    <cellStyle name="SAPBEXHLevel3X 2 8 2" xfId="31699" xr:uid="{3533D43B-EEA1-49FB-B113-B4881C9CA127}"/>
    <cellStyle name="SAPBEXHLevel3X 2 9" xfId="29915" xr:uid="{00000000-0005-0000-0000-00004C700000}"/>
    <cellStyle name="SAPBEXHLevel3X 3" xfId="133" xr:uid="{00000000-0005-0000-0000-00004D700000}"/>
    <cellStyle name="SAPBEXHLevel3X 3 2" xfId="13667" xr:uid="{00000000-0005-0000-0000-00004E700000}"/>
    <cellStyle name="SAPBEXHLevel3X 3 2 2" xfId="25505" xr:uid="{00000000-0005-0000-0000-00004F700000}"/>
    <cellStyle name="SAPBEXHLevel3X 3 2 2 2" xfId="27658" xr:uid="{00000000-0005-0000-0000-000050700000}"/>
    <cellStyle name="SAPBEXHLevel3X 3 2 2 2 2" xfId="32245" xr:uid="{45C9EA8A-E4FD-4269-B7CB-01F2CE9D712D}"/>
    <cellStyle name="SAPBEXHLevel3X 3 2 2 3" xfId="28376" xr:uid="{00000000-0005-0000-0000-000051700000}"/>
    <cellStyle name="SAPBEXHLevel3X 3 2 2 3 2" xfId="32934" xr:uid="{7531EA30-1CF2-4937-8C60-A9F9B2B05CD3}"/>
    <cellStyle name="SAPBEXHLevel3X 3 2 2 4" xfId="26387" xr:uid="{00000000-0005-0000-0000-000052700000}"/>
    <cellStyle name="SAPBEXHLevel3X 3 2 2 4 2" xfId="31175" xr:uid="{3E890B52-0C3C-46A5-88C2-5148C2E18100}"/>
    <cellStyle name="SAPBEXHLevel3X 3 2 2 5" xfId="29928" xr:uid="{00000000-0005-0000-0000-000053700000}"/>
    <cellStyle name="SAPBEXHLevel3X 3 2 3" xfId="26609" xr:uid="{00000000-0005-0000-0000-000054700000}"/>
    <cellStyle name="SAPBEXHLevel3X 3 2 3 2" xfId="31387" xr:uid="{33F8AD2E-82C9-40DD-9503-73B4F74EB8D6}"/>
    <cellStyle name="SAPBEXHLevel3X 3 2 4" xfId="28375" xr:uid="{00000000-0005-0000-0000-000055700000}"/>
    <cellStyle name="SAPBEXHLevel3X 3 2 4 2" xfId="32933" xr:uid="{A6DB452C-6770-4CA2-8524-F3CB5F8D8EFE}"/>
    <cellStyle name="SAPBEXHLevel3X 3 2 5" xfId="26227" xr:uid="{00000000-0005-0000-0000-000056700000}"/>
    <cellStyle name="SAPBEXHLevel3X 3 2 5 2" xfId="31015" xr:uid="{0FE2B551-C769-455F-A119-03249EA0373E}"/>
    <cellStyle name="SAPBEXHLevel3X 3 2 6" xfId="29927" xr:uid="{00000000-0005-0000-0000-000057700000}"/>
    <cellStyle name="SAPBEXHLevel3X 3 2 7" xfId="30207" xr:uid="{53B2C8A4-0890-4B77-82CB-55055705A567}"/>
    <cellStyle name="SAPBEXHLevel3X 3 3" xfId="24269" xr:uid="{00000000-0005-0000-0000-000058700000}"/>
    <cellStyle name="SAPBEXHLevel3X 3 3 2" xfId="25590" xr:uid="{00000000-0005-0000-0000-000059700000}"/>
    <cellStyle name="SAPBEXHLevel3X 3 3 2 2" xfId="27743" xr:uid="{00000000-0005-0000-0000-00005A700000}"/>
    <cellStyle name="SAPBEXHLevel3X 3 3 2 2 2" xfId="32330" xr:uid="{D4735676-1E70-4426-96C1-8E973CE83299}"/>
    <cellStyle name="SAPBEXHLevel3X 3 3 2 3" xfId="28378" xr:uid="{00000000-0005-0000-0000-00005B700000}"/>
    <cellStyle name="SAPBEXHLevel3X 3 3 2 3 2" xfId="32936" xr:uid="{47CD5417-91F0-4586-8778-F4ADA13B265F}"/>
    <cellStyle name="SAPBEXHLevel3X 3 3 2 4" xfId="26856" xr:uid="{00000000-0005-0000-0000-00005C700000}"/>
    <cellStyle name="SAPBEXHLevel3X 3 3 2 4 2" xfId="31617" xr:uid="{F35650B9-1998-46A9-80CB-CC926C4B1C75}"/>
    <cellStyle name="SAPBEXHLevel3X 3 3 2 5" xfId="29930" xr:uid="{00000000-0005-0000-0000-00005D700000}"/>
    <cellStyle name="SAPBEXHLevel3X 3 3 3" xfId="27123" xr:uid="{00000000-0005-0000-0000-00005E700000}"/>
    <cellStyle name="SAPBEXHLevel3X 3 3 3 2" xfId="31841" xr:uid="{A2A3250A-9173-4538-AD50-1DF232369A34}"/>
    <cellStyle name="SAPBEXHLevel3X 3 3 4" xfId="28377" xr:uid="{00000000-0005-0000-0000-00005F700000}"/>
    <cellStyle name="SAPBEXHLevel3X 3 3 4 2" xfId="32935" xr:uid="{A92B8164-03E0-4534-90D0-9469A4607D93}"/>
    <cellStyle name="SAPBEXHLevel3X 3 3 5" xfId="26220" xr:uid="{00000000-0005-0000-0000-000060700000}"/>
    <cellStyle name="SAPBEXHLevel3X 3 3 5 2" xfId="31008" xr:uid="{52AD1348-1EEB-48E8-93DF-37DACCD3D1B6}"/>
    <cellStyle name="SAPBEXHLevel3X 3 3 6" xfId="29929" xr:uid="{00000000-0005-0000-0000-000061700000}"/>
    <cellStyle name="SAPBEXHLevel3X 3 3 7" xfId="30292" xr:uid="{02150287-7FDA-4614-85C9-ECDA83D69B0E}"/>
    <cellStyle name="SAPBEXHLevel3X 3 4" xfId="24646" xr:uid="{00000000-0005-0000-0000-000062700000}"/>
    <cellStyle name="SAPBEXHLevel3X 3 4 2" xfId="25442" xr:uid="{00000000-0005-0000-0000-000063700000}"/>
    <cellStyle name="SAPBEXHLevel3X 3 4 2 2" xfId="27596" xr:uid="{00000000-0005-0000-0000-000064700000}"/>
    <cellStyle name="SAPBEXHLevel3X 3 4 2 2 2" xfId="32187" xr:uid="{8E529128-2E78-4424-9B25-6A7FD379159C}"/>
    <cellStyle name="SAPBEXHLevel3X 3 4 2 3" xfId="28380" xr:uid="{00000000-0005-0000-0000-000065700000}"/>
    <cellStyle name="SAPBEXHLevel3X 3 4 2 3 2" xfId="32938" xr:uid="{98A0BD92-CFDA-4B56-A258-C04AE6CCBED3}"/>
    <cellStyle name="SAPBEXHLevel3X 3 4 2 4" xfId="27054" xr:uid="{00000000-0005-0000-0000-000066700000}"/>
    <cellStyle name="SAPBEXHLevel3X 3 4 2 4 2" xfId="31799" xr:uid="{874CF853-9C2A-4BBC-AF32-C7B644EA822F}"/>
    <cellStyle name="SAPBEXHLevel3X 3 4 2 5" xfId="29932" xr:uid="{00000000-0005-0000-0000-000067700000}"/>
    <cellStyle name="SAPBEXHLevel3X 3 4 2 6" xfId="30600" xr:uid="{15179D37-B044-4166-BC6D-052A57DCF611}"/>
    <cellStyle name="SAPBEXHLevel3X 3 4 3" xfId="25612" xr:uid="{00000000-0005-0000-0000-000068700000}"/>
    <cellStyle name="SAPBEXHLevel3X 3 4 3 2" xfId="27765" xr:uid="{00000000-0005-0000-0000-000069700000}"/>
    <cellStyle name="SAPBEXHLevel3X 3 4 3 2 2" xfId="32352" xr:uid="{172DD6D6-87DB-4594-98BE-0BD1541FA2C3}"/>
    <cellStyle name="SAPBEXHLevel3X 3 4 3 3" xfId="28381" xr:uid="{00000000-0005-0000-0000-00006A700000}"/>
    <cellStyle name="SAPBEXHLevel3X 3 4 3 3 2" xfId="32939" xr:uid="{25D86A90-082E-4162-8F5F-5A2C66EEC653}"/>
    <cellStyle name="SAPBEXHLevel3X 3 4 3 4" xfId="26928" xr:uid="{00000000-0005-0000-0000-00006B700000}"/>
    <cellStyle name="SAPBEXHLevel3X 3 4 3 4 2" xfId="31689" xr:uid="{C0357729-241F-4D8A-AE11-CC2D1DB45871}"/>
    <cellStyle name="SAPBEXHLevel3X 3 4 3 5" xfId="29933" xr:uid="{00000000-0005-0000-0000-00006C700000}"/>
    <cellStyle name="SAPBEXHLevel3X 3 4 4" xfId="27239" xr:uid="{00000000-0005-0000-0000-00006D700000}"/>
    <cellStyle name="SAPBEXHLevel3X 3 4 4 2" xfId="31874" xr:uid="{7C478664-1320-406F-9D50-BDA5498B65D0}"/>
    <cellStyle name="SAPBEXHLevel3X 3 4 5" xfId="28379" xr:uid="{00000000-0005-0000-0000-00006E700000}"/>
    <cellStyle name="SAPBEXHLevel3X 3 4 5 2" xfId="32937" xr:uid="{C404FCF7-6D4A-4604-B569-5C109511B721}"/>
    <cellStyle name="SAPBEXHLevel3X 3 4 6" xfId="26458" xr:uid="{00000000-0005-0000-0000-00006F700000}"/>
    <cellStyle name="SAPBEXHLevel3X 3 4 6 2" xfId="31246" xr:uid="{F376D0A3-6563-4E6B-B0FA-C719D730CADD}"/>
    <cellStyle name="SAPBEXHLevel3X 3 4 7" xfId="29931" xr:uid="{00000000-0005-0000-0000-000070700000}"/>
    <cellStyle name="SAPBEXHLevel3X 3 4 8" xfId="30314" xr:uid="{9C7F96D7-C898-45CD-AD25-FDA8A5006533}"/>
    <cellStyle name="SAPBEXHLevel3X 3 5" xfId="25127" xr:uid="{00000000-0005-0000-0000-000071700000}"/>
    <cellStyle name="SAPBEXHLevel3X 3 5 2" xfId="25428" xr:uid="{00000000-0005-0000-0000-000072700000}"/>
    <cellStyle name="SAPBEXHLevel3X 3 5 2 2" xfId="27582" xr:uid="{00000000-0005-0000-0000-000073700000}"/>
    <cellStyle name="SAPBEXHLevel3X 3 5 2 2 2" xfId="32173" xr:uid="{1B21319F-FE3D-49A4-8166-691F0E52E145}"/>
    <cellStyle name="SAPBEXHLevel3X 3 5 2 3" xfId="28383" xr:uid="{00000000-0005-0000-0000-000074700000}"/>
    <cellStyle name="SAPBEXHLevel3X 3 5 2 3 2" xfId="32941" xr:uid="{09BD3033-EE54-4276-87A9-462B7CBCF00E}"/>
    <cellStyle name="SAPBEXHLevel3X 3 5 2 4" xfId="26103" xr:uid="{00000000-0005-0000-0000-000075700000}"/>
    <cellStyle name="SAPBEXHLevel3X 3 5 2 4 2" xfId="30893" xr:uid="{EE724D09-6C37-48B0-9A6B-2502F315B0FF}"/>
    <cellStyle name="SAPBEXHLevel3X 3 5 2 5" xfId="29935" xr:uid="{00000000-0005-0000-0000-000076700000}"/>
    <cellStyle name="SAPBEXHLevel3X 3 5 2 6" xfId="30586" xr:uid="{E7B2D32A-8966-4AB1-843C-0FDDCC975C12}"/>
    <cellStyle name="SAPBEXHLevel3X 3 5 3" xfId="25725" xr:uid="{00000000-0005-0000-0000-000077700000}"/>
    <cellStyle name="SAPBEXHLevel3X 3 5 3 2" xfId="27878" xr:uid="{00000000-0005-0000-0000-000078700000}"/>
    <cellStyle name="SAPBEXHLevel3X 3 5 3 2 2" xfId="32465" xr:uid="{05DA57AD-D9EC-41A6-BECD-405554911E5C}"/>
    <cellStyle name="SAPBEXHLevel3X 3 5 3 3" xfId="28384" xr:uid="{00000000-0005-0000-0000-000079700000}"/>
    <cellStyle name="SAPBEXHLevel3X 3 5 3 3 2" xfId="32942" xr:uid="{F96DE1DF-5756-4F8F-B2F1-734EB2D9815E}"/>
    <cellStyle name="SAPBEXHLevel3X 3 5 3 4" xfId="26508" xr:uid="{00000000-0005-0000-0000-00007A700000}"/>
    <cellStyle name="SAPBEXHLevel3X 3 5 3 4 2" xfId="31296" xr:uid="{CAD70976-8996-443A-9418-1CA939F3EF17}"/>
    <cellStyle name="SAPBEXHLevel3X 3 5 3 5" xfId="29936" xr:uid="{00000000-0005-0000-0000-00007B700000}"/>
    <cellStyle name="SAPBEXHLevel3X 3 5 3 6" xfId="30719" xr:uid="{5C99FBAA-B4E1-4A51-840B-F673FA42281D}"/>
    <cellStyle name="SAPBEXHLevel3X 3 5 4" xfId="27412" xr:uid="{00000000-0005-0000-0000-00007C700000}"/>
    <cellStyle name="SAPBEXHLevel3X 3 5 4 2" xfId="32010" xr:uid="{2094438C-978F-4161-AA50-4DC8055F527B}"/>
    <cellStyle name="SAPBEXHLevel3X 3 5 5" xfId="28382" xr:uid="{00000000-0005-0000-0000-00007D700000}"/>
    <cellStyle name="SAPBEXHLevel3X 3 5 5 2" xfId="32940" xr:uid="{537EAACE-E228-447D-B4AB-A93491D7BB7D}"/>
    <cellStyle name="SAPBEXHLevel3X 3 5 6" xfId="26496" xr:uid="{00000000-0005-0000-0000-00007E700000}"/>
    <cellStyle name="SAPBEXHLevel3X 3 5 6 2" xfId="31284" xr:uid="{DB492B91-6731-4C01-BF2B-F64CE2048734}"/>
    <cellStyle name="SAPBEXHLevel3X 3 5 7" xfId="29934" xr:uid="{00000000-0005-0000-0000-00007F700000}"/>
    <cellStyle name="SAPBEXHLevel3X 3 5 8" xfId="30427" xr:uid="{2FCDDEB8-F9E5-47A8-BF9F-E2EB35A6F064}"/>
    <cellStyle name="SAPBEXHLevel3X 3 6" xfId="25864" xr:uid="{00000000-0005-0000-0000-000080700000}"/>
    <cellStyle name="SAPBEXHLevel3X 3 6 2" xfId="30783" xr:uid="{FA22FF2A-56DE-435D-BD51-B2DC772EDF96}"/>
    <cellStyle name="SAPBEXHLevel3X 3 7" xfId="28374" xr:uid="{00000000-0005-0000-0000-000081700000}"/>
    <cellStyle name="SAPBEXHLevel3X 3 7 2" xfId="32932" xr:uid="{00A9E9D9-3078-4324-B743-E89FCC929ADA}"/>
    <cellStyle name="SAPBEXHLevel3X 3 8" xfId="26413" xr:uid="{00000000-0005-0000-0000-000082700000}"/>
    <cellStyle name="SAPBEXHLevel3X 3 8 2" xfId="31201" xr:uid="{AA5E62CA-10E7-400C-BFF8-E934203BD2AE}"/>
    <cellStyle name="SAPBEXHLevel3X 3 9" xfId="29926" xr:uid="{00000000-0005-0000-0000-000083700000}"/>
    <cellStyle name="SAPBEXHLevel3X 4" xfId="134" xr:uid="{00000000-0005-0000-0000-000084700000}"/>
    <cellStyle name="SAPBEXHLevel3X 4 2" xfId="13668" xr:uid="{00000000-0005-0000-0000-000085700000}"/>
    <cellStyle name="SAPBEXHLevel3X 4 2 2" xfId="25506" xr:uid="{00000000-0005-0000-0000-000086700000}"/>
    <cellStyle name="SAPBEXHLevel3X 4 2 2 2" xfId="27659" xr:uid="{00000000-0005-0000-0000-000087700000}"/>
    <cellStyle name="SAPBEXHLevel3X 4 2 2 2 2" xfId="32246" xr:uid="{BCE1656E-6784-4AB3-AB71-1227A8F66DA6}"/>
    <cellStyle name="SAPBEXHLevel3X 4 2 2 3" xfId="28387" xr:uid="{00000000-0005-0000-0000-000088700000}"/>
    <cellStyle name="SAPBEXHLevel3X 4 2 2 3 2" xfId="32945" xr:uid="{34D3DA20-C764-4AE8-A870-3B88521D41F0}"/>
    <cellStyle name="SAPBEXHLevel3X 4 2 2 4" xfId="26127" xr:uid="{00000000-0005-0000-0000-000089700000}"/>
    <cellStyle name="SAPBEXHLevel3X 4 2 2 4 2" xfId="30917" xr:uid="{FCE1060C-123F-419A-BE20-65C9334370FD}"/>
    <cellStyle name="SAPBEXHLevel3X 4 2 2 5" xfId="29939" xr:uid="{00000000-0005-0000-0000-00008A700000}"/>
    <cellStyle name="SAPBEXHLevel3X 4 2 3" xfId="26610" xr:uid="{00000000-0005-0000-0000-00008B700000}"/>
    <cellStyle name="SAPBEXHLevel3X 4 2 3 2" xfId="31388" xr:uid="{DB7AA06A-C417-44D8-8505-5A8987FA45D9}"/>
    <cellStyle name="SAPBEXHLevel3X 4 2 4" xfId="28386" xr:uid="{00000000-0005-0000-0000-00008C700000}"/>
    <cellStyle name="SAPBEXHLevel3X 4 2 4 2" xfId="32944" xr:uid="{059C8CAB-AD2B-4347-8CE5-5ACF8CCA0B08}"/>
    <cellStyle name="SAPBEXHLevel3X 4 2 5" xfId="26356" xr:uid="{00000000-0005-0000-0000-00008D700000}"/>
    <cellStyle name="SAPBEXHLevel3X 4 2 5 2" xfId="31144" xr:uid="{3F017564-F0CA-4570-8FFA-2C568DD995F0}"/>
    <cellStyle name="SAPBEXHLevel3X 4 2 6" xfId="29938" xr:uid="{00000000-0005-0000-0000-00008E700000}"/>
    <cellStyle name="SAPBEXHLevel3X 4 2 7" xfId="30208" xr:uid="{634BA862-F399-4C76-9D22-CE789E832FBC}"/>
    <cellStyle name="SAPBEXHLevel3X 4 3" xfId="25865" xr:uid="{00000000-0005-0000-0000-00008F700000}"/>
    <cellStyle name="SAPBEXHLevel3X 4 3 2" xfId="30784" xr:uid="{7A7F6CB4-B13E-4B5C-AD91-87BECF742EB1}"/>
    <cellStyle name="SAPBEXHLevel3X 4 4" xfId="28385" xr:uid="{00000000-0005-0000-0000-000090700000}"/>
    <cellStyle name="SAPBEXHLevel3X 4 4 2" xfId="32943" xr:uid="{6E9CB22E-45CE-4BE8-89A3-E2D89B5B189C}"/>
    <cellStyle name="SAPBEXHLevel3X 4 5" xfId="26996" xr:uid="{00000000-0005-0000-0000-000091700000}"/>
    <cellStyle name="SAPBEXHLevel3X 4 5 2" xfId="31757" xr:uid="{FAC2BE78-A6B4-445B-8720-D7A1C7BDCF67}"/>
    <cellStyle name="SAPBEXHLevel3X 4 6" xfId="29937" xr:uid="{00000000-0005-0000-0000-000092700000}"/>
    <cellStyle name="SAPBEXHLevel3X 5" xfId="257" xr:uid="{00000000-0005-0000-0000-000093700000}"/>
    <cellStyle name="SAPBEXHLevel3X 5 2" xfId="13722" xr:uid="{00000000-0005-0000-0000-000094700000}"/>
    <cellStyle name="SAPBEXHLevel3X 5 2 2" xfId="25535" xr:uid="{00000000-0005-0000-0000-000095700000}"/>
    <cellStyle name="SAPBEXHLevel3X 5 2 2 2" xfId="27688" xr:uid="{00000000-0005-0000-0000-000096700000}"/>
    <cellStyle name="SAPBEXHLevel3X 5 2 2 2 2" xfId="32275" xr:uid="{E8A5EE03-50A0-4240-9220-DC11A54B3885}"/>
    <cellStyle name="SAPBEXHLevel3X 5 2 2 3" xfId="28390" xr:uid="{00000000-0005-0000-0000-000097700000}"/>
    <cellStyle name="SAPBEXHLevel3X 5 2 2 3 2" xfId="32948" xr:uid="{1E6139FD-3027-421E-9DDD-0067DCF3FFD2}"/>
    <cellStyle name="SAPBEXHLevel3X 5 2 2 4" xfId="26537" xr:uid="{00000000-0005-0000-0000-000098700000}"/>
    <cellStyle name="SAPBEXHLevel3X 5 2 2 4 2" xfId="31324" xr:uid="{6E13C0EE-DF69-480F-9D3C-8A3C860372FE}"/>
    <cellStyle name="SAPBEXHLevel3X 5 2 2 5" xfId="29942" xr:uid="{00000000-0005-0000-0000-000099700000}"/>
    <cellStyle name="SAPBEXHLevel3X 5 2 3" xfId="26642" xr:uid="{00000000-0005-0000-0000-00009A700000}"/>
    <cellStyle name="SAPBEXHLevel3X 5 2 3 2" xfId="31419" xr:uid="{3823216F-B58B-4ACE-97B1-BB5E64B03519}"/>
    <cellStyle name="SAPBEXHLevel3X 5 2 4" xfId="28389" xr:uid="{00000000-0005-0000-0000-00009B700000}"/>
    <cellStyle name="SAPBEXHLevel3X 5 2 4 2" xfId="32947" xr:uid="{B103FB01-8BC2-4145-8BC0-6644725E7CC4}"/>
    <cellStyle name="SAPBEXHLevel3X 5 2 5" xfId="26247" xr:uid="{00000000-0005-0000-0000-00009C700000}"/>
    <cellStyle name="SAPBEXHLevel3X 5 2 5 2" xfId="31035" xr:uid="{59A8A4E6-431F-4189-A0E6-FDFDFCC54D49}"/>
    <cellStyle name="SAPBEXHLevel3X 5 2 6" xfId="29941" xr:uid="{00000000-0005-0000-0000-00009D700000}"/>
    <cellStyle name="SAPBEXHLevel3X 5 2 7" xfId="30237" xr:uid="{5D0F3AAC-5157-40EC-9714-DBF28195E1A0}"/>
    <cellStyle name="SAPBEXHLevel3X 5 3" xfId="25925" xr:uid="{00000000-0005-0000-0000-00009E700000}"/>
    <cellStyle name="SAPBEXHLevel3X 5 3 2" xfId="30814" xr:uid="{8B2656C5-9F3A-4B11-8E2F-B0ACD9624AC3}"/>
    <cellStyle name="SAPBEXHLevel3X 5 4" xfId="28388" xr:uid="{00000000-0005-0000-0000-00009F700000}"/>
    <cellStyle name="SAPBEXHLevel3X 5 4 2" xfId="32946" xr:uid="{158EB2F5-0BE7-4648-8A80-F7F2CF99D94A}"/>
    <cellStyle name="SAPBEXHLevel3X 5 5" xfId="27926" xr:uid="{00000000-0005-0000-0000-0000A0700000}"/>
    <cellStyle name="SAPBEXHLevel3X 5 5 2" xfId="32484" xr:uid="{0E1C805C-125B-4C8F-A1E3-829552F84728}"/>
    <cellStyle name="SAPBEXHLevel3X 5 6" xfId="29940" xr:uid="{00000000-0005-0000-0000-0000A1700000}"/>
    <cellStyle name="SAPBEXHLevel3X 6" xfId="13665" xr:uid="{00000000-0005-0000-0000-0000A2700000}"/>
    <cellStyle name="SAPBEXHLevel3X 6 2" xfId="25503" xr:uid="{00000000-0005-0000-0000-0000A3700000}"/>
    <cellStyle name="SAPBEXHLevel3X 6 2 2" xfId="27656" xr:uid="{00000000-0005-0000-0000-0000A4700000}"/>
    <cellStyle name="SAPBEXHLevel3X 6 2 2 2" xfId="32243" xr:uid="{59C02CF4-9696-438C-AB17-00BA00ED1F9A}"/>
    <cellStyle name="SAPBEXHLevel3X 6 2 3" xfId="28392" xr:uid="{00000000-0005-0000-0000-0000A5700000}"/>
    <cellStyle name="SAPBEXHLevel3X 6 2 3 2" xfId="32950" xr:uid="{A70A3F1C-C535-4A50-965A-23056B6B8F38}"/>
    <cellStyle name="SAPBEXHLevel3X 6 2 4" xfId="26805" xr:uid="{00000000-0005-0000-0000-0000A6700000}"/>
    <cellStyle name="SAPBEXHLevel3X 6 2 4 2" xfId="31566" xr:uid="{4C728602-73BE-4E59-8123-19760408D66B}"/>
    <cellStyle name="SAPBEXHLevel3X 6 2 5" xfId="29944" xr:uid="{00000000-0005-0000-0000-0000A7700000}"/>
    <cellStyle name="SAPBEXHLevel3X 6 3" xfId="26607" xr:uid="{00000000-0005-0000-0000-0000A8700000}"/>
    <cellStyle name="SAPBEXHLevel3X 6 3 2" xfId="31385" xr:uid="{3D23335A-A6F2-45F2-98D3-9CDD0399F482}"/>
    <cellStyle name="SAPBEXHLevel3X 6 4" xfId="28391" xr:uid="{00000000-0005-0000-0000-0000A9700000}"/>
    <cellStyle name="SAPBEXHLevel3X 6 4 2" xfId="32949" xr:uid="{1274685D-3743-4D65-8A74-50868C7C8624}"/>
    <cellStyle name="SAPBEXHLevel3X 6 5" xfId="26120" xr:uid="{00000000-0005-0000-0000-0000AA700000}"/>
    <cellStyle name="SAPBEXHLevel3X 6 5 2" xfId="30910" xr:uid="{EAAD5286-CA08-4F8C-9FC0-C1170F6E4F80}"/>
    <cellStyle name="SAPBEXHLevel3X 6 6" xfId="29943" xr:uid="{00000000-0005-0000-0000-0000AB700000}"/>
    <cellStyle name="SAPBEXHLevel3X 6 7" xfId="30205" xr:uid="{3655B80D-A217-4F56-B61B-ACA014A35A1E}"/>
    <cellStyle name="SAPBEXHLevel3X 7" xfId="24648" xr:uid="{00000000-0005-0000-0000-0000AC700000}"/>
    <cellStyle name="SAPBEXHLevel3X 7 2" xfId="25392" xr:uid="{00000000-0005-0000-0000-0000AD700000}"/>
    <cellStyle name="SAPBEXHLevel3X 7 2 2" xfId="27546" xr:uid="{00000000-0005-0000-0000-0000AE700000}"/>
    <cellStyle name="SAPBEXHLevel3X 7 2 2 2" xfId="32137" xr:uid="{7CC33AB6-2FBF-4589-9DCC-8356C15E51CB}"/>
    <cellStyle name="SAPBEXHLevel3X 7 2 3" xfId="28394" xr:uid="{00000000-0005-0000-0000-0000AF700000}"/>
    <cellStyle name="SAPBEXHLevel3X 7 2 3 2" xfId="32952" xr:uid="{5218DFB4-9C8B-4255-8199-2E951C98061A}"/>
    <cellStyle name="SAPBEXHLevel3X 7 2 4" xfId="26527" xr:uid="{00000000-0005-0000-0000-0000B0700000}"/>
    <cellStyle name="SAPBEXHLevel3X 7 2 4 2" xfId="31314" xr:uid="{83B58F8D-68DB-46AC-ABBF-0D282F66988C}"/>
    <cellStyle name="SAPBEXHLevel3X 7 2 5" xfId="29946" xr:uid="{00000000-0005-0000-0000-0000B1700000}"/>
    <cellStyle name="SAPBEXHLevel3X 7 2 6" xfId="30550" xr:uid="{B1EE9249-7FDA-47C7-BD9F-3316C79AD5ED}"/>
    <cellStyle name="SAPBEXHLevel3X 7 3" xfId="25614" xr:uid="{00000000-0005-0000-0000-0000B2700000}"/>
    <cellStyle name="SAPBEXHLevel3X 7 3 2" xfId="27767" xr:uid="{00000000-0005-0000-0000-0000B3700000}"/>
    <cellStyle name="SAPBEXHLevel3X 7 3 2 2" xfId="32354" xr:uid="{F42B81ED-5BF4-4065-A397-BC2ABF82F0EA}"/>
    <cellStyle name="SAPBEXHLevel3X 7 3 3" xfId="28395" xr:uid="{00000000-0005-0000-0000-0000B4700000}"/>
    <cellStyle name="SAPBEXHLevel3X 7 3 3 2" xfId="32953" xr:uid="{6D99D37A-E8F0-4A6F-B791-F86D9715914F}"/>
    <cellStyle name="SAPBEXHLevel3X 7 3 4" xfId="26892" xr:uid="{00000000-0005-0000-0000-0000B5700000}"/>
    <cellStyle name="SAPBEXHLevel3X 7 3 4 2" xfId="31653" xr:uid="{C8E59616-84C5-494D-8A3F-BFFC7D6FD597}"/>
    <cellStyle name="SAPBEXHLevel3X 7 3 5" xfId="29947" xr:uid="{00000000-0005-0000-0000-0000B6700000}"/>
    <cellStyle name="SAPBEXHLevel3X 7 4" xfId="27241" xr:uid="{00000000-0005-0000-0000-0000B7700000}"/>
    <cellStyle name="SAPBEXHLevel3X 7 4 2" xfId="31876" xr:uid="{3D2A80C7-F827-489A-B6F7-5C6A97044B85}"/>
    <cellStyle name="SAPBEXHLevel3X 7 5" xfId="28393" xr:uid="{00000000-0005-0000-0000-0000B8700000}"/>
    <cellStyle name="SAPBEXHLevel3X 7 5 2" xfId="32951" xr:uid="{B996BF90-7336-45B5-AF61-BFE5C42EDF50}"/>
    <cellStyle name="SAPBEXHLevel3X 7 6" xfId="26426" xr:uid="{00000000-0005-0000-0000-0000B9700000}"/>
    <cellStyle name="SAPBEXHLevel3X 7 6 2" xfId="31214" xr:uid="{CF2C049C-A657-4B60-914F-2C40643340B0}"/>
    <cellStyle name="SAPBEXHLevel3X 7 7" xfId="29945" xr:uid="{00000000-0005-0000-0000-0000BA700000}"/>
    <cellStyle name="SAPBEXHLevel3X 7 8" xfId="30316" xr:uid="{4E695917-C041-4582-8901-18280CF2CE17}"/>
    <cellStyle name="SAPBEXHLevel3X 8" xfId="25125" xr:uid="{00000000-0005-0000-0000-0000BB700000}"/>
    <cellStyle name="SAPBEXHLevel3X 8 2" xfId="25414" xr:uid="{00000000-0005-0000-0000-0000BC700000}"/>
    <cellStyle name="SAPBEXHLevel3X 8 2 2" xfId="27568" xr:uid="{00000000-0005-0000-0000-0000BD700000}"/>
    <cellStyle name="SAPBEXHLevel3X 8 2 2 2" xfId="32159" xr:uid="{23F4745B-DC52-4355-B90C-5E01822F08C8}"/>
    <cellStyle name="SAPBEXHLevel3X 8 2 3" xfId="28397" xr:uid="{00000000-0005-0000-0000-0000BE700000}"/>
    <cellStyle name="SAPBEXHLevel3X 8 2 3 2" xfId="32955" xr:uid="{24744013-6FAD-464F-9156-9C215C2FBD74}"/>
    <cellStyle name="SAPBEXHLevel3X 8 2 4" xfId="26410" xr:uid="{00000000-0005-0000-0000-0000BF700000}"/>
    <cellStyle name="SAPBEXHLevel3X 8 2 4 2" xfId="31198" xr:uid="{765D670A-2483-4C3C-B436-DBD6EDD29432}"/>
    <cellStyle name="SAPBEXHLevel3X 8 2 5" xfId="29949" xr:uid="{00000000-0005-0000-0000-0000C0700000}"/>
    <cellStyle name="SAPBEXHLevel3X 8 2 6" xfId="30572" xr:uid="{36E80096-F8E1-40CF-9AB9-FE6B9DCE4B69}"/>
    <cellStyle name="SAPBEXHLevel3X 8 3" xfId="25723" xr:uid="{00000000-0005-0000-0000-0000C1700000}"/>
    <cellStyle name="SAPBEXHLevel3X 8 3 2" xfId="27876" xr:uid="{00000000-0005-0000-0000-0000C2700000}"/>
    <cellStyle name="SAPBEXHLevel3X 8 3 2 2" xfId="32463" xr:uid="{0DA899B9-A7A2-45D5-A485-18C101D666F7}"/>
    <cellStyle name="SAPBEXHLevel3X 8 3 3" xfId="28398" xr:uid="{00000000-0005-0000-0000-0000C3700000}"/>
    <cellStyle name="SAPBEXHLevel3X 8 3 3 2" xfId="32956" xr:uid="{8C4CC2ED-82E0-4B10-84C7-466A272FFD2B}"/>
    <cellStyle name="SAPBEXHLevel3X 8 3 4" xfId="26559" xr:uid="{00000000-0005-0000-0000-0000C4700000}"/>
    <cellStyle name="SAPBEXHLevel3X 8 3 4 2" xfId="31340" xr:uid="{A160F7CB-B045-4745-8777-D2B2444E6D14}"/>
    <cellStyle name="SAPBEXHLevel3X 8 3 5" xfId="29950" xr:uid="{00000000-0005-0000-0000-0000C5700000}"/>
    <cellStyle name="SAPBEXHLevel3X 8 3 6" xfId="30717" xr:uid="{75E9B26F-EBEB-4DEA-83E0-DA62D7697FB4}"/>
    <cellStyle name="SAPBEXHLevel3X 8 4" xfId="27410" xr:uid="{00000000-0005-0000-0000-0000C6700000}"/>
    <cellStyle name="SAPBEXHLevel3X 8 4 2" xfId="32008" xr:uid="{3E1AD465-B838-4DC5-A2D5-3A1D185E4EE3}"/>
    <cellStyle name="SAPBEXHLevel3X 8 5" xfId="28396" xr:uid="{00000000-0005-0000-0000-0000C7700000}"/>
    <cellStyle name="SAPBEXHLevel3X 8 5 2" xfId="32954" xr:uid="{C88F1E99-2D38-4D3D-A891-6A85B0C75960}"/>
    <cellStyle name="SAPBEXHLevel3X 8 6" xfId="26889" xr:uid="{00000000-0005-0000-0000-0000C8700000}"/>
    <cellStyle name="SAPBEXHLevel3X 8 6 2" xfId="31650" xr:uid="{A7BED088-0100-401F-BFB1-42FFD4A43473}"/>
    <cellStyle name="SAPBEXHLevel3X 8 7" xfId="29948" xr:uid="{00000000-0005-0000-0000-0000C9700000}"/>
    <cellStyle name="SAPBEXHLevel3X 8 8" xfId="30425" xr:uid="{1974C777-750B-4F6C-9D68-A17FF86EA43B}"/>
    <cellStyle name="SAPBEXHLevel3X 9" xfId="25862" xr:uid="{00000000-0005-0000-0000-0000CA700000}"/>
    <cellStyle name="SAPBEXHLevel3X 9 2" xfId="30781" xr:uid="{26A23DAD-FA9C-4CAB-BCA3-2DB80B9EE2E6}"/>
    <cellStyle name="SAPBEXinputData" xfId="24270" xr:uid="{00000000-0005-0000-0000-0000CB700000}"/>
    <cellStyle name="SAPBEXinputData 2" xfId="24271" xr:uid="{00000000-0005-0000-0000-0000CC700000}"/>
    <cellStyle name="SAPBEXinputData 2 2" xfId="24927" xr:uid="{00000000-0005-0000-0000-0000CD700000}"/>
    <cellStyle name="SAPBEXinputData 2 2 2" xfId="27336" xr:uid="{00000000-0005-0000-0000-0000CE700000}"/>
    <cellStyle name="SAPBEXinputData 2 3" xfId="27125" xr:uid="{00000000-0005-0000-0000-0000CF700000}"/>
    <cellStyle name="SAPBEXinputData 3" xfId="24272" xr:uid="{00000000-0005-0000-0000-0000D0700000}"/>
    <cellStyle name="SAPBEXinputData 3 2" xfId="24924" xr:uid="{00000000-0005-0000-0000-0000D1700000}"/>
    <cellStyle name="SAPBEXinputData 3 2 2" xfId="27333" xr:uid="{00000000-0005-0000-0000-0000D2700000}"/>
    <cellStyle name="SAPBEXinputData 3 3" xfId="27126" xr:uid="{00000000-0005-0000-0000-0000D3700000}"/>
    <cellStyle name="SAPBEXinputData 4" xfId="24771" xr:uid="{00000000-0005-0000-0000-0000D4700000}"/>
    <cellStyle name="SAPBEXinputData 4 2" xfId="27312" xr:uid="{00000000-0005-0000-0000-0000D5700000}"/>
    <cellStyle name="SAPBEXinputData 5" xfId="27124" xr:uid="{00000000-0005-0000-0000-0000D6700000}"/>
    <cellStyle name="SAPBEXresData" xfId="135" xr:uid="{00000000-0005-0000-0000-0000D7700000}"/>
    <cellStyle name="SAPBEXresData 2" xfId="13669" xr:uid="{00000000-0005-0000-0000-0000D8700000}"/>
    <cellStyle name="SAPBEXresData 2 2" xfId="25507" xr:uid="{00000000-0005-0000-0000-0000D9700000}"/>
    <cellStyle name="SAPBEXresData 2 2 2" xfId="27660" xr:uid="{00000000-0005-0000-0000-0000DA700000}"/>
    <cellStyle name="SAPBEXresData 2 2 2 2" xfId="32247" xr:uid="{31F18D4B-DE0A-468B-800F-CB07B9542BC9}"/>
    <cellStyle name="SAPBEXresData 2 2 3" xfId="28401" xr:uid="{00000000-0005-0000-0000-0000DB700000}"/>
    <cellStyle name="SAPBEXresData 2 2 3 2" xfId="32959" xr:uid="{C135B232-02CE-477D-B212-BC1534F5DF12}"/>
    <cellStyle name="SAPBEXresData 2 2 4" xfId="26499" xr:uid="{00000000-0005-0000-0000-0000DC700000}"/>
    <cellStyle name="SAPBEXresData 2 2 4 2" xfId="31287" xr:uid="{C40CCFAC-CD22-44E0-9B80-B03B15117FF8}"/>
    <cellStyle name="SAPBEXresData 2 2 5" xfId="29953" xr:uid="{00000000-0005-0000-0000-0000DD700000}"/>
    <cellStyle name="SAPBEXresData 2 3" xfId="26611" xr:uid="{00000000-0005-0000-0000-0000DE700000}"/>
    <cellStyle name="SAPBEXresData 2 3 2" xfId="31389" xr:uid="{9D513E72-31AA-45CF-BC1B-BCA72D20ADEE}"/>
    <cellStyle name="SAPBEXresData 2 4" xfId="28400" xr:uid="{00000000-0005-0000-0000-0000DF700000}"/>
    <cellStyle name="SAPBEXresData 2 4 2" xfId="32958" xr:uid="{E907A8F9-4CB0-4D04-948E-35404C48A1D6}"/>
    <cellStyle name="SAPBEXresData 2 5" xfId="26715" xr:uid="{00000000-0005-0000-0000-0000E0700000}"/>
    <cellStyle name="SAPBEXresData 2 5 2" xfId="31477" xr:uid="{CDA56021-F4A4-40D2-8249-B99836CC4F8F}"/>
    <cellStyle name="SAPBEXresData 2 6" xfId="29952" xr:uid="{00000000-0005-0000-0000-0000E1700000}"/>
    <cellStyle name="SAPBEXresData 2 7" xfId="30209" xr:uid="{588FC51F-DC46-481B-9DD5-800962759BCD}"/>
    <cellStyle name="SAPBEXresData 3" xfId="24645" xr:uid="{00000000-0005-0000-0000-0000E2700000}"/>
    <cellStyle name="SAPBEXresData 3 2" xfId="25341" xr:uid="{00000000-0005-0000-0000-0000E3700000}"/>
    <cellStyle name="SAPBEXresData 3 2 2" xfId="27495" xr:uid="{00000000-0005-0000-0000-0000E4700000}"/>
    <cellStyle name="SAPBEXresData 3 2 2 2" xfId="32086" xr:uid="{A13287A6-D481-4C26-881C-3FA5B17372DA}"/>
    <cellStyle name="SAPBEXresData 3 2 3" xfId="28403" xr:uid="{00000000-0005-0000-0000-0000E5700000}"/>
    <cellStyle name="SAPBEXresData 3 2 3 2" xfId="32961" xr:uid="{D0B87572-0820-4FFD-9189-EC41B2827FC6}"/>
    <cellStyle name="SAPBEXresData 3 2 4" xfId="26541" xr:uid="{00000000-0005-0000-0000-0000E6700000}"/>
    <cellStyle name="SAPBEXresData 3 2 4 2" xfId="31328" xr:uid="{55AE0055-7746-4D87-8475-F97FD3F0729B}"/>
    <cellStyle name="SAPBEXresData 3 2 5" xfId="29955" xr:uid="{00000000-0005-0000-0000-0000E7700000}"/>
    <cellStyle name="SAPBEXresData 3 2 6" xfId="30499" xr:uid="{B50FC92F-F0CB-4F38-8AF1-1AF96D23585D}"/>
    <cellStyle name="SAPBEXresData 3 3" xfId="25611" xr:uid="{00000000-0005-0000-0000-0000E8700000}"/>
    <cellStyle name="SAPBEXresData 3 3 2" xfId="27764" xr:uid="{00000000-0005-0000-0000-0000E9700000}"/>
    <cellStyle name="SAPBEXresData 3 3 2 2" xfId="32351" xr:uid="{0688740D-E7F9-4D74-843E-E4157EDB68F1}"/>
    <cellStyle name="SAPBEXresData 3 3 3" xfId="28404" xr:uid="{00000000-0005-0000-0000-0000EA700000}"/>
    <cellStyle name="SAPBEXresData 3 3 3 2" xfId="32962" xr:uid="{C245EF7D-E6F9-4BF1-90CB-F5DF8F549C80}"/>
    <cellStyle name="SAPBEXresData 3 3 4" xfId="26330" xr:uid="{00000000-0005-0000-0000-0000EB700000}"/>
    <cellStyle name="SAPBEXresData 3 3 4 2" xfId="31118" xr:uid="{4FF40185-9067-4EE2-A64F-A75C7F043B48}"/>
    <cellStyle name="SAPBEXresData 3 3 5" xfId="29956" xr:uid="{00000000-0005-0000-0000-0000EC700000}"/>
    <cellStyle name="SAPBEXresData 3 4" xfId="27238" xr:uid="{00000000-0005-0000-0000-0000ED700000}"/>
    <cellStyle name="SAPBEXresData 3 4 2" xfId="31873" xr:uid="{8C8F3C1E-9D2E-4991-B68F-AE6B00549F21}"/>
    <cellStyle name="SAPBEXresData 3 5" xfId="28402" xr:uid="{00000000-0005-0000-0000-0000EE700000}"/>
    <cellStyle name="SAPBEXresData 3 5 2" xfId="32960" xr:uid="{0E4ECC88-9DC2-4E81-9643-5DFA564C2B3E}"/>
    <cellStyle name="SAPBEXresData 3 6" xfId="26751" xr:uid="{00000000-0005-0000-0000-0000EF700000}"/>
    <cellStyle name="SAPBEXresData 3 6 2" xfId="31512" xr:uid="{528ECEEA-F1BD-47FF-82BC-DDFCC6E7796D}"/>
    <cellStyle name="SAPBEXresData 3 7" xfId="29954" xr:uid="{00000000-0005-0000-0000-0000F0700000}"/>
    <cellStyle name="SAPBEXresData 3 8" xfId="30313" xr:uid="{98D5FDE3-7A4B-44E1-B7F0-84C7A73756FA}"/>
    <cellStyle name="SAPBEXresData 4" xfId="25128" xr:uid="{00000000-0005-0000-0000-0000F1700000}"/>
    <cellStyle name="SAPBEXresData 4 2" xfId="25344" xr:uid="{00000000-0005-0000-0000-0000F2700000}"/>
    <cellStyle name="SAPBEXresData 4 2 2" xfId="27498" xr:uid="{00000000-0005-0000-0000-0000F3700000}"/>
    <cellStyle name="SAPBEXresData 4 2 2 2" xfId="32089" xr:uid="{FCA101A0-664E-4625-B783-DD3C6C6FB558}"/>
    <cellStyle name="SAPBEXresData 4 2 3" xfId="28406" xr:uid="{00000000-0005-0000-0000-0000F4700000}"/>
    <cellStyle name="SAPBEXresData 4 2 3 2" xfId="32964" xr:uid="{A3A07294-8B9C-4D21-BA5F-D09D42340CD5}"/>
    <cellStyle name="SAPBEXresData 4 2 4" xfId="26107" xr:uid="{00000000-0005-0000-0000-0000F5700000}"/>
    <cellStyle name="SAPBEXresData 4 2 4 2" xfId="30897" xr:uid="{09543267-4766-41FA-AE47-FEEB9601E6AF}"/>
    <cellStyle name="SAPBEXresData 4 2 5" xfId="29958" xr:uid="{00000000-0005-0000-0000-0000F6700000}"/>
    <cellStyle name="SAPBEXresData 4 2 6" xfId="30502" xr:uid="{411C24F2-E001-4709-A07B-96166EA5E295}"/>
    <cellStyle name="SAPBEXresData 4 3" xfId="25726" xr:uid="{00000000-0005-0000-0000-0000F7700000}"/>
    <cellStyle name="SAPBEXresData 4 3 2" xfId="27879" xr:uid="{00000000-0005-0000-0000-0000F8700000}"/>
    <cellStyle name="SAPBEXresData 4 3 2 2" xfId="32466" xr:uid="{0CE4D7B6-27D6-440E-BF6E-EE90A31DA340}"/>
    <cellStyle name="SAPBEXresData 4 3 3" xfId="28407" xr:uid="{00000000-0005-0000-0000-0000F9700000}"/>
    <cellStyle name="SAPBEXresData 4 3 3 2" xfId="32965" xr:uid="{BA000DEF-7153-4D69-8EC3-BE73C2E77D84}"/>
    <cellStyle name="SAPBEXresData 4 3 4" xfId="26862" xr:uid="{00000000-0005-0000-0000-0000FA700000}"/>
    <cellStyle name="SAPBEXresData 4 3 4 2" xfId="31623" xr:uid="{9C7F8C61-7F39-4974-A573-BEB57D747127}"/>
    <cellStyle name="SAPBEXresData 4 3 5" xfId="29959" xr:uid="{00000000-0005-0000-0000-0000FB700000}"/>
    <cellStyle name="SAPBEXresData 4 3 6" xfId="30720" xr:uid="{ADAA1D7E-62A2-4BE2-9FE9-C2B35ED28893}"/>
    <cellStyle name="SAPBEXresData 4 4" xfId="27413" xr:uid="{00000000-0005-0000-0000-0000FC700000}"/>
    <cellStyle name="SAPBEXresData 4 4 2" xfId="32011" xr:uid="{4137C93A-144D-4CF8-B103-F506FD47E2B5}"/>
    <cellStyle name="SAPBEXresData 4 5" xfId="28405" xr:uid="{00000000-0005-0000-0000-0000FD700000}"/>
    <cellStyle name="SAPBEXresData 4 5 2" xfId="32963" xr:uid="{21240C7F-76AF-4D19-9CCE-36C38AE9F239}"/>
    <cellStyle name="SAPBEXresData 4 6" xfId="26110" xr:uid="{00000000-0005-0000-0000-0000FE700000}"/>
    <cellStyle name="SAPBEXresData 4 6 2" xfId="30900" xr:uid="{E6FA5FF2-1A50-466A-BB3A-EA7AC2160900}"/>
    <cellStyle name="SAPBEXresData 4 7" xfId="29957" xr:uid="{00000000-0005-0000-0000-0000FF700000}"/>
    <cellStyle name="SAPBEXresData 4 8" xfId="30428" xr:uid="{3509B2EE-6847-4BE4-A7C8-7D6FAC8BA3BE}"/>
    <cellStyle name="SAPBEXresData 5" xfId="25866" xr:uid="{00000000-0005-0000-0000-000000710000}"/>
    <cellStyle name="SAPBEXresData 5 2" xfId="30785" xr:uid="{89020E5D-E677-4847-8404-A5FED79CD070}"/>
    <cellStyle name="SAPBEXresData 6" xfId="28399" xr:uid="{00000000-0005-0000-0000-000001710000}"/>
    <cellStyle name="SAPBEXresData 6 2" xfId="32957" xr:uid="{76ACBCB1-7E01-489D-BDBB-CFB175A7983B}"/>
    <cellStyle name="SAPBEXresData 7" xfId="26489" xr:uid="{00000000-0005-0000-0000-000002710000}"/>
    <cellStyle name="SAPBEXresData 7 2" xfId="31277" xr:uid="{BF10D402-DDAB-40A8-8196-2217B4CB615E}"/>
    <cellStyle name="SAPBEXresData 8" xfId="29951" xr:uid="{00000000-0005-0000-0000-000003710000}"/>
    <cellStyle name="SAPBEXresDataEmph" xfId="136" xr:uid="{00000000-0005-0000-0000-000004710000}"/>
    <cellStyle name="SAPBEXresDataEmph 2" xfId="13670" xr:uid="{00000000-0005-0000-0000-000005710000}"/>
    <cellStyle name="SAPBEXresDataEmph 2 2" xfId="25508" xr:uid="{00000000-0005-0000-0000-000006710000}"/>
    <cellStyle name="SAPBEXresDataEmph 2 2 2" xfId="27661" xr:uid="{00000000-0005-0000-0000-000007710000}"/>
    <cellStyle name="SAPBEXresDataEmph 2 2 2 2" xfId="32248" xr:uid="{CC2BAD40-7685-4B6B-8565-8F3029A8A40A}"/>
    <cellStyle name="SAPBEXresDataEmph 2 2 3" xfId="28410" xr:uid="{00000000-0005-0000-0000-000008710000}"/>
    <cellStyle name="SAPBEXresDataEmph 2 2 3 2" xfId="32968" xr:uid="{BD9A4AE5-A9DC-4D3F-ABF5-4DDBC27DCA42}"/>
    <cellStyle name="SAPBEXresDataEmph 2 2 4" xfId="26894" xr:uid="{00000000-0005-0000-0000-000009710000}"/>
    <cellStyle name="SAPBEXresDataEmph 2 2 4 2" xfId="31655" xr:uid="{EBAC9037-3727-43A9-943F-67402A80A1F8}"/>
    <cellStyle name="SAPBEXresDataEmph 2 2 5" xfId="29962" xr:uid="{00000000-0005-0000-0000-00000A710000}"/>
    <cellStyle name="SAPBEXresDataEmph 2 3" xfId="26612" xr:uid="{00000000-0005-0000-0000-00000B710000}"/>
    <cellStyle name="SAPBEXresDataEmph 2 3 2" xfId="31390" xr:uid="{E7820E30-1AA6-4097-84BC-91C6E5115A66}"/>
    <cellStyle name="SAPBEXresDataEmph 2 4" xfId="28409" xr:uid="{00000000-0005-0000-0000-00000C710000}"/>
    <cellStyle name="SAPBEXresDataEmph 2 4 2" xfId="32967" xr:uid="{5BDBE309-DA57-4062-B030-822DE2438060}"/>
    <cellStyle name="SAPBEXresDataEmph 2 5" xfId="26539" xr:uid="{00000000-0005-0000-0000-00000D710000}"/>
    <cellStyle name="SAPBEXresDataEmph 2 5 2" xfId="31326" xr:uid="{31BDFD7F-85A6-4534-B823-5F749CEDC4CF}"/>
    <cellStyle name="SAPBEXresDataEmph 2 6" xfId="29961" xr:uid="{00000000-0005-0000-0000-00000E710000}"/>
    <cellStyle name="SAPBEXresDataEmph 2 7" xfId="30210" xr:uid="{0008B232-9B18-4BAB-AD83-F2A96E2D67BD}"/>
    <cellStyle name="SAPBEXresDataEmph 3" xfId="24644" xr:uid="{00000000-0005-0000-0000-00000F710000}"/>
    <cellStyle name="SAPBEXresDataEmph 3 2" xfId="25425" xr:uid="{00000000-0005-0000-0000-000010710000}"/>
    <cellStyle name="SAPBEXresDataEmph 3 2 2" xfId="27579" xr:uid="{00000000-0005-0000-0000-000011710000}"/>
    <cellStyle name="SAPBEXresDataEmph 3 2 2 2" xfId="32170" xr:uid="{3C9006EB-966C-4311-BD1C-30C6CBF003BF}"/>
    <cellStyle name="SAPBEXresDataEmph 3 2 3" xfId="28412" xr:uid="{00000000-0005-0000-0000-000012710000}"/>
    <cellStyle name="SAPBEXresDataEmph 3 2 3 2" xfId="32970" xr:uid="{880627F5-D108-4DF4-BF59-7B48A3E1EBDA}"/>
    <cellStyle name="SAPBEXresDataEmph 3 2 4" xfId="26858" xr:uid="{00000000-0005-0000-0000-000013710000}"/>
    <cellStyle name="SAPBEXresDataEmph 3 2 4 2" xfId="31619" xr:uid="{B9D44A06-73B0-4C60-B95D-19DE9FAF22D6}"/>
    <cellStyle name="SAPBEXresDataEmph 3 2 5" xfId="29964" xr:uid="{00000000-0005-0000-0000-000014710000}"/>
    <cellStyle name="SAPBEXresDataEmph 3 2 6" xfId="30583" xr:uid="{118AEA6D-5ECA-44F9-A30E-97C01EB3D2ED}"/>
    <cellStyle name="SAPBEXresDataEmph 3 3" xfId="25610" xr:uid="{00000000-0005-0000-0000-000015710000}"/>
    <cellStyle name="SAPBEXresDataEmph 3 3 2" xfId="27763" xr:uid="{00000000-0005-0000-0000-000016710000}"/>
    <cellStyle name="SAPBEXresDataEmph 3 3 2 2" xfId="32350" xr:uid="{3E87F055-7D5E-4815-A065-51C972BACD7A}"/>
    <cellStyle name="SAPBEXresDataEmph 3 3 3" xfId="28413" xr:uid="{00000000-0005-0000-0000-000017710000}"/>
    <cellStyle name="SAPBEXresDataEmph 3 3 3 2" xfId="32971" xr:uid="{5319DF64-80FF-4ACC-90B6-DD1883D8C3E4}"/>
    <cellStyle name="SAPBEXresDataEmph 3 3 4" xfId="26395" xr:uid="{00000000-0005-0000-0000-000018710000}"/>
    <cellStyle name="SAPBEXresDataEmph 3 3 4 2" xfId="31183" xr:uid="{A443C37C-E0A8-4017-B108-737E0B8263C1}"/>
    <cellStyle name="SAPBEXresDataEmph 3 3 5" xfId="29965" xr:uid="{00000000-0005-0000-0000-000019710000}"/>
    <cellStyle name="SAPBEXresDataEmph 3 4" xfId="27237" xr:uid="{00000000-0005-0000-0000-00001A710000}"/>
    <cellStyle name="SAPBEXresDataEmph 3 4 2" xfId="31872" xr:uid="{21A0E2B4-E9EB-490A-876F-2980D4FE38C5}"/>
    <cellStyle name="SAPBEXresDataEmph 3 5" xfId="28411" xr:uid="{00000000-0005-0000-0000-00001B710000}"/>
    <cellStyle name="SAPBEXresDataEmph 3 5 2" xfId="32969" xr:uid="{28523237-3CAD-43AA-BC67-7CDCBBBAFDE3}"/>
    <cellStyle name="SAPBEXresDataEmph 3 6" xfId="26942" xr:uid="{00000000-0005-0000-0000-00001C710000}"/>
    <cellStyle name="SAPBEXresDataEmph 3 6 2" xfId="31703" xr:uid="{E5E4A04A-8C9C-4FC9-8554-4AED80F51B73}"/>
    <cellStyle name="SAPBEXresDataEmph 3 7" xfId="29963" xr:uid="{00000000-0005-0000-0000-00001D710000}"/>
    <cellStyle name="SAPBEXresDataEmph 3 8" xfId="30312" xr:uid="{45295B30-D13B-4F34-A0A5-E4B0FD6B8441}"/>
    <cellStyle name="SAPBEXresDataEmph 4" xfId="25129" xr:uid="{00000000-0005-0000-0000-00001E710000}"/>
    <cellStyle name="SAPBEXresDataEmph 4 2" xfId="25445" xr:uid="{00000000-0005-0000-0000-00001F710000}"/>
    <cellStyle name="SAPBEXresDataEmph 4 2 2" xfId="27599" xr:uid="{00000000-0005-0000-0000-000020710000}"/>
    <cellStyle name="SAPBEXresDataEmph 4 2 2 2" xfId="32190" xr:uid="{B526E0FD-18C7-4740-90B2-A0AF61D9A7DB}"/>
    <cellStyle name="SAPBEXresDataEmph 4 2 3" xfId="28415" xr:uid="{00000000-0005-0000-0000-000021710000}"/>
    <cellStyle name="SAPBEXresDataEmph 4 2 3 2" xfId="32973" xr:uid="{747E3ED8-A525-4339-A12E-CEE9E8DF9EBF}"/>
    <cellStyle name="SAPBEXresDataEmph 4 2 4" xfId="26502" xr:uid="{00000000-0005-0000-0000-000022710000}"/>
    <cellStyle name="SAPBEXresDataEmph 4 2 4 2" xfId="31290" xr:uid="{19279DAE-A5B4-464D-965C-C12B30D6DC89}"/>
    <cellStyle name="SAPBEXresDataEmph 4 2 5" xfId="29967" xr:uid="{00000000-0005-0000-0000-000023710000}"/>
    <cellStyle name="SAPBEXresDataEmph 4 2 6" xfId="30603" xr:uid="{947BB9F9-B1DC-4E58-A878-9F29896B084B}"/>
    <cellStyle name="SAPBEXresDataEmph 4 3" xfId="25727" xr:uid="{00000000-0005-0000-0000-000024710000}"/>
    <cellStyle name="SAPBEXresDataEmph 4 3 2" xfId="27880" xr:uid="{00000000-0005-0000-0000-000025710000}"/>
    <cellStyle name="SAPBEXresDataEmph 4 3 2 2" xfId="32467" xr:uid="{7357FA17-93D3-4A42-95E7-9281B0EA1AC6}"/>
    <cellStyle name="SAPBEXresDataEmph 4 3 3" xfId="28416" xr:uid="{00000000-0005-0000-0000-000026710000}"/>
    <cellStyle name="SAPBEXresDataEmph 4 3 3 2" xfId="32974" xr:uid="{8E28FBFB-A495-4021-994F-A1A6A51C0F28}"/>
    <cellStyle name="SAPBEXresDataEmph 4 3 4" xfId="26844" xr:uid="{00000000-0005-0000-0000-000027710000}"/>
    <cellStyle name="SAPBEXresDataEmph 4 3 4 2" xfId="31605" xr:uid="{EF3C1E56-8E20-4988-803A-95E0141F5C9B}"/>
    <cellStyle name="SAPBEXresDataEmph 4 3 5" xfId="29968" xr:uid="{00000000-0005-0000-0000-000028710000}"/>
    <cellStyle name="SAPBEXresDataEmph 4 3 6" xfId="30721" xr:uid="{B691638A-1E6C-4C5B-B110-68170A31A118}"/>
    <cellStyle name="SAPBEXresDataEmph 4 4" xfId="27414" xr:uid="{00000000-0005-0000-0000-000029710000}"/>
    <cellStyle name="SAPBEXresDataEmph 4 4 2" xfId="32012" xr:uid="{AE600082-B064-494C-96EE-8E531B7CF68D}"/>
    <cellStyle name="SAPBEXresDataEmph 4 5" xfId="28414" xr:uid="{00000000-0005-0000-0000-00002A710000}"/>
    <cellStyle name="SAPBEXresDataEmph 4 5 2" xfId="32972" xr:uid="{90532C1F-2ECF-49A8-829C-A6D409E295D5}"/>
    <cellStyle name="SAPBEXresDataEmph 4 6" xfId="26245" xr:uid="{00000000-0005-0000-0000-00002B710000}"/>
    <cellStyle name="SAPBEXresDataEmph 4 6 2" xfId="31033" xr:uid="{D004DBA8-B1E1-4D7F-B105-D1E54511FC5A}"/>
    <cellStyle name="SAPBEXresDataEmph 4 7" xfId="29966" xr:uid="{00000000-0005-0000-0000-00002C710000}"/>
    <cellStyle name="SAPBEXresDataEmph 4 8" xfId="30429" xr:uid="{8FB2A62A-1802-4E79-B1B2-BFD9C53A863C}"/>
    <cellStyle name="SAPBEXresDataEmph 5" xfId="25867" xr:uid="{00000000-0005-0000-0000-00002D710000}"/>
    <cellStyle name="SAPBEXresDataEmph 5 2" xfId="30786" xr:uid="{FFF959E2-3AC1-4645-A757-91898D25434E}"/>
    <cellStyle name="SAPBEXresDataEmph 6" xfId="28408" xr:uid="{00000000-0005-0000-0000-00002E710000}"/>
    <cellStyle name="SAPBEXresDataEmph 6 2" xfId="32966" xr:uid="{B3038231-9028-4686-9E7E-C271E67D17E3}"/>
    <cellStyle name="SAPBEXresDataEmph 7" xfId="26203" xr:uid="{00000000-0005-0000-0000-00002F710000}"/>
    <cellStyle name="SAPBEXresDataEmph 7 2" xfId="30991" xr:uid="{6F515C21-D15E-4F3C-9A74-C1D6824EBFE9}"/>
    <cellStyle name="SAPBEXresDataEmph 8" xfId="29960" xr:uid="{00000000-0005-0000-0000-000030710000}"/>
    <cellStyle name="SAPBEXresItem" xfId="137" xr:uid="{00000000-0005-0000-0000-000031710000}"/>
    <cellStyle name="SAPBEXresItem 2" xfId="13671" xr:uid="{00000000-0005-0000-0000-000032710000}"/>
    <cellStyle name="SAPBEXresItem 2 2" xfId="25509" xr:uid="{00000000-0005-0000-0000-000033710000}"/>
    <cellStyle name="SAPBEXresItem 2 2 2" xfId="27662" xr:uid="{00000000-0005-0000-0000-000034710000}"/>
    <cellStyle name="SAPBEXresItem 2 2 2 2" xfId="32249" xr:uid="{52318F6E-27F6-4D80-AD02-729626C991F0}"/>
    <cellStyle name="SAPBEXresItem 2 2 3" xfId="28419" xr:uid="{00000000-0005-0000-0000-000035710000}"/>
    <cellStyle name="SAPBEXresItem 2 2 3 2" xfId="32977" xr:uid="{5A75664B-C8DE-4257-9424-DBDDE3F1779F}"/>
    <cellStyle name="SAPBEXresItem 2 2 4" xfId="27043" xr:uid="{00000000-0005-0000-0000-000036710000}"/>
    <cellStyle name="SAPBEXresItem 2 2 4 2" xfId="31791" xr:uid="{5B35A57A-187C-42BE-A5EB-F006CC4BFDE6}"/>
    <cellStyle name="SAPBEXresItem 2 2 5" xfId="29971" xr:uid="{00000000-0005-0000-0000-000037710000}"/>
    <cellStyle name="SAPBEXresItem 2 3" xfId="26613" xr:uid="{00000000-0005-0000-0000-000038710000}"/>
    <cellStyle name="SAPBEXresItem 2 3 2" xfId="31391" xr:uid="{7C00BA68-6895-4290-A316-8F64AD140FB3}"/>
    <cellStyle name="SAPBEXresItem 2 4" xfId="28418" xr:uid="{00000000-0005-0000-0000-000039710000}"/>
    <cellStyle name="SAPBEXresItem 2 4 2" xfId="32976" xr:uid="{9464EFEF-957A-44B2-95B8-698BC8C1B168}"/>
    <cellStyle name="SAPBEXresItem 2 5" xfId="26239" xr:uid="{00000000-0005-0000-0000-00003A710000}"/>
    <cellStyle name="SAPBEXresItem 2 5 2" xfId="31027" xr:uid="{40945518-8415-4E7A-92E2-942FF1F02D6F}"/>
    <cellStyle name="SAPBEXresItem 2 6" xfId="29970" xr:uid="{00000000-0005-0000-0000-00003B710000}"/>
    <cellStyle name="SAPBEXresItem 2 7" xfId="30211" xr:uid="{78D343AB-EBB6-42AF-9FD8-C037755F5D01}"/>
    <cellStyle name="SAPBEXresItem 3" xfId="24643" xr:uid="{00000000-0005-0000-0000-00003C710000}"/>
    <cellStyle name="SAPBEXresItem 3 2" xfId="25324" xr:uid="{00000000-0005-0000-0000-00003D710000}"/>
    <cellStyle name="SAPBEXresItem 3 2 2" xfId="27478" xr:uid="{00000000-0005-0000-0000-00003E710000}"/>
    <cellStyle name="SAPBEXresItem 3 2 2 2" xfId="32069" xr:uid="{E032E2A0-C6DD-4919-832C-3BFEC77D5B00}"/>
    <cellStyle name="SAPBEXresItem 3 2 3" xfId="28421" xr:uid="{00000000-0005-0000-0000-00003F710000}"/>
    <cellStyle name="SAPBEXresItem 3 2 3 2" xfId="32979" xr:uid="{DEA2BF65-5A6B-4DAA-9964-B5AD048916B4}"/>
    <cellStyle name="SAPBEXresItem 3 2 4" xfId="26285" xr:uid="{00000000-0005-0000-0000-000040710000}"/>
    <cellStyle name="SAPBEXresItem 3 2 4 2" xfId="31073" xr:uid="{C47A41FD-3666-477B-A049-2DB0FEA3B263}"/>
    <cellStyle name="SAPBEXresItem 3 2 5" xfId="29973" xr:uid="{00000000-0005-0000-0000-000041710000}"/>
    <cellStyle name="SAPBEXresItem 3 2 6" xfId="30482" xr:uid="{EE957DA7-00F2-41E3-9FB3-058F6C112041}"/>
    <cellStyle name="SAPBEXresItem 3 3" xfId="25609" xr:uid="{00000000-0005-0000-0000-000042710000}"/>
    <cellStyle name="SAPBEXresItem 3 3 2" xfId="27762" xr:uid="{00000000-0005-0000-0000-000043710000}"/>
    <cellStyle name="SAPBEXresItem 3 3 2 2" xfId="32349" xr:uid="{144E2ED6-1AB1-45A2-BB73-70FCD6BB2752}"/>
    <cellStyle name="SAPBEXresItem 3 3 3" xfId="28422" xr:uid="{00000000-0005-0000-0000-000044710000}"/>
    <cellStyle name="SAPBEXresItem 3 3 3 2" xfId="32980" xr:uid="{2EF41680-8F4C-4493-B788-EC56347BDB0E}"/>
    <cellStyle name="SAPBEXresItem 3 3 4" xfId="26758" xr:uid="{00000000-0005-0000-0000-000045710000}"/>
    <cellStyle name="SAPBEXresItem 3 3 4 2" xfId="31519" xr:uid="{3DFF23BC-0CBB-4D2E-B35E-344C5CF92F0E}"/>
    <cellStyle name="SAPBEXresItem 3 3 5" xfId="29974" xr:uid="{00000000-0005-0000-0000-000046710000}"/>
    <cellStyle name="SAPBEXresItem 3 4" xfId="27236" xr:uid="{00000000-0005-0000-0000-000047710000}"/>
    <cellStyle name="SAPBEXresItem 3 4 2" xfId="31871" xr:uid="{55B4F386-3EA2-4BB9-9065-C5B14852E81A}"/>
    <cellStyle name="SAPBEXresItem 3 5" xfId="28420" xr:uid="{00000000-0005-0000-0000-000048710000}"/>
    <cellStyle name="SAPBEXresItem 3 5 2" xfId="32978" xr:uid="{B4A332ED-A41A-4018-A852-ADA4535A31D8}"/>
    <cellStyle name="SAPBEXresItem 3 6" xfId="26262" xr:uid="{00000000-0005-0000-0000-000049710000}"/>
    <cellStyle name="SAPBEXresItem 3 6 2" xfId="31050" xr:uid="{C48287E8-D790-4437-B93E-56A7109BA769}"/>
    <cellStyle name="SAPBEXresItem 3 7" xfId="29972" xr:uid="{00000000-0005-0000-0000-00004A710000}"/>
    <cellStyle name="SAPBEXresItem 3 8" xfId="30311" xr:uid="{9A0EB819-2046-4FBA-8392-80F36F38F624}"/>
    <cellStyle name="SAPBEXresItem 4" xfId="25130" xr:uid="{00000000-0005-0000-0000-00004B710000}"/>
    <cellStyle name="SAPBEXresItem 4 2" xfId="25359" xr:uid="{00000000-0005-0000-0000-00004C710000}"/>
    <cellStyle name="SAPBEXresItem 4 2 2" xfId="27513" xr:uid="{00000000-0005-0000-0000-00004D710000}"/>
    <cellStyle name="SAPBEXresItem 4 2 2 2" xfId="32104" xr:uid="{EE3BCF92-A63B-444C-A2AA-F9ACF77F9847}"/>
    <cellStyle name="SAPBEXresItem 4 2 3" xfId="28424" xr:uid="{00000000-0005-0000-0000-00004E710000}"/>
    <cellStyle name="SAPBEXresItem 4 2 3 2" xfId="32982" xr:uid="{0269FBE7-9D4A-4F5F-895E-8B64BFABEC40}"/>
    <cellStyle name="SAPBEXresItem 4 2 4" xfId="26390" xr:uid="{00000000-0005-0000-0000-00004F710000}"/>
    <cellStyle name="SAPBEXresItem 4 2 4 2" xfId="31178" xr:uid="{84BEF513-E694-41E1-B558-8899D3741EBA}"/>
    <cellStyle name="SAPBEXresItem 4 2 5" xfId="29976" xr:uid="{00000000-0005-0000-0000-000050710000}"/>
    <cellStyle name="SAPBEXresItem 4 2 6" xfId="30517" xr:uid="{199A6A53-C134-4E05-8544-57A9EEBAF9B2}"/>
    <cellStyle name="SAPBEXresItem 4 3" xfId="25728" xr:uid="{00000000-0005-0000-0000-000051710000}"/>
    <cellStyle name="SAPBEXresItem 4 3 2" xfId="27881" xr:uid="{00000000-0005-0000-0000-000052710000}"/>
    <cellStyle name="SAPBEXresItem 4 3 2 2" xfId="32468" xr:uid="{7EBAD6C1-1A41-4837-95D6-435B661C22F6}"/>
    <cellStyle name="SAPBEXresItem 4 3 3" xfId="28425" xr:uid="{00000000-0005-0000-0000-000053710000}"/>
    <cellStyle name="SAPBEXresItem 4 3 3 2" xfId="32983" xr:uid="{FC0A1BB6-10CA-4B88-9F61-6C1B29556F38}"/>
    <cellStyle name="SAPBEXresItem 4 3 4" xfId="26089" xr:uid="{00000000-0005-0000-0000-000054710000}"/>
    <cellStyle name="SAPBEXresItem 4 3 4 2" xfId="30879" xr:uid="{59A9CB58-2C88-48DD-BD34-3A4E0B966154}"/>
    <cellStyle name="SAPBEXresItem 4 3 5" xfId="29977" xr:uid="{00000000-0005-0000-0000-000055710000}"/>
    <cellStyle name="SAPBEXresItem 4 3 6" xfId="30722" xr:uid="{178772A6-10FE-4C85-B592-4A5D5C16EE77}"/>
    <cellStyle name="SAPBEXresItem 4 4" xfId="27415" xr:uid="{00000000-0005-0000-0000-000056710000}"/>
    <cellStyle name="SAPBEXresItem 4 4 2" xfId="32013" xr:uid="{25279071-EF0D-425C-9D9D-A28C2360DE31}"/>
    <cellStyle name="SAPBEXresItem 4 5" xfId="28423" xr:uid="{00000000-0005-0000-0000-000057710000}"/>
    <cellStyle name="SAPBEXresItem 4 5 2" xfId="32981" xr:uid="{9968FDDF-5FA8-4DF4-ACC5-6B0EB42E2D6A}"/>
    <cellStyle name="SAPBEXresItem 4 6" xfId="26173" xr:uid="{00000000-0005-0000-0000-000058710000}"/>
    <cellStyle name="SAPBEXresItem 4 6 2" xfId="30962" xr:uid="{95974007-B3EA-450E-B810-D3FC78735E3E}"/>
    <cellStyle name="SAPBEXresItem 4 7" xfId="29975" xr:uid="{00000000-0005-0000-0000-000059710000}"/>
    <cellStyle name="SAPBEXresItem 4 8" xfId="30430" xr:uid="{904981E1-9E29-43EF-8495-398467FB9408}"/>
    <cellStyle name="SAPBEXresItem 5" xfId="25868" xr:uid="{00000000-0005-0000-0000-00005A710000}"/>
    <cellStyle name="SAPBEXresItem 5 2" xfId="30787" xr:uid="{FE393BF8-D47A-4458-9C26-838606B5466E}"/>
    <cellStyle name="SAPBEXresItem 6" xfId="28417" xr:uid="{00000000-0005-0000-0000-00005B710000}"/>
    <cellStyle name="SAPBEXresItem 6 2" xfId="32975" xr:uid="{7CDBB365-8C41-4429-A8E0-C34DBC7AD173}"/>
    <cellStyle name="SAPBEXresItem 7" xfId="26060" xr:uid="{00000000-0005-0000-0000-00005C710000}"/>
    <cellStyle name="SAPBEXresItem 7 2" xfId="30850" xr:uid="{52ADF58C-1D3A-402D-B2B0-7ED5A5D91DAC}"/>
    <cellStyle name="SAPBEXresItem 8" xfId="29969" xr:uid="{00000000-0005-0000-0000-00005D710000}"/>
    <cellStyle name="SAPBEXresItemX" xfId="138" xr:uid="{00000000-0005-0000-0000-00005E710000}"/>
    <cellStyle name="SAPBEXresItemX 2" xfId="13672" xr:uid="{00000000-0005-0000-0000-00005F710000}"/>
    <cellStyle name="SAPBEXresItemX 2 2" xfId="25510" xr:uid="{00000000-0005-0000-0000-000060710000}"/>
    <cellStyle name="SAPBEXresItemX 2 2 2" xfId="27663" xr:uid="{00000000-0005-0000-0000-000061710000}"/>
    <cellStyle name="SAPBEXresItemX 2 2 2 2" xfId="32250" xr:uid="{53AD8C90-FFC3-40CA-99E8-E10FD5F78BCF}"/>
    <cellStyle name="SAPBEXresItemX 2 2 3" xfId="28428" xr:uid="{00000000-0005-0000-0000-000062710000}"/>
    <cellStyle name="SAPBEXresItemX 2 2 3 2" xfId="32986" xr:uid="{410E13BF-50EC-49FF-B6BB-BC08C436225E}"/>
    <cellStyle name="SAPBEXresItemX 2 2 4" xfId="29184" xr:uid="{00000000-0005-0000-0000-000063710000}"/>
    <cellStyle name="SAPBEXresItemX 2 2 4 2" xfId="33167" xr:uid="{A910185D-1D4B-4D9D-BEB4-523F12BAF3DF}"/>
    <cellStyle name="SAPBEXresItemX 2 2 5" xfId="29980" xr:uid="{00000000-0005-0000-0000-000064710000}"/>
    <cellStyle name="SAPBEXresItemX 2 3" xfId="26614" xr:uid="{00000000-0005-0000-0000-000065710000}"/>
    <cellStyle name="SAPBEXresItemX 2 3 2" xfId="31392" xr:uid="{9A88EDBA-C65A-4099-901A-86BBFF318240}"/>
    <cellStyle name="SAPBEXresItemX 2 4" xfId="28427" xr:uid="{00000000-0005-0000-0000-000066710000}"/>
    <cellStyle name="SAPBEXresItemX 2 4 2" xfId="32985" xr:uid="{EAF16952-C87D-49F1-8AC9-AE75A91DB4D9}"/>
    <cellStyle name="SAPBEXresItemX 2 5" xfId="26964" xr:uid="{00000000-0005-0000-0000-000067710000}"/>
    <cellStyle name="SAPBEXresItemX 2 5 2" xfId="31725" xr:uid="{65017915-715F-4BC5-9781-47CEAFE8095D}"/>
    <cellStyle name="SAPBEXresItemX 2 6" xfId="29979" xr:uid="{00000000-0005-0000-0000-000068710000}"/>
    <cellStyle name="SAPBEXresItemX 2 7" xfId="30212" xr:uid="{95AF9018-89CB-4A66-8425-795779C587AC}"/>
    <cellStyle name="SAPBEXresItemX 3" xfId="24642" xr:uid="{00000000-0005-0000-0000-000069710000}"/>
    <cellStyle name="SAPBEXresItemX 3 2" xfId="25411" xr:uid="{00000000-0005-0000-0000-00006A710000}"/>
    <cellStyle name="SAPBEXresItemX 3 2 2" xfId="27565" xr:uid="{00000000-0005-0000-0000-00006B710000}"/>
    <cellStyle name="SAPBEXresItemX 3 2 2 2" xfId="32156" xr:uid="{FB8E910C-FE6C-4248-95DA-9C554E3A8F7C}"/>
    <cellStyle name="SAPBEXresItemX 3 2 3" xfId="28430" xr:uid="{00000000-0005-0000-0000-00006C710000}"/>
    <cellStyle name="SAPBEXresItemX 3 2 3 2" xfId="32988" xr:uid="{5EA8B50B-FE48-4A20-A4CF-271BFA2A5089}"/>
    <cellStyle name="SAPBEXresItemX 3 2 4" xfId="27361" xr:uid="{00000000-0005-0000-0000-00006D710000}"/>
    <cellStyle name="SAPBEXresItemX 3 2 4 2" xfId="31959" xr:uid="{95B73734-F631-4A42-8C1F-0E5B8C893550}"/>
    <cellStyle name="SAPBEXresItemX 3 2 5" xfId="29982" xr:uid="{00000000-0005-0000-0000-00006E710000}"/>
    <cellStyle name="SAPBEXresItemX 3 2 6" xfId="30569" xr:uid="{54186D70-32FB-4E0A-9FB7-944A154F4F8A}"/>
    <cellStyle name="SAPBEXresItemX 3 3" xfId="25608" xr:uid="{00000000-0005-0000-0000-00006F710000}"/>
    <cellStyle name="SAPBEXresItemX 3 3 2" xfId="27761" xr:uid="{00000000-0005-0000-0000-000070710000}"/>
    <cellStyle name="SAPBEXresItemX 3 3 2 2" xfId="32348" xr:uid="{F3D1ED86-CE02-4479-9476-87509162F45A}"/>
    <cellStyle name="SAPBEXresItemX 3 3 3" xfId="28431" xr:uid="{00000000-0005-0000-0000-000071710000}"/>
    <cellStyle name="SAPBEXresItemX 3 3 3 2" xfId="32989" xr:uid="{AD41128B-35D3-4E5F-B808-3CCD73B80ADD}"/>
    <cellStyle name="SAPBEXresItemX 3 3 4" xfId="26727" xr:uid="{00000000-0005-0000-0000-000072710000}"/>
    <cellStyle name="SAPBEXresItemX 3 3 4 2" xfId="31488" xr:uid="{0EE4D0E4-0CA6-4650-B6DB-6AC84F4C7506}"/>
    <cellStyle name="SAPBEXresItemX 3 3 5" xfId="29983" xr:uid="{00000000-0005-0000-0000-000073710000}"/>
    <cellStyle name="SAPBEXresItemX 3 4" xfId="27235" xr:uid="{00000000-0005-0000-0000-000074710000}"/>
    <cellStyle name="SAPBEXresItemX 3 4 2" xfId="31870" xr:uid="{C235107F-A795-421E-B950-9C7ED79CC2B7}"/>
    <cellStyle name="SAPBEXresItemX 3 5" xfId="28429" xr:uid="{00000000-0005-0000-0000-000075710000}"/>
    <cellStyle name="SAPBEXresItemX 3 5 2" xfId="32987" xr:uid="{7DBB8A2E-5E05-4CCD-AD0B-CF1D39A1DAE3}"/>
    <cellStyle name="SAPBEXresItemX 3 6" xfId="26786" xr:uid="{00000000-0005-0000-0000-000076710000}"/>
    <cellStyle name="SAPBEXresItemX 3 6 2" xfId="31547" xr:uid="{20754AF5-828D-4081-8ED8-34F8519C796D}"/>
    <cellStyle name="SAPBEXresItemX 3 7" xfId="29981" xr:uid="{00000000-0005-0000-0000-000077710000}"/>
    <cellStyle name="SAPBEXresItemX 3 8" xfId="30310" xr:uid="{B544BC57-376E-45F1-9BDE-EE77E1ADF4E5}"/>
    <cellStyle name="SAPBEXresItemX 4" xfId="25131" xr:uid="{00000000-0005-0000-0000-000078710000}"/>
    <cellStyle name="SAPBEXresItemX 4 2" xfId="25296" xr:uid="{00000000-0005-0000-0000-000079710000}"/>
    <cellStyle name="SAPBEXresItemX 4 2 2" xfId="27450" xr:uid="{00000000-0005-0000-0000-00007A710000}"/>
    <cellStyle name="SAPBEXresItemX 4 2 2 2" xfId="32042" xr:uid="{3F5947A9-2D16-48A7-82D1-732ACBCD3FA6}"/>
    <cellStyle name="SAPBEXresItemX 4 2 3" xfId="28433" xr:uid="{00000000-0005-0000-0000-00007B710000}"/>
    <cellStyle name="SAPBEXresItemX 4 2 3 2" xfId="32991" xr:uid="{47AE9D4A-07EC-4009-9EF4-8A043B5F3949}"/>
    <cellStyle name="SAPBEXresItemX 4 2 4" xfId="26848" xr:uid="{00000000-0005-0000-0000-00007C710000}"/>
    <cellStyle name="SAPBEXresItemX 4 2 4 2" xfId="31609" xr:uid="{E420AF74-C1CF-4754-9F10-6755AC839197}"/>
    <cellStyle name="SAPBEXresItemX 4 2 5" xfId="29985" xr:uid="{00000000-0005-0000-0000-00007D710000}"/>
    <cellStyle name="SAPBEXresItemX 4 2 6" xfId="30455" xr:uid="{91547A3D-6356-46AB-AFB2-894878C9FF00}"/>
    <cellStyle name="SAPBEXresItemX 4 3" xfId="25729" xr:uid="{00000000-0005-0000-0000-00007E710000}"/>
    <cellStyle name="SAPBEXresItemX 4 3 2" xfId="27882" xr:uid="{00000000-0005-0000-0000-00007F710000}"/>
    <cellStyle name="SAPBEXresItemX 4 3 2 2" xfId="32469" xr:uid="{5C8F957D-3317-4740-9BEA-0C1CF797DDE8}"/>
    <cellStyle name="SAPBEXresItemX 4 3 3" xfId="28434" xr:uid="{00000000-0005-0000-0000-000080710000}"/>
    <cellStyle name="SAPBEXresItemX 4 3 3 2" xfId="32992" xr:uid="{21EF1449-BD6E-4670-B181-D27EA582F915}"/>
    <cellStyle name="SAPBEXresItemX 4 3 4" xfId="26734" xr:uid="{00000000-0005-0000-0000-000081710000}"/>
    <cellStyle name="SAPBEXresItemX 4 3 4 2" xfId="31495" xr:uid="{E5B76F23-F061-4966-9C7F-C26A8FCB31BB}"/>
    <cellStyle name="SAPBEXresItemX 4 3 5" xfId="29986" xr:uid="{00000000-0005-0000-0000-000082710000}"/>
    <cellStyle name="SAPBEXresItemX 4 3 6" xfId="30723" xr:uid="{0D1CF379-DD00-4381-B474-1DDA3C24F6E0}"/>
    <cellStyle name="SAPBEXresItemX 4 4" xfId="27416" xr:uid="{00000000-0005-0000-0000-000083710000}"/>
    <cellStyle name="SAPBEXresItemX 4 4 2" xfId="32014" xr:uid="{A2F09C70-C06D-4EEC-9B40-6F787FB07970}"/>
    <cellStyle name="SAPBEXresItemX 4 5" xfId="28432" xr:uid="{00000000-0005-0000-0000-000084710000}"/>
    <cellStyle name="SAPBEXresItemX 4 5 2" xfId="32990" xr:uid="{32284CED-3766-46E0-B68B-028853F4C675}"/>
    <cellStyle name="SAPBEXresItemX 4 6" xfId="26739" xr:uid="{00000000-0005-0000-0000-000085710000}"/>
    <cellStyle name="SAPBEXresItemX 4 6 2" xfId="31500" xr:uid="{1A4E4A20-47B6-4DA8-8FA6-9BC79219F610}"/>
    <cellStyle name="SAPBEXresItemX 4 7" xfId="29984" xr:uid="{00000000-0005-0000-0000-000086710000}"/>
    <cellStyle name="SAPBEXresItemX 4 8" xfId="30431" xr:uid="{E7B623BE-0AB8-4561-9EE3-83CDC59EFB8F}"/>
    <cellStyle name="SAPBEXresItemX 5" xfId="25869" xr:uid="{00000000-0005-0000-0000-000087710000}"/>
    <cellStyle name="SAPBEXresItemX 5 2" xfId="30788" xr:uid="{5B4BD75F-F7FC-4621-8B60-BD3AF64D9C38}"/>
    <cellStyle name="SAPBEXresItemX 6" xfId="28426" xr:uid="{00000000-0005-0000-0000-000088710000}"/>
    <cellStyle name="SAPBEXresItemX 6 2" xfId="32984" xr:uid="{65594BA8-DCF8-4BE1-B0FF-F3CF7DF2C3C7}"/>
    <cellStyle name="SAPBEXresItemX 7" xfId="29256" xr:uid="{00000000-0005-0000-0000-000089710000}"/>
    <cellStyle name="SAPBEXresItemX 7 2" xfId="33238" xr:uid="{A592596F-FF36-4019-B971-D4A1C03FF47B}"/>
    <cellStyle name="SAPBEXresItemX 8" xfId="29978" xr:uid="{00000000-0005-0000-0000-00008A710000}"/>
    <cellStyle name="SAPBEXstdData" xfId="139" xr:uid="{00000000-0005-0000-0000-00008B710000}"/>
    <cellStyle name="SAPBEXstdData 10" xfId="24641" xr:uid="{00000000-0005-0000-0000-00008C710000}"/>
    <cellStyle name="SAPBEXstdData 10 2" xfId="25309" xr:uid="{00000000-0005-0000-0000-00008D710000}"/>
    <cellStyle name="SAPBEXstdData 10 2 2" xfId="27463" xr:uid="{00000000-0005-0000-0000-00008E710000}"/>
    <cellStyle name="SAPBEXstdData 10 2 2 2" xfId="32055" xr:uid="{B05E8876-BA72-4D4C-BCAC-B5AF1EBF7EBC}"/>
    <cellStyle name="SAPBEXstdData 10 2 3" xfId="28437" xr:uid="{00000000-0005-0000-0000-00008F710000}"/>
    <cellStyle name="SAPBEXstdData 10 2 3 2" xfId="32995" xr:uid="{3120BA99-0AB0-4E3D-89D0-F4E519A27F9D}"/>
    <cellStyle name="SAPBEXstdData 10 2 4" xfId="26798" xr:uid="{00000000-0005-0000-0000-000090710000}"/>
    <cellStyle name="SAPBEXstdData 10 2 4 2" xfId="31559" xr:uid="{2098688E-92E8-4866-BF5F-57C3757891C4}"/>
    <cellStyle name="SAPBEXstdData 10 2 5" xfId="29989" xr:uid="{00000000-0005-0000-0000-000091710000}"/>
    <cellStyle name="SAPBEXstdData 10 2 6" xfId="30468" xr:uid="{6E4B5D26-2C55-4608-94CC-591045C26B2A}"/>
    <cellStyle name="SAPBEXstdData 10 3" xfId="25607" xr:uid="{00000000-0005-0000-0000-000092710000}"/>
    <cellStyle name="SAPBEXstdData 10 3 2" xfId="27760" xr:uid="{00000000-0005-0000-0000-000093710000}"/>
    <cellStyle name="SAPBEXstdData 10 3 2 2" xfId="32347" xr:uid="{2C40D5AC-B23A-4B5E-A101-487CD2355C0F}"/>
    <cellStyle name="SAPBEXstdData 10 3 3" xfId="28438" xr:uid="{00000000-0005-0000-0000-000094710000}"/>
    <cellStyle name="SAPBEXstdData 10 3 3 2" xfId="32996" xr:uid="{D7CB0E92-F3FF-4595-B62A-EE09BF029DCC}"/>
    <cellStyle name="SAPBEXstdData 10 3 4" xfId="26290" xr:uid="{00000000-0005-0000-0000-000095710000}"/>
    <cellStyle name="SAPBEXstdData 10 3 4 2" xfId="31078" xr:uid="{94C58FF4-40DD-48D2-9DF3-027D1694EFF5}"/>
    <cellStyle name="SAPBEXstdData 10 3 5" xfId="29990" xr:uid="{00000000-0005-0000-0000-000096710000}"/>
    <cellStyle name="SAPBEXstdData 10 4" xfId="27234" xr:uid="{00000000-0005-0000-0000-000097710000}"/>
    <cellStyle name="SAPBEXstdData 10 4 2" xfId="31869" xr:uid="{EEDF2C85-C5B4-4E87-B729-A7051D0CF60C}"/>
    <cellStyle name="SAPBEXstdData 10 5" xfId="28436" xr:uid="{00000000-0005-0000-0000-000098710000}"/>
    <cellStyle name="SAPBEXstdData 10 5 2" xfId="32994" xr:uid="{5D5D16DB-C51D-4326-A20D-962D2B3C13F1}"/>
    <cellStyle name="SAPBEXstdData 10 6" xfId="26327" xr:uid="{00000000-0005-0000-0000-000099710000}"/>
    <cellStyle name="SAPBEXstdData 10 6 2" xfId="31115" xr:uid="{FFC23425-295C-4B87-AF5E-33C5FF5FD9EC}"/>
    <cellStyle name="SAPBEXstdData 10 7" xfId="29988" xr:uid="{00000000-0005-0000-0000-00009A710000}"/>
    <cellStyle name="SAPBEXstdData 10 8" xfId="30309" xr:uid="{0F8C9CF7-83E2-49B6-9A84-B0F894765E52}"/>
    <cellStyle name="SAPBEXstdData 11" xfId="25132" xr:uid="{00000000-0005-0000-0000-00009B710000}"/>
    <cellStyle name="SAPBEXstdData 11 2" xfId="25282" xr:uid="{00000000-0005-0000-0000-00009C710000}"/>
    <cellStyle name="SAPBEXstdData 11 2 2" xfId="27437" xr:uid="{00000000-0005-0000-0000-00009D710000}"/>
    <cellStyle name="SAPBEXstdData 11 2 2 2" xfId="32032" xr:uid="{62DD0B01-FA65-44BA-A8FD-C0EE724A195A}"/>
    <cellStyle name="SAPBEXstdData 11 2 3" xfId="28440" xr:uid="{00000000-0005-0000-0000-00009E710000}"/>
    <cellStyle name="SAPBEXstdData 11 2 3 2" xfId="32998" xr:uid="{EC1E66EE-1CE7-419C-AAA6-1D487B3297F8}"/>
    <cellStyle name="SAPBEXstdData 11 2 4" xfId="27014" xr:uid="{00000000-0005-0000-0000-00009F710000}"/>
    <cellStyle name="SAPBEXstdData 11 2 4 2" xfId="31774" xr:uid="{9E31ED2B-3822-405D-9554-2D2A8944BF89}"/>
    <cellStyle name="SAPBEXstdData 11 2 5" xfId="29992" xr:uid="{00000000-0005-0000-0000-0000A0710000}"/>
    <cellStyle name="SAPBEXstdData 11 2 6" xfId="30445" xr:uid="{EDA2700C-F3AA-43B0-9BEA-C71D3264A84E}"/>
    <cellStyle name="SAPBEXstdData 11 3" xfId="25730" xr:uid="{00000000-0005-0000-0000-0000A1710000}"/>
    <cellStyle name="SAPBEXstdData 11 3 2" xfId="27883" xr:uid="{00000000-0005-0000-0000-0000A2710000}"/>
    <cellStyle name="SAPBEXstdData 11 3 2 2" xfId="32470" xr:uid="{9AF19C54-25D6-40FF-8260-884EF5C66A41}"/>
    <cellStyle name="SAPBEXstdData 11 3 3" xfId="28441" xr:uid="{00000000-0005-0000-0000-0000A3710000}"/>
    <cellStyle name="SAPBEXstdData 11 3 3 2" xfId="32999" xr:uid="{459FA47A-62CD-4E64-AF63-7F6B6AC1BDD9}"/>
    <cellStyle name="SAPBEXstdData 11 3 4" xfId="26151" xr:uid="{00000000-0005-0000-0000-0000A4710000}"/>
    <cellStyle name="SAPBEXstdData 11 3 4 2" xfId="30940" xr:uid="{8A07657E-2A5B-41BF-A372-19136E4C3D49}"/>
    <cellStyle name="SAPBEXstdData 11 3 5" xfId="29993" xr:uid="{00000000-0005-0000-0000-0000A5710000}"/>
    <cellStyle name="SAPBEXstdData 11 3 6" xfId="30724" xr:uid="{9DB7EB20-E8B2-4F25-AD62-40A87C0D2C85}"/>
    <cellStyle name="SAPBEXstdData 11 4" xfId="27417" xr:uid="{00000000-0005-0000-0000-0000A6710000}"/>
    <cellStyle name="SAPBEXstdData 11 4 2" xfId="32015" xr:uid="{0AECD3CA-668E-4F07-B4AC-FD2C5B36CFE9}"/>
    <cellStyle name="SAPBEXstdData 11 5" xfId="28439" xr:uid="{00000000-0005-0000-0000-0000A7710000}"/>
    <cellStyle name="SAPBEXstdData 11 5 2" xfId="32997" xr:uid="{762E15EF-B237-409B-AA2C-62B5282289E4}"/>
    <cellStyle name="SAPBEXstdData 11 6" xfId="27302" xr:uid="{00000000-0005-0000-0000-0000A8710000}"/>
    <cellStyle name="SAPBEXstdData 11 6 2" xfId="31931" xr:uid="{2E10869C-7272-4D87-B130-AE094B4B93BD}"/>
    <cellStyle name="SAPBEXstdData 11 7" xfId="29991" xr:uid="{00000000-0005-0000-0000-0000A9710000}"/>
    <cellStyle name="SAPBEXstdData 11 8" xfId="30432" xr:uid="{436EB1C3-ED9C-4ACD-8AC8-9D3C8C95AF3B}"/>
    <cellStyle name="SAPBEXstdData 12" xfId="25870" xr:uid="{00000000-0005-0000-0000-0000AA710000}"/>
    <cellStyle name="SAPBEXstdData 12 2" xfId="30789" xr:uid="{0C69F05A-53E9-48FC-BE5D-7B74EBDD4371}"/>
    <cellStyle name="SAPBEXstdData 13" xfId="28435" xr:uid="{00000000-0005-0000-0000-0000AB710000}"/>
    <cellStyle name="SAPBEXstdData 13 2" xfId="32993" xr:uid="{5940534C-4A89-44CF-B18D-4E122BF547AD}"/>
    <cellStyle name="SAPBEXstdData 14" xfId="29198" xr:uid="{00000000-0005-0000-0000-0000AC710000}"/>
    <cellStyle name="SAPBEXstdData 14 2" xfId="33181" xr:uid="{85680C9A-01B0-403D-A10B-72D4097CE49F}"/>
    <cellStyle name="SAPBEXstdData 15" xfId="29987" xr:uid="{00000000-0005-0000-0000-0000AD710000}"/>
    <cellStyle name="SAPBEXstdData 2" xfId="140" xr:uid="{00000000-0005-0000-0000-0000AE710000}"/>
    <cellStyle name="SAPBEXstdData 2 2" xfId="13674" xr:uid="{00000000-0005-0000-0000-0000AF710000}"/>
    <cellStyle name="SAPBEXstdData 2 2 2" xfId="25512" xr:uid="{00000000-0005-0000-0000-0000B0710000}"/>
    <cellStyle name="SAPBEXstdData 2 2 2 2" xfId="27665" xr:uid="{00000000-0005-0000-0000-0000B1710000}"/>
    <cellStyle name="SAPBEXstdData 2 2 2 2 2" xfId="32252" xr:uid="{7CF8C022-02D9-4EA1-9FFA-4D1B8CCBF34E}"/>
    <cellStyle name="SAPBEXstdData 2 2 2 3" xfId="28444" xr:uid="{00000000-0005-0000-0000-0000B2710000}"/>
    <cellStyle name="SAPBEXstdData 2 2 2 3 2" xfId="33002" xr:uid="{EEFF2867-575E-4590-A22B-52A48595D626}"/>
    <cellStyle name="SAPBEXstdData 2 2 2 4" xfId="26229" xr:uid="{00000000-0005-0000-0000-0000B3710000}"/>
    <cellStyle name="SAPBEXstdData 2 2 2 4 2" xfId="31017" xr:uid="{739C1F9A-23FF-4538-9D5B-3D4A69CEA782}"/>
    <cellStyle name="SAPBEXstdData 2 2 2 5" xfId="29996" xr:uid="{00000000-0005-0000-0000-0000B4710000}"/>
    <cellStyle name="SAPBEXstdData 2 2 3" xfId="26616" xr:uid="{00000000-0005-0000-0000-0000B5710000}"/>
    <cellStyle name="SAPBEXstdData 2 2 3 2" xfId="31394" xr:uid="{D97D2E37-2D81-4E8D-951F-2C298928F8D2}"/>
    <cellStyle name="SAPBEXstdData 2 2 4" xfId="28443" xr:uid="{00000000-0005-0000-0000-0000B6710000}"/>
    <cellStyle name="SAPBEXstdData 2 2 4 2" xfId="33001" xr:uid="{810E784D-4E98-4C38-B9A8-2DF39F5B7278}"/>
    <cellStyle name="SAPBEXstdData 2 2 5" xfId="26400" xr:uid="{00000000-0005-0000-0000-0000B7710000}"/>
    <cellStyle name="SAPBEXstdData 2 2 5 2" xfId="31188" xr:uid="{0E8A4D13-ADDB-4233-887F-F0E753718A29}"/>
    <cellStyle name="SAPBEXstdData 2 2 6" xfId="29995" xr:uid="{00000000-0005-0000-0000-0000B8710000}"/>
    <cellStyle name="SAPBEXstdData 2 2 7" xfId="30214" xr:uid="{DFEF52C8-08FE-40F4-A24C-F40DEFF9ACAF}"/>
    <cellStyle name="SAPBEXstdData 2 3" xfId="25871" xr:uid="{00000000-0005-0000-0000-0000B9710000}"/>
    <cellStyle name="SAPBEXstdData 2 3 2" xfId="30790" xr:uid="{9B5E8483-8500-4BD1-995D-20F90515F869}"/>
    <cellStyle name="SAPBEXstdData 2 4" xfId="28442" xr:uid="{00000000-0005-0000-0000-0000BA710000}"/>
    <cellStyle name="SAPBEXstdData 2 4 2" xfId="33000" xr:uid="{12ACE4CE-F589-4CFD-898E-E70F78C34355}"/>
    <cellStyle name="SAPBEXstdData 2 5" xfId="29182" xr:uid="{00000000-0005-0000-0000-0000BB710000}"/>
    <cellStyle name="SAPBEXstdData 2 5 2" xfId="33165" xr:uid="{5EBBE023-6A7C-4CE2-A468-55D972DFF252}"/>
    <cellStyle name="SAPBEXstdData 2 6" xfId="29994" xr:uid="{00000000-0005-0000-0000-0000BC710000}"/>
    <cellStyle name="SAPBEXstdData 3" xfId="258" xr:uid="{00000000-0005-0000-0000-0000BD710000}"/>
    <cellStyle name="SAPBEXstdData 3 2" xfId="13723" xr:uid="{00000000-0005-0000-0000-0000BE710000}"/>
    <cellStyle name="SAPBEXstdData 3 2 2" xfId="25536" xr:uid="{00000000-0005-0000-0000-0000BF710000}"/>
    <cellStyle name="SAPBEXstdData 3 2 2 2" xfId="27689" xr:uid="{00000000-0005-0000-0000-0000C0710000}"/>
    <cellStyle name="SAPBEXstdData 3 2 2 2 2" xfId="32276" xr:uid="{13382D6E-105A-4546-8DE2-397ECB5A9D81}"/>
    <cellStyle name="SAPBEXstdData 3 2 2 3" xfId="28447" xr:uid="{00000000-0005-0000-0000-0000C1710000}"/>
    <cellStyle name="SAPBEXstdData 3 2 2 3 2" xfId="33005" xr:uid="{9D3966AA-D612-4B1A-9F4C-A971C9F4EB9F}"/>
    <cellStyle name="SAPBEXstdData 3 2 2 4" xfId="26475" xr:uid="{00000000-0005-0000-0000-0000C2710000}"/>
    <cellStyle name="SAPBEXstdData 3 2 2 4 2" xfId="31263" xr:uid="{0DF836AD-19C1-41E2-8B15-7317C8766CDD}"/>
    <cellStyle name="SAPBEXstdData 3 2 2 5" xfId="29999" xr:uid="{00000000-0005-0000-0000-0000C3710000}"/>
    <cellStyle name="SAPBEXstdData 3 2 3" xfId="26643" xr:uid="{00000000-0005-0000-0000-0000C4710000}"/>
    <cellStyle name="SAPBEXstdData 3 2 3 2" xfId="31420" xr:uid="{6CE9F8B1-2D67-41AC-820F-E02E60EAD317}"/>
    <cellStyle name="SAPBEXstdData 3 2 4" xfId="28446" xr:uid="{00000000-0005-0000-0000-0000C5710000}"/>
    <cellStyle name="SAPBEXstdData 3 2 4 2" xfId="33004" xr:uid="{6DB1F29A-7836-4EF0-A9E1-D4E2C311CD4A}"/>
    <cellStyle name="SAPBEXstdData 3 2 5" xfId="26482" xr:uid="{00000000-0005-0000-0000-0000C6710000}"/>
    <cellStyle name="SAPBEXstdData 3 2 5 2" xfId="31270" xr:uid="{553F2D6E-64F8-4F57-8F6F-7F51751B0401}"/>
    <cellStyle name="SAPBEXstdData 3 2 6" xfId="29998" xr:uid="{00000000-0005-0000-0000-0000C7710000}"/>
    <cellStyle name="SAPBEXstdData 3 2 7" xfId="30238" xr:uid="{4D59176C-D9B6-4692-9AB4-19B1E2B4D14C}"/>
    <cellStyle name="SAPBEXstdData 3 3" xfId="25926" xr:uid="{00000000-0005-0000-0000-0000C8710000}"/>
    <cellStyle name="SAPBEXstdData 3 3 2" xfId="30815" xr:uid="{BA922E1A-F9F7-4326-8E04-1FCD3AF3DB7E}"/>
    <cellStyle name="SAPBEXstdData 3 4" xfId="28445" xr:uid="{00000000-0005-0000-0000-0000C9710000}"/>
    <cellStyle name="SAPBEXstdData 3 4 2" xfId="33003" xr:uid="{CB0C2F93-3F21-4AD5-8427-007368EEF373}"/>
    <cellStyle name="SAPBEXstdData 3 5" xfId="27927" xr:uid="{00000000-0005-0000-0000-0000CA710000}"/>
    <cellStyle name="SAPBEXstdData 3 5 2" xfId="32485" xr:uid="{36681907-28E8-4F17-B101-B02A7B0335C6}"/>
    <cellStyle name="SAPBEXstdData 3 6" xfId="29997" xr:uid="{00000000-0005-0000-0000-0000CB710000}"/>
    <cellStyle name="SAPBEXstdData 4" xfId="259" xr:uid="{00000000-0005-0000-0000-0000CC710000}"/>
    <cellStyle name="SAPBEXstdData 4 2" xfId="13724" xr:uid="{00000000-0005-0000-0000-0000CD710000}"/>
    <cellStyle name="SAPBEXstdData 4 2 2" xfId="25537" xr:uid="{00000000-0005-0000-0000-0000CE710000}"/>
    <cellStyle name="SAPBEXstdData 4 2 2 2" xfId="27690" xr:uid="{00000000-0005-0000-0000-0000CF710000}"/>
    <cellStyle name="SAPBEXstdData 4 2 2 2 2" xfId="32277" xr:uid="{C3D37178-1243-4687-AA27-4AE2008CF5B1}"/>
    <cellStyle name="SAPBEXstdData 4 2 2 3" xfId="28450" xr:uid="{00000000-0005-0000-0000-0000D0710000}"/>
    <cellStyle name="SAPBEXstdData 4 2 2 3 2" xfId="33008" xr:uid="{6137533C-9C36-4923-93B0-AB9EFA850A69}"/>
    <cellStyle name="SAPBEXstdData 4 2 2 4" xfId="26438" xr:uid="{00000000-0005-0000-0000-0000D1710000}"/>
    <cellStyle name="SAPBEXstdData 4 2 2 4 2" xfId="31226" xr:uid="{5721256A-B2FC-4845-8F7E-BBE95A185664}"/>
    <cellStyle name="SAPBEXstdData 4 2 2 5" xfId="30002" xr:uid="{00000000-0005-0000-0000-0000D2710000}"/>
    <cellStyle name="SAPBEXstdData 4 2 3" xfId="26644" xr:uid="{00000000-0005-0000-0000-0000D3710000}"/>
    <cellStyle name="SAPBEXstdData 4 2 3 2" xfId="31421" xr:uid="{2B7DC36C-1C8B-4A64-B65D-02A8B73D71C7}"/>
    <cellStyle name="SAPBEXstdData 4 2 4" xfId="28449" xr:uid="{00000000-0005-0000-0000-0000D4710000}"/>
    <cellStyle name="SAPBEXstdData 4 2 4 2" xfId="33007" xr:uid="{386F2B08-8FB3-4407-86C3-F89D44CC2C04}"/>
    <cellStyle name="SAPBEXstdData 4 2 5" xfId="26741" xr:uid="{00000000-0005-0000-0000-0000D5710000}"/>
    <cellStyle name="SAPBEXstdData 4 2 5 2" xfId="31502" xr:uid="{C338A613-1C95-4278-8FB9-4D6201EAED65}"/>
    <cellStyle name="SAPBEXstdData 4 2 6" xfId="30001" xr:uid="{00000000-0005-0000-0000-0000D6710000}"/>
    <cellStyle name="SAPBEXstdData 4 2 7" xfId="30239" xr:uid="{096EC458-3FF2-43E1-A1F6-5838C7CCE44F}"/>
    <cellStyle name="SAPBEXstdData 4 3" xfId="25927" xr:uid="{00000000-0005-0000-0000-0000D7710000}"/>
    <cellStyle name="SAPBEXstdData 4 3 2" xfId="30816" xr:uid="{1355830C-8261-4079-94F9-5431238621DB}"/>
    <cellStyle name="SAPBEXstdData 4 4" xfId="28448" xr:uid="{00000000-0005-0000-0000-0000D8710000}"/>
    <cellStyle name="SAPBEXstdData 4 4 2" xfId="33006" xr:uid="{AA8C8842-1256-4F06-A9B4-0503D8051E85}"/>
    <cellStyle name="SAPBEXstdData 4 5" xfId="27928" xr:uid="{00000000-0005-0000-0000-0000D9710000}"/>
    <cellStyle name="SAPBEXstdData 4 5 2" xfId="32486" xr:uid="{73928584-F901-48E9-9EB0-BC57D7B7C8E6}"/>
    <cellStyle name="SAPBEXstdData 4 6" xfId="30000" xr:uid="{00000000-0005-0000-0000-0000DA710000}"/>
    <cellStyle name="SAPBEXstdData 5" xfId="260" xr:uid="{00000000-0005-0000-0000-0000DB710000}"/>
    <cellStyle name="SAPBEXstdData 5 2" xfId="13725" xr:uid="{00000000-0005-0000-0000-0000DC710000}"/>
    <cellStyle name="SAPBEXstdData 5 2 2" xfId="25538" xr:uid="{00000000-0005-0000-0000-0000DD710000}"/>
    <cellStyle name="SAPBEXstdData 5 2 2 2" xfId="27691" xr:uid="{00000000-0005-0000-0000-0000DE710000}"/>
    <cellStyle name="SAPBEXstdData 5 2 2 2 2" xfId="32278" xr:uid="{A512DC99-19C6-4C59-A94B-9546900850FC}"/>
    <cellStyle name="SAPBEXstdData 5 2 2 3" xfId="28453" xr:uid="{00000000-0005-0000-0000-0000DF710000}"/>
    <cellStyle name="SAPBEXstdData 5 2 2 3 2" xfId="33011" xr:uid="{4F105195-5BB0-4831-A6B8-C078303734D8}"/>
    <cellStyle name="SAPBEXstdData 5 2 2 4" xfId="26419" xr:uid="{00000000-0005-0000-0000-0000E0710000}"/>
    <cellStyle name="SAPBEXstdData 5 2 2 4 2" xfId="31207" xr:uid="{777FFAFA-E68C-4C66-B6A6-7D2365A9ECD3}"/>
    <cellStyle name="SAPBEXstdData 5 2 2 5" xfId="30005" xr:uid="{00000000-0005-0000-0000-0000E1710000}"/>
    <cellStyle name="SAPBEXstdData 5 2 3" xfId="26645" xr:uid="{00000000-0005-0000-0000-0000E2710000}"/>
    <cellStyle name="SAPBEXstdData 5 2 3 2" xfId="31422" xr:uid="{5A0B12DF-FF47-47EC-BB0D-F02BD6C7668C}"/>
    <cellStyle name="SAPBEXstdData 5 2 4" xfId="28452" xr:uid="{00000000-0005-0000-0000-0000E3710000}"/>
    <cellStyle name="SAPBEXstdData 5 2 4 2" xfId="33010" xr:uid="{29F6836E-4864-4D9F-BF8A-9FCFCEA72DE4}"/>
    <cellStyle name="SAPBEXstdData 5 2 5" xfId="26259" xr:uid="{00000000-0005-0000-0000-0000E4710000}"/>
    <cellStyle name="SAPBEXstdData 5 2 5 2" xfId="31047" xr:uid="{92C2CDA4-2107-4FD0-81B5-00022EA4E2B8}"/>
    <cellStyle name="SAPBEXstdData 5 2 6" xfId="30004" xr:uid="{00000000-0005-0000-0000-0000E5710000}"/>
    <cellStyle name="SAPBEXstdData 5 2 7" xfId="30240" xr:uid="{C015ED9E-10EB-4B07-8F67-D4EDB7D49790}"/>
    <cellStyle name="SAPBEXstdData 5 3" xfId="25928" xr:uid="{00000000-0005-0000-0000-0000E6710000}"/>
    <cellStyle name="SAPBEXstdData 5 3 2" xfId="30817" xr:uid="{4C0E11B8-45DA-4D62-ADB6-067A073CB0DD}"/>
    <cellStyle name="SAPBEXstdData 5 4" xfId="28451" xr:uid="{00000000-0005-0000-0000-0000E7710000}"/>
    <cellStyle name="SAPBEXstdData 5 4 2" xfId="33009" xr:uid="{231ED612-7EFC-4B98-8698-AAB8CC248A4D}"/>
    <cellStyle name="SAPBEXstdData 5 5" xfId="28568" xr:uid="{00000000-0005-0000-0000-0000E8710000}"/>
    <cellStyle name="SAPBEXstdData 5 5 2" xfId="33126" xr:uid="{A4346555-7686-4575-B879-7FA803203005}"/>
    <cellStyle name="SAPBEXstdData 5 6" xfId="30003" xr:uid="{00000000-0005-0000-0000-0000E9710000}"/>
    <cellStyle name="SAPBEXstdData 6" xfId="261" xr:uid="{00000000-0005-0000-0000-0000EA710000}"/>
    <cellStyle name="SAPBEXstdData 6 2" xfId="13726" xr:uid="{00000000-0005-0000-0000-0000EB710000}"/>
    <cellStyle name="SAPBEXstdData 6 2 2" xfId="25539" xr:uid="{00000000-0005-0000-0000-0000EC710000}"/>
    <cellStyle name="SAPBEXstdData 6 2 2 2" xfId="27692" xr:uid="{00000000-0005-0000-0000-0000ED710000}"/>
    <cellStyle name="SAPBEXstdData 6 2 2 2 2" xfId="32279" xr:uid="{ECB69947-A60B-4E67-8174-4DD9966BE067}"/>
    <cellStyle name="SAPBEXstdData 6 2 2 3" xfId="28456" xr:uid="{00000000-0005-0000-0000-0000EE710000}"/>
    <cellStyle name="SAPBEXstdData 6 2 2 3 2" xfId="33014" xr:uid="{7317279E-711B-45F7-810E-D923C0528B7B}"/>
    <cellStyle name="SAPBEXstdData 6 2 2 4" xfId="26098" xr:uid="{00000000-0005-0000-0000-0000EF710000}"/>
    <cellStyle name="SAPBEXstdData 6 2 2 4 2" xfId="30888" xr:uid="{37DC453A-E91E-4C94-A2B8-CCB381944492}"/>
    <cellStyle name="SAPBEXstdData 6 2 2 5" xfId="30008" xr:uid="{00000000-0005-0000-0000-0000F0710000}"/>
    <cellStyle name="SAPBEXstdData 6 2 3" xfId="26646" xr:uid="{00000000-0005-0000-0000-0000F1710000}"/>
    <cellStyle name="SAPBEXstdData 6 2 3 2" xfId="31423" xr:uid="{9B050B83-861C-4718-9DBE-917C3F6F4AF0}"/>
    <cellStyle name="SAPBEXstdData 6 2 4" xfId="28455" xr:uid="{00000000-0005-0000-0000-0000F2710000}"/>
    <cellStyle name="SAPBEXstdData 6 2 4 2" xfId="33013" xr:uid="{7405DCA3-1F8D-4026-BE19-911A01BE113D}"/>
    <cellStyle name="SAPBEXstdData 6 2 5" xfId="26863" xr:uid="{00000000-0005-0000-0000-0000F3710000}"/>
    <cellStyle name="SAPBEXstdData 6 2 5 2" xfId="31624" xr:uid="{8C144ABE-4980-4003-8D69-2D52CB28A52B}"/>
    <cellStyle name="SAPBEXstdData 6 2 6" xfId="30007" xr:uid="{00000000-0005-0000-0000-0000F4710000}"/>
    <cellStyle name="SAPBEXstdData 6 2 7" xfId="30241" xr:uid="{0B28B474-ACF4-4B60-A1DC-EE1FD952C416}"/>
    <cellStyle name="SAPBEXstdData 6 3" xfId="25929" xr:uid="{00000000-0005-0000-0000-0000F5710000}"/>
    <cellStyle name="SAPBEXstdData 6 3 2" xfId="30818" xr:uid="{B47014C3-78AC-4AC8-B38B-A1DF7A383AC6}"/>
    <cellStyle name="SAPBEXstdData 6 4" xfId="28454" xr:uid="{00000000-0005-0000-0000-0000F6710000}"/>
    <cellStyle name="SAPBEXstdData 6 4 2" xfId="33012" xr:uid="{1187B200-02AB-4CC3-9B22-483132479092}"/>
    <cellStyle name="SAPBEXstdData 6 5" xfId="28569" xr:uid="{00000000-0005-0000-0000-0000F7710000}"/>
    <cellStyle name="SAPBEXstdData 6 5 2" xfId="33127" xr:uid="{36A26F5A-037E-4960-886E-0DEFE69034DA}"/>
    <cellStyle name="SAPBEXstdData 6 6" xfId="30006" xr:uid="{00000000-0005-0000-0000-0000F8710000}"/>
    <cellStyle name="SAPBEXstdData 7" xfId="262" xr:uid="{00000000-0005-0000-0000-0000F9710000}"/>
    <cellStyle name="SAPBEXstdData 7 2" xfId="30009" xr:uid="{00000000-0005-0000-0000-0000FA710000}"/>
    <cellStyle name="SAPBEXstdData 8" xfId="415" xr:uid="{00000000-0005-0000-0000-0000FB710000}"/>
    <cellStyle name="SAPBEXstdData 8 2" xfId="13794" xr:uid="{00000000-0005-0000-0000-0000FC710000}"/>
    <cellStyle name="SAPBEXstdData 8 2 2" xfId="25552" xr:uid="{00000000-0005-0000-0000-0000FD710000}"/>
    <cellStyle name="SAPBEXstdData 8 2 2 2" xfId="27705" xr:uid="{00000000-0005-0000-0000-0000FE710000}"/>
    <cellStyle name="SAPBEXstdData 8 2 2 2 2" xfId="32292" xr:uid="{2F350E49-9E79-4B62-B68F-BACE6ED48024}"/>
    <cellStyle name="SAPBEXstdData 8 2 2 3" xfId="28459" xr:uid="{00000000-0005-0000-0000-0000FF710000}"/>
    <cellStyle name="SAPBEXstdData 8 2 2 3 2" xfId="33017" xr:uid="{8C200174-1AA0-4019-AEB3-6E3846E819E0}"/>
    <cellStyle name="SAPBEXstdData 8 2 2 4" xfId="26456" xr:uid="{00000000-0005-0000-0000-000000720000}"/>
    <cellStyle name="SAPBEXstdData 8 2 2 4 2" xfId="31244" xr:uid="{5EA6F7B7-D4C0-4E42-B0AA-0EF20F2A0F4A}"/>
    <cellStyle name="SAPBEXstdData 8 2 2 5" xfId="30012" xr:uid="{00000000-0005-0000-0000-000001720000}"/>
    <cellStyle name="SAPBEXstdData 8 2 3" xfId="26669" xr:uid="{00000000-0005-0000-0000-000002720000}"/>
    <cellStyle name="SAPBEXstdData 8 2 3 2" xfId="31437" xr:uid="{E3CDF642-70ED-4426-B25F-180C63757242}"/>
    <cellStyle name="SAPBEXstdData 8 2 4" xfId="28458" xr:uid="{00000000-0005-0000-0000-000003720000}"/>
    <cellStyle name="SAPBEXstdData 8 2 4 2" xfId="33016" xr:uid="{0C2235BF-8EE0-4059-AAC2-78B7C08C06F6}"/>
    <cellStyle name="SAPBEXstdData 8 2 5" xfId="26076" xr:uid="{00000000-0005-0000-0000-000004720000}"/>
    <cellStyle name="SAPBEXstdData 8 2 5 2" xfId="30866" xr:uid="{D1E09095-3BFB-43DC-ACDA-F4AC2A2310BA}"/>
    <cellStyle name="SAPBEXstdData 8 2 6" xfId="30011" xr:uid="{00000000-0005-0000-0000-000005720000}"/>
    <cellStyle name="SAPBEXstdData 8 2 7" xfId="30254" xr:uid="{EFA4FADD-D61A-4AF5-94C0-0F270D52EBCD}"/>
    <cellStyle name="SAPBEXstdData 8 3" xfId="26010" xr:uid="{00000000-0005-0000-0000-000006720000}"/>
    <cellStyle name="SAPBEXstdData 8 3 2" xfId="30831" xr:uid="{C0F43442-2780-4A71-B5DA-82402504CA59}"/>
    <cellStyle name="SAPBEXstdData 8 4" xfId="28457" xr:uid="{00000000-0005-0000-0000-000007720000}"/>
    <cellStyle name="SAPBEXstdData 8 4 2" xfId="33015" xr:uid="{7660F239-36E9-4A4B-9CD9-0FCA13A7551F}"/>
    <cellStyle name="SAPBEXstdData 8 5" xfId="29216" xr:uid="{00000000-0005-0000-0000-000008720000}"/>
    <cellStyle name="SAPBEXstdData 8 5 2" xfId="33199" xr:uid="{FA836CD4-D54D-47B9-AC47-BDC617F36541}"/>
    <cellStyle name="SAPBEXstdData 8 6" xfId="30010" xr:uid="{00000000-0005-0000-0000-000009720000}"/>
    <cellStyle name="SAPBEXstdData 9" xfId="13673" xr:uid="{00000000-0005-0000-0000-00000A720000}"/>
    <cellStyle name="SAPBEXstdData 9 2" xfId="25511" xr:uid="{00000000-0005-0000-0000-00000B720000}"/>
    <cellStyle name="SAPBEXstdData 9 2 2" xfId="27664" xr:uid="{00000000-0005-0000-0000-00000C720000}"/>
    <cellStyle name="SAPBEXstdData 9 2 2 2" xfId="32251" xr:uid="{C26862EF-59CB-4964-8AA0-E4667E73DDA2}"/>
    <cellStyle name="SAPBEXstdData 9 2 3" xfId="28461" xr:uid="{00000000-0005-0000-0000-00000D720000}"/>
    <cellStyle name="SAPBEXstdData 9 2 3 2" xfId="33019" xr:uid="{CB89FF5F-F813-4921-8CC8-8A6E28971297}"/>
    <cellStyle name="SAPBEXstdData 9 2 4" xfId="26049" xr:uid="{00000000-0005-0000-0000-00000E720000}"/>
    <cellStyle name="SAPBEXstdData 9 2 4 2" xfId="30841" xr:uid="{3DEF1656-BCE4-4674-A01A-674865A15F0F}"/>
    <cellStyle name="SAPBEXstdData 9 2 5" xfId="30014" xr:uid="{00000000-0005-0000-0000-00000F720000}"/>
    <cellStyle name="SAPBEXstdData 9 3" xfId="26615" xr:uid="{00000000-0005-0000-0000-000010720000}"/>
    <cellStyle name="SAPBEXstdData 9 3 2" xfId="31393" xr:uid="{0F4C5B58-B276-43B0-AC0D-D489FB5206A0}"/>
    <cellStyle name="SAPBEXstdData 9 4" xfId="28460" xr:uid="{00000000-0005-0000-0000-000011720000}"/>
    <cellStyle name="SAPBEXstdData 9 4 2" xfId="33018" xr:uid="{B3516FEC-E82F-43D0-B5B8-EA90D8717362}"/>
    <cellStyle name="SAPBEXstdData 9 5" xfId="26329" xr:uid="{00000000-0005-0000-0000-000012720000}"/>
    <cellStyle name="SAPBEXstdData 9 5 2" xfId="31117" xr:uid="{59B1AE19-21BA-4E3E-845C-E45F3CE75F1E}"/>
    <cellStyle name="SAPBEXstdData 9 6" xfId="30013" xr:uid="{00000000-0005-0000-0000-000013720000}"/>
    <cellStyle name="SAPBEXstdData 9 7" xfId="30213" xr:uid="{48941877-D26B-4771-9716-4D46534FE40E}"/>
    <cellStyle name="SAPBEXstdData_Copy of xSAPtemp5457" xfId="263" xr:uid="{00000000-0005-0000-0000-000014720000}"/>
    <cellStyle name="SAPBEXstdDataEmph" xfId="141" xr:uid="{00000000-0005-0000-0000-000015720000}"/>
    <cellStyle name="SAPBEXstdDataEmph 2" xfId="13675" xr:uid="{00000000-0005-0000-0000-000016720000}"/>
    <cellStyle name="SAPBEXstdDataEmph 2 2" xfId="25513" xr:uid="{00000000-0005-0000-0000-000017720000}"/>
    <cellStyle name="SAPBEXstdDataEmph 2 2 2" xfId="27666" xr:uid="{00000000-0005-0000-0000-000018720000}"/>
    <cellStyle name="SAPBEXstdDataEmph 2 2 2 2" xfId="32253" xr:uid="{6C649EDB-A2F5-40C0-A2A7-C7264DEDF202}"/>
    <cellStyle name="SAPBEXstdDataEmph 2 2 3" xfId="28464" xr:uid="{00000000-0005-0000-0000-000019720000}"/>
    <cellStyle name="SAPBEXstdDataEmph 2 2 3 2" xfId="33022" xr:uid="{940E1A11-B64C-44DD-912B-78DAE898F187}"/>
    <cellStyle name="SAPBEXstdDataEmph 2 2 4" xfId="26985" xr:uid="{00000000-0005-0000-0000-00001A720000}"/>
    <cellStyle name="SAPBEXstdDataEmph 2 2 4 2" xfId="31746" xr:uid="{848A66EA-CBA5-46DA-9012-B484E6B8A73C}"/>
    <cellStyle name="SAPBEXstdDataEmph 2 2 5" xfId="30017" xr:uid="{00000000-0005-0000-0000-00001B720000}"/>
    <cellStyle name="SAPBEXstdDataEmph 2 3" xfId="26617" xr:uid="{00000000-0005-0000-0000-00001C720000}"/>
    <cellStyle name="SAPBEXstdDataEmph 2 3 2" xfId="31395" xr:uid="{097D0D70-26EE-4CA9-B363-7D9BB207809B}"/>
    <cellStyle name="SAPBEXstdDataEmph 2 4" xfId="28463" xr:uid="{00000000-0005-0000-0000-00001D720000}"/>
    <cellStyle name="SAPBEXstdDataEmph 2 4 2" xfId="33021" xr:uid="{8BAE36D8-5132-45D4-B409-1D80B3F3B201}"/>
    <cellStyle name="SAPBEXstdDataEmph 2 5" xfId="26823" xr:uid="{00000000-0005-0000-0000-00001E720000}"/>
    <cellStyle name="SAPBEXstdDataEmph 2 5 2" xfId="31584" xr:uid="{241EC948-B9DC-4DB5-98C3-4D70862923BD}"/>
    <cellStyle name="SAPBEXstdDataEmph 2 6" xfId="30016" xr:uid="{00000000-0005-0000-0000-00001F720000}"/>
    <cellStyle name="SAPBEXstdDataEmph 2 7" xfId="30215" xr:uid="{14432CF8-CB79-4547-B514-2B092D099D46}"/>
    <cellStyle name="SAPBEXstdDataEmph 3" xfId="24640" xr:uid="{00000000-0005-0000-0000-000020720000}"/>
    <cellStyle name="SAPBEXstdDataEmph 3 2" xfId="25401" xr:uid="{00000000-0005-0000-0000-000021720000}"/>
    <cellStyle name="SAPBEXstdDataEmph 3 2 2" xfId="27555" xr:uid="{00000000-0005-0000-0000-000022720000}"/>
    <cellStyle name="SAPBEXstdDataEmph 3 2 2 2" xfId="32146" xr:uid="{92034934-59B1-4B47-97C8-01E0BBA5E1CC}"/>
    <cellStyle name="SAPBEXstdDataEmph 3 2 3" xfId="28466" xr:uid="{00000000-0005-0000-0000-000023720000}"/>
    <cellStyle name="SAPBEXstdDataEmph 3 2 3 2" xfId="33024" xr:uid="{1292078A-90F8-4801-974C-C127B9217E47}"/>
    <cellStyle name="SAPBEXstdDataEmph 3 2 4" xfId="26462" xr:uid="{00000000-0005-0000-0000-000024720000}"/>
    <cellStyle name="SAPBEXstdDataEmph 3 2 4 2" xfId="31250" xr:uid="{E0E2A86E-8DB5-4FE4-A024-9EB12F258DEE}"/>
    <cellStyle name="SAPBEXstdDataEmph 3 2 5" xfId="30019" xr:uid="{00000000-0005-0000-0000-000025720000}"/>
    <cellStyle name="SAPBEXstdDataEmph 3 2 6" xfId="30559" xr:uid="{E8986772-1807-4A47-8012-BA5F428AEC62}"/>
    <cellStyle name="SAPBEXstdDataEmph 3 3" xfId="25606" xr:uid="{00000000-0005-0000-0000-000026720000}"/>
    <cellStyle name="SAPBEXstdDataEmph 3 3 2" xfId="27759" xr:uid="{00000000-0005-0000-0000-000027720000}"/>
    <cellStyle name="SAPBEXstdDataEmph 3 3 2 2" xfId="32346" xr:uid="{C84438FF-9D79-4980-AFF1-D1AC31684EA7}"/>
    <cellStyle name="SAPBEXstdDataEmph 3 3 3" xfId="28467" xr:uid="{00000000-0005-0000-0000-000028720000}"/>
    <cellStyle name="SAPBEXstdDataEmph 3 3 3 2" xfId="33025" xr:uid="{C95F8EE6-DCE2-4C3A-BD77-3F85B187D19B}"/>
    <cellStyle name="SAPBEXstdDataEmph 3 3 4" xfId="27299" xr:uid="{00000000-0005-0000-0000-000029720000}"/>
    <cellStyle name="SAPBEXstdDataEmph 3 3 4 2" xfId="31928" xr:uid="{FEA5A6FE-BF89-4B8A-A339-9EBDB37695FA}"/>
    <cellStyle name="SAPBEXstdDataEmph 3 3 5" xfId="30020" xr:uid="{00000000-0005-0000-0000-00002A720000}"/>
    <cellStyle name="SAPBEXstdDataEmph 3 4" xfId="27233" xr:uid="{00000000-0005-0000-0000-00002B720000}"/>
    <cellStyle name="SAPBEXstdDataEmph 3 4 2" xfId="31868" xr:uid="{3F71C599-362F-4AFA-A546-C7178FF950FB}"/>
    <cellStyle name="SAPBEXstdDataEmph 3 5" xfId="28465" xr:uid="{00000000-0005-0000-0000-00002C720000}"/>
    <cellStyle name="SAPBEXstdDataEmph 3 5 2" xfId="33023" xr:uid="{9DB387F2-BC1A-4200-A51D-1206CF697C38}"/>
    <cellStyle name="SAPBEXstdDataEmph 3 6" xfId="26309" xr:uid="{00000000-0005-0000-0000-00002D720000}"/>
    <cellStyle name="SAPBEXstdDataEmph 3 6 2" xfId="31097" xr:uid="{59ED7346-941B-41AE-9498-B31ADC581229}"/>
    <cellStyle name="SAPBEXstdDataEmph 3 7" xfId="30018" xr:uid="{00000000-0005-0000-0000-00002E720000}"/>
    <cellStyle name="SAPBEXstdDataEmph 3 8" xfId="30308" xr:uid="{7BF7292D-ED29-4A4F-9629-9CA4D29C1449}"/>
    <cellStyle name="SAPBEXstdDataEmph 4" xfId="25133" xr:uid="{00000000-0005-0000-0000-00002F720000}"/>
    <cellStyle name="SAPBEXstdDataEmph 4 2" xfId="25365" xr:uid="{00000000-0005-0000-0000-000030720000}"/>
    <cellStyle name="SAPBEXstdDataEmph 4 2 2" xfId="27519" xr:uid="{00000000-0005-0000-0000-000031720000}"/>
    <cellStyle name="SAPBEXstdDataEmph 4 2 2 2" xfId="32110" xr:uid="{C3DB6E0D-4C64-402F-AF6F-F87EC42A57A0}"/>
    <cellStyle name="SAPBEXstdDataEmph 4 2 3" xfId="28469" xr:uid="{00000000-0005-0000-0000-000032720000}"/>
    <cellStyle name="SAPBEXstdDataEmph 4 2 3 2" xfId="33027" xr:uid="{03DB1558-DFB9-44E7-8AF1-A00784726736}"/>
    <cellStyle name="SAPBEXstdDataEmph 4 2 4" xfId="26106" xr:uid="{00000000-0005-0000-0000-000033720000}"/>
    <cellStyle name="SAPBEXstdDataEmph 4 2 4 2" xfId="30896" xr:uid="{C145BEC5-B10F-41E8-8AA1-8065C6991384}"/>
    <cellStyle name="SAPBEXstdDataEmph 4 2 5" xfId="30022" xr:uid="{00000000-0005-0000-0000-000034720000}"/>
    <cellStyle name="SAPBEXstdDataEmph 4 2 6" xfId="30523" xr:uid="{B93307D7-4979-4CF4-8FCC-E3E0ABBD6DE6}"/>
    <cellStyle name="SAPBEXstdDataEmph 4 3" xfId="25731" xr:uid="{00000000-0005-0000-0000-000035720000}"/>
    <cellStyle name="SAPBEXstdDataEmph 4 3 2" xfId="27884" xr:uid="{00000000-0005-0000-0000-000036720000}"/>
    <cellStyle name="SAPBEXstdDataEmph 4 3 2 2" xfId="32471" xr:uid="{2E6FCE45-E9CC-4CDE-BF1A-7E92C0EF760E}"/>
    <cellStyle name="SAPBEXstdDataEmph 4 3 3" xfId="28470" xr:uid="{00000000-0005-0000-0000-000037720000}"/>
    <cellStyle name="SAPBEXstdDataEmph 4 3 3 2" xfId="33028" xr:uid="{955BB6CF-61D1-4756-83E9-9A56A20CB11C}"/>
    <cellStyle name="SAPBEXstdDataEmph 4 3 4" xfId="27013" xr:uid="{00000000-0005-0000-0000-000038720000}"/>
    <cellStyle name="SAPBEXstdDataEmph 4 3 4 2" xfId="31773" xr:uid="{B086D7B8-C840-48B7-A6D0-B7DAEF42AAB1}"/>
    <cellStyle name="SAPBEXstdDataEmph 4 3 5" xfId="30023" xr:uid="{00000000-0005-0000-0000-000039720000}"/>
    <cellStyle name="SAPBEXstdDataEmph 4 3 6" xfId="30725" xr:uid="{735FE7FD-41B0-401E-8EBE-0E809E5745CA}"/>
    <cellStyle name="SAPBEXstdDataEmph 4 4" xfId="27418" xr:uid="{00000000-0005-0000-0000-00003A720000}"/>
    <cellStyle name="SAPBEXstdDataEmph 4 4 2" xfId="32016" xr:uid="{84EE8AAE-91BA-4DEF-9C49-A1058B424518}"/>
    <cellStyle name="SAPBEXstdDataEmph 4 5" xfId="28468" xr:uid="{00000000-0005-0000-0000-00003B720000}"/>
    <cellStyle name="SAPBEXstdDataEmph 4 5 2" xfId="33026" xr:uid="{66822EB3-F42A-4099-8615-39FEB50EA92A}"/>
    <cellStyle name="SAPBEXstdDataEmph 4 6" xfId="26816" xr:uid="{00000000-0005-0000-0000-00003C720000}"/>
    <cellStyle name="SAPBEXstdDataEmph 4 6 2" xfId="31577" xr:uid="{2231C6E4-FE15-40CC-A8E4-67C8AD8E35C3}"/>
    <cellStyle name="SAPBEXstdDataEmph 4 7" xfId="30021" xr:uid="{00000000-0005-0000-0000-00003D720000}"/>
    <cellStyle name="SAPBEXstdDataEmph 4 8" xfId="30433" xr:uid="{7E7934BB-4CDE-4914-ADFD-6F133E14CD07}"/>
    <cellStyle name="SAPBEXstdDataEmph 5" xfId="25872" xr:uid="{00000000-0005-0000-0000-00003E720000}"/>
    <cellStyle name="SAPBEXstdDataEmph 5 2" xfId="30791" xr:uid="{565538A6-2502-4992-A7FB-98538A320F68}"/>
    <cellStyle name="SAPBEXstdDataEmph 6" xfId="28462" xr:uid="{00000000-0005-0000-0000-00003F720000}"/>
    <cellStyle name="SAPBEXstdDataEmph 6 2" xfId="33020" xr:uid="{9AFAABCD-7C3C-416C-BEE5-F95693649CF4}"/>
    <cellStyle name="SAPBEXstdDataEmph 7" xfId="29246" xr:uid="{00000000-0005-0000-0000-000040720000}"/>
    <cellStyle name="SAPBEXstdDataEmph 7 2" xfId="33228" xr:uid="{DD80551F-22CF-41D5-A477-5E2B829C95F9}"/>
    <cellStyle name="SAPBEXstdDataEmph 8" xfId="30015" xr:uid="{00000000-0005-0000-0000-000041720000}"/>
    <cellStyle name="SAPBEXstdItem" xfId="142" xr:uid="{00000000-0005-0000-0000-000042720000}"/>
    <cellStyle name="SAPBEXstdItem 10" xfId="13676" xr:uid="{00000000-0005-0000-0000-000043720000}"/>
    <cellStyle name="SAPBEXstdItem 10 2" xfId="25514" xr:uid="{00000000-0005-0000-0000-000044720000}"/>
    <cellStyle name="SAPBEXstdItem 10 2 2" xfId="27667" xr:uid="{00000000-0005-0000-0000-000045720000}"/>
    <cellStyle name="SAPBEXstdItem 10 2 2 2" xfId="32254" xr:uid="{7D516838-2059-4549-BF1E-17D4AE5F6889}"/>
    <cellStyle name="SAPBEXstdItem 10 2 3" xfId="28473" xr:uid="{00000000-0005-0000-0000-000046720000}"/>
    <cellStyle name="SAPBEXstdItem 10 2 3 2" xfId="33031" xr:uid="{5F895FB3-966C-44C4-849F-34E9E656E6B7}"/>
    <cellStyle name="SAPBEXstdItem 10 2 4" xfId="26956" xr:uid="{00000000-0005-0000-0000-000047720000}"/>
    <cellStyle name="SAPBEXstdItem 10 2 4 2" xfId="31717" xr:uid="{E188FEB3-1FDF-4FE9-AA13-17537B49E2C0}"/>
    <cellStyle name="SAPBEXstdItem 10 2 5" xfId="30026" xr:uid="{00000000-0005-0000-0000-000048720000}"/>
    <cellStyle name="SAPBEXstdItem 10 3" xfId="26618" xr:uid="{00000000-0005-0000-0000-000049720000}"/>
    <cellStyle name="SAPBEXstdItem 10 3 2" xfId="31396" xr:uid="{E82856EF-9F70-42EA-B44B-61410958F902}"/>
    <cellStyle name="SAPBEXstdItem 10 4" xfId="28472" xr:uid="{00000000-0005-0000-0000-00004A720000}"/>
    <cellStyle name="SAPBEXstdItem 10 4 2" xfId="33030" xr:uid="{043BF500-34B1-466D-8CB2-D76B146B9567}"/>
    <cellStyle name="SAPBEXstdItem 10 5" xfId="26494" xr:uid="{00000000-0005-0000-0000-00004B720000}"/>
    <cellStyle name="SAPBEXstdItem 10 5 2" xfId="31282" xr:uid="{CEAC0034-716C-4DE0-B62B-8A2432C96AD3}"/>
    <cellStyle name="SAPBEXstdItem 10 6" xfId="30025" xr:uid="{00000000-0005-0000-0000-00004C720000}"/>
    <cellStyle name="SAPBEXstdItem 10 7" xfId="30216" xr:uid="{1E91C4F7-07F4-4518-B240-4C92F223DC71}"/>
    <cellStyle name="SAPBEXstdItem 11" xfId="24639" xr:uid="{00000000-0005-0000-0000-00004D720000}"/>
    <cellStyle name="SAPBEXstdItem 11 2" xfId="25385" xr:uid="{00000000-0005-0000-0000-00004E720000}"/>
    <cellStyle name="SAPBEXstdItem 11 2 2" xfId="27539" xr:uid="{00000000-0005-0000-0000-00004F720000}"/>
    <cellStyle name="SAPBEXstdItem 11 2 2 2" xfId="32130" xr:uid="{02BEAEA3-DCF8-4973-9D3E-A7F611D9F75E}"/>
    <cellStyle name="SAPBEXstdItem 11 2 3" xfId="28475" xr:uid="{00000000-0005-0000-0000-000050720000}"/>
    <cellStyle name="SAPBEXstdItem 11 2 3 2" xfId="33033" xr:uid="{37057B8F-AC3B-48A3-8A72-17B997A3BF6E}"/>
    <cellStyle name="SAPBEXstdItem 11 2 4" xfId="26455" xr:uid="{00000000-0005-0000-0000-000051720000}"/>
    <cellStyle name="SAPBEXstdItem 11 2 4 2" xfId="31243" xr:uid="{36F12AA0-35D3-4E9B-A301-E890BC29AF02}"/>
    <cellStyle name="SAPBEXstdItem 11 2 5" xfId="30028" xr:uid="{00000000-0005-0000-0000-000052720000}"/>
    <cellStyle name="SAPBEXstdItem 11 2 6" xfId="30543" xr:uid="{E134D3F1-720F-4874-A32F-8529DCD2F790}"/>
    <cellStyle name="SAPBEXstdItem 11 3" xfId="25605" xr:uid="{00000000-0005-0000-0000-000053720000}"/>
    <cellStyle name="SAPBEXstdItem 11 3 2" xfId="27758" xr:uid="{00000000-0005-0000-0000-000054720000}"/>
    <cellStyle name="SAPBEXstdItem 11 3 2 2" xfId="32345" xr:uid="{B4A2052D-72BA-4A55-8B1F-1CB6B713AB48}"/>
    <cellStyle name="SAPBEXstdItem 11 3 3" xfId="28476" xr:uid="{00000000-0005-0000-0000-000055720000}"/>
    <cellStyle name="SAPBEXstdItem 11 3 3 2" xfId="33034" xr:uid="{69024373-1E71-4559-BD1C-D4F2788C10F1}"/>
    <cellStyle name="SAPBEXstdItem 11 3 4" xfId="26812" xr:uid="{00000000-0005-0000-0000-000056720000}"/>
    <cellStyle name="SAPBEXstdItem 11 3 4 2" xfId="31573" xr:uid="{C89EDFA2-E246-4599-9154-B4B08FD77D65}"/>
    <cellStyle name="SAPBEXstdItem 11 3 5" xfId="30029" xr:uid="{00000000-0005-0000-0000-000057720000}"/>
    <cellStyle name="SAPBEXstdItem 11 4" xfId="27232" xr:uid="{00000000-0005-0000-0000-000058720000}"/>
    <cellStyle name="SAPBEXstdItem 11 4 2" xfId="31867" xr:uid="{7889C2A1-42D6-48E0-95D1-F1BB65C8FB84}"/>
    <cellStyle name="SAPBEXstdItem 11 5" xfId="28474" xr:uid="{00000000-0005-0000-0000-000059720000}"/>
    <cellStyle name="SAPBEXstdItem 11 5 2" xfId="33032" xr:uid="{5F6E539F-F53C-44AC-9347-B925503AD9B1}"/>
    <cellStyle name="SAPBEXstdItem 11 6" xfId="26384" xr:uid="{00000000-0005-0000-0000-00005A720000}"/>
    <cellStyle name="SAPBEXstdItem 11 6 2" xfId="31172" xr:uid="{FC60DFD3-0147-41BF-B105-6E95D68F2FDE}"/>
    <cellStyle name="SAPBEXstdItem 11 7" xfId="30027" xr:uid="{00000000-0005-0000-0000-00005B720000}"/>
    <cellStyle name="SAPBEXstdItem 11 8" xfId="30307" xr:uid="{2AF6E124-2F3F-4F8D-A7EA-049A1A01AF25}"/>
    <cellStyle name="SAPBEXstdItem 12" xfId="25134" xr:uid="{00000000-0005-0000-0000-00005C720000}"/>
    <cellStyle name="SAPBEXstdItem 12 2" xfId="25379" xr:uid="{00000000-0005-0000-0000-00005D720000}"/>
    <cellStyle name="SAPBEXstdItem 12 2 2" xfId="27533" xr:uid="{00000000-0005-0000-0000-00005E720000}"/>
    <cellStyle name="SAPBEXstdItem 12 2 2 2" xfId="32124" xr:uid="{D27E560F-9BF6-4229-9F1A-498B4DD98F63}"/>
    <cellStyle name="SAPBEXstdItem 12 2 3" xfId="28478" xr:uid="{00000000-0005-0000-0000-00005F720000}"/>
    <cellStyle name="SAPBEXstdItem 12 2 3 2" xfId="33036" xr:uid="{D844B4D7-CD17-4B05-BFC5-ACE730F2582E}"/>
    <cellStyle name="SAPBEXstdItem 12 2 4" xfId="26136" xr:uid="{00000000-0005-0000-0000-000060720000}"/>
    <cellStyle name="SAPBEXstdItem 12 2 4 2" xfId="30926" xr:uid="{5B3C1DA1-79AF-44B7-B530-E884DD7C41BC}"/>
    <cellStyle name="SAPBEXstdItem 12 2 5" xfId="30031" xr:uid="{00000000-0005-0000-0000-000061720000}"/>
    <cellStyle name="SAPBEXstdItem 12 2 6" xfId="30537" xr:uid="{1B85A3BF-9FC1-4D77-9F42-13F96FAC7F22}"/>
    <cellStyle name="SAPBEXstdItem 12 3" xfId="25732" xr:uid="{00000000-0005-0000-0000-000062720000}"/>
    <cellStyle name="SAPBEXstdItem 12 3 2" xfId="27885" xr:uid="{00000000-0005-0000-0000-000063720000}"/>
    <cellStyle name="SAPBEXstdItem 12 3 2 2" xfId="32472" xr:uid="{E45C59CD-23E8-4BE9-BB2E-F3F2B3BBE5E7}"/>
    <cellStyle name="SAPBEXstdItem 12 3 3" xfId="28479" xr:uid="{00000000-0005-0000-0000-000064720000}"/>
    <cellStyle name="SAPBEXstdItem 12 3 3 2" xfId="33037" xr:uid="{B276B874-BD72-4BDE-A8A0-3462BC9F5443}"/>
    <cellStyle name="SAPBEXstdItem 12 3 4" xfId="26369" xr:uid="{00000000-0005-0000-0000-000065720000}"/>
    <cellStyle name="SAPBEXstdItem 12 3 4 2" xfId="31157" xr:uid="{E644A67F-BDAC-41F3-84E3-2DF7986CAEC0}"/>
    <cellStyle name="SAPBEXstdItem 12 3 5" xfId="30032" xr:uid="{00000000-0005-0000-0000-000066720000}"/>
    <cellStyle name="SAPBEXstdItem 12 3 6" xfId="30726" xr:uid="{19016C21-975C-4390-A620-1E379C7B2287}"/>
    <cellStyle name="SAPBEXstdItem 12 4" xfId="27419" xr:uid="{00000000-0005-0000-0000-000067720000}"/>
    <cellStyle name="SAPBEXstdItem 12 4 2" xfId="32017" xr:uid="{DE928E43-71EE-45CB-9CEA-A4F481339B5B}"/>
    <cellStyle name="SAPBEXstdItem 12 5" xfId="28477" xr:uid="{00000000-0005-0000-0000-000068720000}"/>
    <cellStyle name="SAPBEXstdItem 12 5 2" xfId="33035" xr:uid="{A6840F9F-DA6C-4DB5-9F48-9F9FC63770E6}"/>
    <cellStyle name="SAPBEXstdItem 12 6" xfId="26452" xr:uid="{00000000-0005-0000-0000-000069720000}"/>
    <cellStyle name="SAPBEXstdItem 12 6 2" xfId="31240" xr:uid="{D8656223-C067-43D5-812E-64BB93BDD6EC}"/>
    <cellStyle name="SAPBEXstdItem 12 7" xfId="30030" xr:uid="{00000000-0005-0000-0000-00006A720000}"/>
    <cellStyle name="SAPBEXstdItem 12 8" xfId="30434" xr:uid="{FDE54373-F2BC-40DB-BE8D-7BA59BAC4E44}"/>
    <cellStyle name="SAPBEXstdItem 13" xfId="25873" xr:uid="{00000000-0005-0000-0000-00006B720000}"/>
    <cellStyle name="SAPBEXstdItem 13 2" xfId="30792" xr:uid="{B15561DA-BA49-4E99-9D4F-1DDA8061DEDF}"/>
    <cellStyle name="SAPBEXstdItem 14" xfId="28471" xr:uid="{00000000-0005-0000-0000-00006C720000}"/>
    <cellStyle name="SAPBEXstdItem 14 2" xfId="33029" xr:uid="{AE37E7B4-FAA3-402F-A678-168F87B1E84D}"/>
    <cellStyle name="SAPBEXstdItem 15" xfId="29209" xr:uid="{00000000-0005-0000-0000-00006D720000}"/>
    <cellStyle name="SAPBEXstdItem 15 2" xfId="33192" xr:uid="{1DE7E4B1-6DAB-4F2F-ADFC-1B7C186465CE}"/>
    <cellStyle name="SAPBEXstdItem 16" xfId="30024" xr:uid="{00000000-0005-0000-0000-00006E720000}"/>
    <cellStyle name="SAPBEXstdItem 2" xfId="143" xr:uid="{00000000-0005-0000-0000-00006F720000}"/>
    <cellStyle name="SAPBEXstdItem 2 2" xfId="13677" xr:uid="{00000000-0005-0000-0000-000070720000}"/>
    <cellStyle name="SAPBEXstdItem 2 2 2" xfId="25515" xr:uid="{00000000-0005-0000-0000-000071720000}"/>
    <cellStyle name="SAPBEXstdItem 2 2 2 2" xfId="27668" xr:uid="{00000000-0005-0000-0000-000072720000}"/>
    <cellStyle name="SAPBEXstdItem 2 2 2 2 2" xfId="32255" xr:uid="{696E9D6A-C1B3-4AA3-AD6A-87722D7571B7}"/>
    <cellStyle name="SAPBEXstdItem 2 2 2 3" xfId="28482" xr:uid="{00000000-0005-0000-0000-000073720000}"/>
    <cellStyle name="SAPBEXstdItem 2 2 2 3 2" xfId="33040" xr:uid="{6BF646E8-E27D-4DD5-B34F-F8BF8E1EE11C}"/>
    <cellStyle name="SAPBEXstdItem 2 2 2 4" xfId="26943" xr:uid="{00000000-0005-0000-0000-000074720000}"/>
    <cellStyle name="SAPBEXstdItem 2 2 2 4 2" xfId="31704" xr:uid="{4C72149F-6ECC-4652-B466-CD99280FAD44}"/>
    <cellStyle name="SAPBEXstdItem 2 2 2 5" xfId="30035" xr:uid="{00000000-0005-0000-0000-000075720000}"/>
    <cellStyle name="SAPBEXstdItem 2 2 3" xfId="26619" xr:uid="{00000000-0005-0000-0000-000076720000}"/>
    <cellStyle name="SAPBEXstdItem 2 2 3 2" xfId="31397" xr:uid="{7C978F41-27D8-480E-B306-7FA8B2900AC4}"/>
    <cellStyle name="SAPBEXstdItem 2 2 4" xfId="28481" xr:uid="{00000000-0005-0000-0000-000077720000}"/>
    <cellStyle name="SAPBEXstdItem 2 2 4 2" xfId="33039" xr:uid="{E29D8BD4-78EB-4195-8E9A-68118CC55C74}"/>
    <cellStyle name="SAPBEXstdItem 2 2 5" xfId="26514" xr:uid="{00000000-0005-0000-0000-000078720000}"/>
    <cellStyle name="SAPBEXstdItem 2 2 5 2" xfId="31302" xr:uid="{F63CBD9C-1327-4193-8051-294F91FF2D59}"/>
    <cellStyle name="SAPBEXstdItem 2 2 6" xfId="30034" xr:uid="{00000000-0005-0000-0000-000079720000}"/>
    <cellStyle name="SAPBEXstdItem 2 2 7" xfId="30217" xr:uid="{CF994EC1-D8C3-4EB2-9A75-5E70A7D56FB3}"/>
    <cellStyle name="SAPBEXstdItem 2 3" xfId="25874" xr:uid="{00000000-0005-0000-0000-00007A720000}"/>
    <cellStyle name="SAPBEXstdItem 2 3 2" xfId="30793" xr:uid="{EA128775-1CBF-4AEA-9D27-9D5EA39C04F2}"/>
    <cellStyle name="SAPBEXstdItem 2 4" xfId="28480" xr:uid="{00000000-0005-0000-0000-00007B720000}"/>
    <cellStyle name="SAPBEXstdItem 2 4 2" xfId="33038" xr:uid="{E0AA107B-C196-4163-9C91-F27A7D044E97}"/>
    <cellStyle name="SAPBEXstdItem 2 5" xfId="26050" xr:uid="{00000000-0005-0000-0000-00007C720000}"/>
    <cellStyle name="SAPBEXstdItem 2 5 2" xfId="30842" xr:uid="{99293753-3EA6-4A60-AD32-F1125BCB9804}"/>
    <cellStyle name="SAPBEXstdItem 2 6" xfId="30033" xr:uid="{00000000-0005-0000-0000-00007D720000}"/>
    <cellStyle name="SAPBEXstdItem 3" xfId="264" xr:uid="{00000000-0005-0000-0000-00007E720000}"/>
    <cellStyle name="SAPBEXstdItem 3 2" xfId="13727" xr:uid="{00000000-0005-0000-0000-00007F720000}"/>
    <cellStyle name="SAPBEXstdItem 3 2 2" xfId="25540" xr:uid="{00000000-0005-0000-0000-000080720000}"/>
    <cellStyle name="SAPBEXstdItem 3 2 2 2" xfId="27693" xr:uid="{00000000-0005-0000-0000-000081720000}"/>
    <cellStyle name="SAPBEXstdItem 3 2 2 2 2" xfId="32280" xr:uid="{6985C235-AFF0-4F97-9938-F58B5CFC5A9E}"/>
    <cellStyle name="SAPBEXstdItem 3 2 2 3" xfId="28485" xr:uid="{00000000-0005-0000-0000-000082720000}"/>
    <cellStyle name="SAPBEXstdItem 3 2 2 3 2" xfId="33043" xr:uid="{6A6A8FA8-BACD-47C1-A580-4243E59733A2}"/>
    <cellStyle name="SAPBEXstdItem 3 2 2 4" xfId="26696" xr:uid="{00000000-0005-0000-0000-000083720000}"/>
    <cellStyle name="SAPBEXstdItem 3 2 2 4 2" xfId="31458" xr:uid="{FCE8D75C-BD5C-48FA-96F5-9338A6092641}"/>
    <cellStyle name="SAPBEXstdItem 3 2 2 5" xfId="30038" xr:uid="{00000000-0005-0000-0000-000084720000}"/>
    <cellStyle name="SAPBEXstdItem 3 2 3" xfId="26647" xr:uid="{00000000-0005-0000-0000-000085720000}"/>
    <cellStyle name="SAPBEXstdItem 3 2 3 2" xfId="31424" xr:uid="{87C21466-7482-44B5-8CFE-BE7C7B976A4F}"/>
    <cellStyle name="SAPBEXstdItem 3 2 4" xfId="28484" xr:uid="{00000000-0005-0000-0000-000086720000}"/>
    <cellStyle name="SAPBEXstdItem 3 2 4 2" xfId="33042" xr:uid="{0110FBA5-9D1D-48C4-8501-A2FA48B3EC7B}"/>
    <cellStyle name="SAPBEXstdItem 3 2 5" xfId="26242" xr:uid="{00000000-0005-0000-0000-000087720000}"/>
    <cellStyle name="SAPBEXstdItem 3 2 5 2" xfId="31030" xr:uid="{7405C4C0-AE2D-4335-9D17-B9A90015A59A}"/>
    <cellStyle name="SAPBEXstdItem 3 2 6" xfId="30037" xr:uid="{00000000-0005-0000-0000-000088720000}"/>
    <cellStyle name="SAPBEXstdItem 3 2 7" xfId="30242" xr:uid="{DFECBD3B-2808-4947-A060-1025849DBB5E}"/>
    <cellStyle name="SAPBEXstdItem 3 3" xfId="25930" xr:uid="{00000000-0005-0000-0000-000089720000}"/>
    <cellStyle name="SAPBEXstdItem 3 3 2" xfId="30819" xr:uid="{90A9C38F-F533-4290-828F-050A4CFE7DB3}"/>
    <cellStyle name="SAPBEXstdItem 3 4" xfId="28483" xr:uid="{00000000-0005-0000-0000-00008A720000}"/>
    <cellStyle name="SAPBEXstdItem 3 4 2" xfId="33041" xr:uid="{DB02B5ED-8DAA-429C-B3E8-D97C4760D959}"/>
    <cellStyle name="SAPBEXstdItem 3 5" xfId="27929" xr:uid="{00000000-0005-0000-0000-00008B720000}"/>
    <cellStyle name="SAPBEXstdItem 3 5 2" xfId="32487" xr:uid="{96285822-A17F-4307-B5E4-3926E2C1CEFE}"/>
    <cellStyle name="SAPBEXstdItem 3 6" xfId="30036" xr:uid="{00000000-0005-0000-0000-00008C720000}"/>
    <cellStyle name="SAPBEXstdItem 4" xfId="265" xr:uid="{00000000-0005-0000-0000-00008D720000}"/>
    <cellStyle name="SAPBEXstdItem 4 2" xfId="13728" xr:uid="{00000000-0005-0000-0000-00008E720000}"/>
    <cellStyle name="SAPBEXstdItem 4 2 2" xfId="25541" xr:uid="{00000000-0005-0000-0000-00008F720000}"/>
    <cellStyle name="SAPBEXstdItem 4 2 2 2" xfId="27694" xr:uid="{00000000-0005-0000-0000-000090720000}"/>
    <cellStyle name="SAPBEXstdItem 4 2 2 2 2" xfId="32281" xr:uid="{BA55B361-4B9D-4F73-A554-BE337B3695C9}"/>
    <cellStyle name="SAPBEXstdItem 4 2 2 3" xfId="28488" xr:uid="{00000000-0005-0000-0000-000091720000}"/>
    <cellStyle name="SAPBEXstdItem 4 2 2 3 2" xfId="33046" xr:uid="{59935496-8342-40CF-8F6B-68A5DDCE2877}"/>
    <cellStyle name="SAPBEXstdItem 4 2 2 4" xfId="26160" xr:uid="{00000000-0005-0000-0000-000092720000}"/>
    <cellStyle name="SAPBEXstdItem 4 2 2 4 2" xfId="30949" xr:uid="{838666B9-E9A6-435B-83E0-2167E01C3C7A}"/>
    <cellStyle name="SAPBEXstdItem 4 2 2 5" xfId="30041" xr:uid="{00000000-0005-0000-0000-000093720000}"/>
    <cellStyle name="SAPBEXstdItem 4 2 3" xfId="26648" xr:uid="{00000000-0005-0000-0000-000094720000}"/>
    <cellStyle name="SAPBEXstdItem 4 2 3 2" xfId="31425" xr:uid="{D0DDBB1F-5634-45F6-BDB2-C1A1BE05E9B3}"/>
    <cellStyle name="SAPBEXstdItem 4 2 4" xfId="28487" xr:uid="{00000000-0005-0000-0000-000095720000}"/>
    <cellStyle name="SAPBEXstdItem 4 2 4 2" xfId="33045" xr:uid="{7D0C6730-F3AB-461C-88D0-38BD0C44178B}"/>
    <cellStyle name="SAPBEXstdItem 4 2 5" xfId="26118" xr:uid="{00000000-0005-0000-0000-000096720000}"/>
    <cellStyle name="SAPBEXstdItem 4 2 5 2" xfId="30908" xr:uid="{2F4A2F80-FA9C-4A8B-8303-BBEBD72A48FD}"/>
    <cellStyle name="SAPBEXstdItem 4 2 6" xfId="30040" xr:uid="{00000000-0005-0000-0000-000097720000}"/>
    <cellStyle name="SAPBEXstdItem 4 2 7" xfId="30243" xr:uid="{3D600FC7-16B8-47FA-8F80-96BAD9BF94CB}"/>
    <cellStyle name="SAPBEXstdItem 4 3" xfId="25931" xr:uid="{00000000-0005-0000-0000-000098720000}"/>
    <cellStyle name="SAPBEXstdItem 4 3 2" xfId="30820" xr:uid="{B96F8E83-4834-4CDE-84B6-90336E133109}"/>
    <cellStyle name="SAPBEXstdItem 4 4" xfId="28486" xr:uid="{00000000-0005-0000-0000-000099720000}"/>
    <cellStyle name="SAPBEXstdItem 4 4 2" xfId="33044" xr:uid="{88B94184-2749-4E6E-B69A-2E52FCDC5D1C}"/>
    <cellStyle name="SAPBEXstdItem 4 5" xfId="29217" xr:uid="{00000000-0005-0000-0000-00009A720000}"/>
    <cellStyle name="SAPBEXstdItem 4 5 2" xfId="33200" xr:uid="{EC8D61F5-2AFF-4C1E-809B-5CD5F6276A41}"/>
    <cellStyle name="SAPBEXstdItem 4 6" xfId="30039" xr:uid="{00000000-0005-0000-0000-00009B720000}"/>
    <cellStyle name="SAPBEXstdItem 5" xfId="266" xr:uid="{00000000-0005-0000-0000-00009C720000}"/>
    <cellStyle name="SAPBEXstdItem 5 2" xfId="13729" xr:uid="{00000000-0005-0000-0000-00009D720000}"/>
    <cellStyle name="SAPBEXstdItem 5 2 2" xfId="25542" xr:uid="{00000000-0005-0000-0000-00009E720000}"/>
    <cellStyle name="SAPBEXstdItem 5 2 2 2" xfId="27695" xr:uid="{00000000-0005-0000-0000-00009F720000}"/>
    <cellStyle name="SAPBEXstdItem 5 2 2 2 2" xfId="32282" xr:uid="{8AB2937F-3855-466C-8513-5A2CA4D9C60D}"/>
    <cellStyle name="SAPBEXstdItem 5 2 2 3" xfId="28491" xr:uid="{00000000-0005-0000-0000-0000A0720000}"/>
    <cellStyle name="SAPBEXstdItem 5 2 2 3 2" xfId="33049" xr:uid="{97F5E2E8-943D-4712-A72D-9C87792233CB}"/>
    <cellStyle name="SAPBEXstdItem 5 2 2 4" xfId="26979" xr:uid="{00000000-0005-0000-0000-0000A1720000}"/>
    <cellStyle name="SAPBEXstdItem 5 2 2 4 2" xfId="31740" xr:uid="{CE9C04E6-1564-4660-88BB-1A46D22F771A}"/>
    <cellStyle name="SAPBEXstdItem 5 2 2 5" xfId="30044" xr:uid="{00000000-0005-0000-0000-0000A2720000}"/>
    <cellStyle name="SAPBEXstdItem 5 2 3" xfId="26649" xr:uid="{00000000-0005-0000-0000-0000A3720000}"/>
    <cellStyle name="SAPBEXstdItem 5 2 3 2" xfId="31426" xr:uid="{67FEBB94-350B-4639-A157-37401D1093B2}"/>
    <cellStyle name="SAPBEXstdItem 5 2 4" xfId="28490" xr:uid="{00000000-0005-0000-0000-0000A4720000}"/>
    <cellStyle name="SAPBEXstdItem 5 2 4 2" xfId="33048" xr:uid="{B3151FFB-8738-4439-886E-6D5AA2B63BC8}"/>
    <cellStyle name="SAPBEXstdItem 5 2 5" xfId="26736" xr:uid="{00000000-0005-0000-0000-0000A5720000}"/>
    <cellStyle name="SAPBEXstdItem 5 2 5 2" xfId="31497" xr:uid="{31443F00-E23F-4A6D-9818-37B9187F851C}"/>
    <cellStyle name="SAPBEXstdItem 5 2 6" xfId="30043" xr:uid="{00000000-0005-0000-0000-0000A6720000}"/>
    <cellStyle name="SAPBEXstdItem 5 2 7" xfId="30244" xr:uid="{3FA22EDC-745E-47D4-BAC0-F42AB0837140}"/>
    <cellStyle name="SAPBEXstdItem 5 3" xfId="25932" xr:uid="{00000000-0005-0000-0000-0000A7720000}"/>
    <cellStyle name="SAPBEXstdItem 5 3 2" xfId="30821" xr:uid="{704D1973-5298-4610-BCC8-865BE2BA0ABB}"/>
    <cellStyle name="SAPBEXstdItem 5 4" xfId="28489" xr:uid="{00000000-0005-0000-0000-0000A8720000}"/>
    <cellStyle name="SAPBEXstdItem 5 4 2" xfId="33047" xr:uid="{17ABF4AF-C1AE-449F-BC1A-645A4F542230}"/>
    <cellStyle name="SAPBEXstdItem 5 5" xfId="26818" xr:uid="{00000000-0005-0000-0000-0000A9720000}"/>
    <cellStyle name="SAPBEXstdItem 5 5 2" xfId="31579" xr:uid="{5EA776B2-B43E-4AD5-97E6-3F43F4C48838}"/>
    <cellStyle name="SAPBEXstdItem 5 6" xfId="30042" xr:uid="{00000000-0005-0000-0000-0000AA720000}"/>
    <cellStyle name="SAPBEXstdItem 6" xfId="267" xr:uid="{00000000-0005-0000-0000-0000AB720000}"/>
    <cellStyle name="SAPBEXstdItem 6 2" xfId="13730" xr:uid="{00000000-0005-0000-0000-0000AC720000}"/>
    <cellStyle name="SAPBEXstdItem 6 2 2" xfId="25543" xr:uid="{00000000-0005-0000-0000-0000AD720000}"/>
    <cellStyle name="SAPBEXstdItem 6 2 2 2" xfId="27696" xr:uid="{00000000-0005-0000-0000-0000AE720000}"/>
    <cellStyle name="SAPBEXstdItem 6 2 2 2 2" xfId="32283" xr:uid="{2D740B26-59CB-4597-B548-C02B489D9AA7}"/>
    <cellStyle name="SAPBEXstdItem 6 2 2 3" xfId="28494" xr:uid="{00000000-0005-0000-0000-0000AF720000}"/>
    <cellStyle name="SAPBEXstdItem 6 2 2 3 2" xfId="33052" xr:uid="{30F72A85-F673-4D64-B204-B373C5977653}"/>
    <cellStyle name="SAPBEXstdItem 6 2 2 4" xfId="26990" xr:uid="{00000000-0005-0000-0000-0000B0720000}"/>
    <cellStyle name="SAPBEXstdItem 6 2 2 4 2" xfId="31751" xr:uid="{8588298E-827D-4779-94CA-26B2C9A0D8AE}"/>
    <cellStyle name="SAPBEXstdItem 6 2 2 5" xfId="30047" xr:uid="{00000000-0005-0000-0000-0000B1720000}"/>
    <cellStyle name="SAPBEXstdItem 6 2 3" xfId="26650" xr:uid="{00000000-0005-0000-0000-0000B2720000}"/>
    <cellStyle name="SAPBEXstdItem 6 2 3 2" xfId="31427" xr:uid="{0B066A34-38E4-4AA9-BDDC-5B769B9E89BE}"/>
    <cellStyle name="SAPBEXstdItem 6 2 4" xfId="28493" xr:uid="{00000000-0005-0000-0000-0000B3720000}"/>
    <cellStyle name="SAPBEXstdItem 6 2 4 2" xfId="33051" xr:uid="{700E2564-6A4F-4F27-9425-884ED2289BFC}"/>
    <cellStyle name="SAPBEXstdItem 6 2 5" xfId="26714" xr:uid="{00000000-0005-0000-0000-0000B4720000}"/>
    <cellStyle name="SAPBEXstdItem 6 2 5 2" xfId="31476" xr:uid="{44221BFB-7587-4B39-89A3-2D6105BFF88E}"/>
    <cellStyle name="SAPBEXstdItem 6 2 6" xfId="30046" xr:uid="{00000000-0005-0000-0000-0000B5720000}"/>
    <cellStyle name="SAPBEXstdItem 6 2 7" xfId="30245" xr:uid="{FC078262-2F3C-4771-888F-BA5155B57ED8}"/>
    <cellStyle name="SAPBEXstdItem 6 3" xfId="25933" xr:uid="{00000000-0005-0000-0000-0000B6720000}"/>
    <cellStyle name="SAPBEXstdItem 6 3 2" xfId="30822" xr:uid="{D21B78F2-CF4E-4ED4-A0BC-1F74A4210DAA}"/>
    <cellStyle name="SAPBEXstdItem 6 4" xfId="28492" xr:uid="{00000000-0005-0000-0000-0000B7720000}"/>
    <cellStyle name="SAPBEXstdItem 6 4 2" xfId="33050" xr:uid="{1663D4C5-1AFA-46B6-B267-9398D61DA737}"/>
    <cellStyle name="SAPBEXstdItem 6 5" xfId="29222" xr:uid="{00000000-0005-0000-0000-0000B8720000}"/>
    <cellStyle name="SAPBEXstdItem 6 5 2" xfId="33205" xr:uid="{C7AF8F48-C2F8-4193-87FB-C5D69D620641}"/>
    <cellStyle name="SAPBEXstdItem 6 6" xfId="30045" xr:uid="{00000000-0005-0000-0000-0000B9720000}"/>
    <cellStyle name="SAPBEXstdItem 7" xfId="268" xr:uid="{00000000-0005-0000-0000-0000BA720000}"/>
    <cellStyle name="SAPBEXstdItem 7 2" xfId="13731" xr:uid="{00000000-0005-0000-0000-0000BB720000}"/>
    <cellStyle name="SAPBEXstdItem 7 2 2" xfId="25544" xr:uid="{00000000-0005-0000-0000-0000BC720000}"/>
    <cellStyle name="SAPBEXstdItem 7 2 2 2" xfId="27697" xr:uid="{00000000-0005-0000-0000-0000BD720000}"/>
    <cellStyle name="SAPBEXstdItem 7 2 2 2 2" xfId="32284" xr:uid="{E21CDEFD-7E91-42C0-92DD-9EA523EEC3AF}"/>
    <cellStyle name="SAPBEXstdItem 7 2 2 3" xfId="28497" xr:uid="{00000000-0005-0000-0000-0000BE720000}"/>
    <cellStyle name="SAPBEXstdItem 7 2 2 3 2" xfId="33055" xr:uid="{0270057D-A899-47A1-BD5A-9BF688C52639}"/>
    <cellStyle name="SAPBEXstdItem 7 2 2 4" xfId="26468" xr:uid="{00000000-0005-0000-0000-0000BF720000}"/>
    <cellStyle name="SAPBEXstdItem 7 2 2 4 2" xfId="31256" xr:uid="{EAE69160-DA68-4209-A242-83C57F08876E}"/>
    <cellStyle name="SAPBEXstdItem 7 2 2 5" xfId="30050" xr:uid="{00000000-0005-0000-0000-0000C0720000}"/>
    <cellStyle name="SAPBEXstdItem 7 2 3" xfId="26651" xr:uid="{00000000-0005-0000-0000-0000C1720000}"/>
    <cellStyle name="SAPBEXstdItem 7 2 3 2" xfId="31428" xr:uid="{35738A9C-30BB-40FC-9184-44086A11D765}"/>
    <cellStyle name="SAPBEXstdItem 7 2 4" xfId="28496" xr:uid="{00000000-0005-0000-0000-0000C2720000}"/>
    <cellStyle name="SAPBEXstdItem 7 2 4 2" xfId="33054" xr:uid="{26567702-F94E-4923-A2A7-9C79EEF88D27}"/>
    <cellStyle name="SAPBEXstdItem 7 2 5" xfId="27015" xr:uid="{00000000-0005-0000-0000-0000C3720000}"/>
    <cellStyle name="SAPBEXstdItem 7 2 5 2" xfId="31775" xr:uid="{FD77F79D-D49D-488E-BBFD-9EC8514538ED}"/>
    <cellStyle name="SAPBEXstdItem 7 2 6" xfId="30049" xr:uid="{00000000-0005-0000-0000-0000C4720000}"/>
    <cellStyle name="SAPBEXstdItem 7 2 7" xfId="30246" xr:uid="{61361662-69CD-4397-BBF9-B0081A913AD2}"/>
    <cellStyle name="SAPBEXstdItem 7 3" xfId="25934" xr:uid="{00000000-0005-0000-0000-0000C5720000}"/>
    <cellStyle name="SAPBEXstdItem 7 3 2" xfId="30823" xr:uid="{B1B4484C-EC93-4362-9EB8-C48F0316CCB3}"/>
    <cellStyle name="SAPBEXstdItem 7 4" xfId="28495" xr:uid="{00000000-0005-0000-0000-0000C6720000}"/>
    <cellStyle name="SAPBEXstdItem 7 4 2" xfId="33053" xr:uid="{E9338782-8223-4DD7-9738-8EFEA1E61D8E}"/>
    <cellStyle name="SAPBEXstdItem 7 5" xfId="26223" xr:uid="{00000000-0005-0000-0000-0000C7720000}"/>
    <cellStyle name="SAPBEXstdItem 7 5 2" xfId="31011" xr:uid="{0EEA543C-F7F4-4BE2-BF84-38EC12740A9D}"/>
    <cellStyle name="SAPBEXstdItem 7 6" xfId="30048" xr:uid="{00000000-0005-0000-0000-0000C8720000}"/>
    <cellStyle name="SAPBEXstdItem 8" xfId="416" xr:uid="{00000000-0005-0000-0000-0000C9720000}"/>
    <cellStyle name="SAPBEXstdItem 8 2" xfId="13795" xr:uid="{00000000-0005-0000-0000-0000CA720000}"/>
    <cellStyle name="SAPBEXstdItem 8 2 2" xfId="25553" xr:uid="{00000000-0005-0000-0000-0000CB720000}"/>
    <cellStyle name="SAPBEXstdItem 8 2 2 2" xfId="27706" xr:uid="{00000000-0005-0000-0000-0000CC720000}"/>
    <cellStyle name="SAPBEXstdItem 8 2 2 2 2" xfId="32293" xr:uid="{D30D4205-5F54-4900-9916-E4441AA7CA4F}"/>
    <cellStyle name="SAPBEXstdItem 8 2 2 3" xfId="28500" xr:uid="{00000000-0005-0000-0000-0000CD720000}"/>
    <cellStyle name="SAPBEXstdItem 8 2 2 3 2" xfId="33058" xr:uid="{7332AD0A-8557-49CF-9956-71FF6D895310}"/>
    <cellStyle name="SAPBEXstdItem 8 2 2 4" xfId="26129" xr:uid="{00000000-0005-0000-0000-0000CE720000}"/>
    <cellStyle name="SAPBEXstdItem 8 2 2 4 2" xfId="30919" xr:uid="{AAF40E07-866B-45F0-9F7A-6D9459E65E19}"/>
    <cellStyle name="SAPBEXstdItem 8 2 2 5" xfId="30053" xr:uid="{00000000-0005-0000-0000-0000CF720000}"/>
    <cellStyle name="SAPBEXstdItem 8 2 3" xfId="26670" xr:uid="{00000000-0005-0000-0000-0000D0720000}"/>
    <cellStyle name="SAPBEXstdItem 8 2 3 2" xfId="31438" xr:uid="{2A2D3166-BAB0-47E2-924D-3DD0C1176EDD}"/>
    <cellStyle name="SAPBEXstdItem 8 2 4" xfId="28499" xr:uid="{00000000-0005-0000-0000-0000D1720000}"/>
    <cellStyle name="SAPBEXstdItem 8 2 4 2" xfId="33057" xr:uid="{201E6516-7941-450F-86EA-2D4285A8D997}"/>
    <cellStyle name="SAPBEXstdItem 8 2 5" xfId="26407" xr:uid="{00000000-0005-0000-0000-0000D2720000}"/>
    <cellStyle name="SAPBEXstdItem 8 2 5 2" xfId="31195" xr:uid="{A18DEEE5-EA94-406F-A298-C9E928B8D34A}"/>
    <cellStyle name="SAPBEXstdItem 8 2 6" xfId="30052" xr:uid="{00000000-0005-0000-0000-0000D3720000}"/>
    <cellStyle name="SAPBEXstdItem 8 2 7" xfId="30255" xr:uid="{2162DB1E-34DC-40E3-A6D2-2D699CD3299C}"/>
    <cellStyle name="SAPBEXstdItem 8 3" xfId="26011" xr:uid="{00000000-0005-0000-0000-0000D4720000}"/>
    <cellStyle name="SAPBEXstdItem 8 3 2" xfId="30832" xr:uid="{D3E9926A-8CAB-418D-AD87-A5DE07390A19}"/>
    <cellStyle name="SAPBEXstdItem 8 4" xfId="28498" xr:uid="{00000000-0005-0000-0000-0000D5720000}"/>
    <cellStyle name="SAPBEXstdItem 8 4 2" xfId="33056" xr:uid="{73AD4AED-2DBE-47DD-B1A9-43199632E870}"/>
    <cellStyle name="SAPBEXstdItem 8 5" xfId="26783" xr:uid="{00000000-0005-0000-0000-0000D6720000}"/>
    <cellStyle name="SAPBEXstdItem 8 5 2" xfId="31544" xr:uid="{2E5B7600-D7CB-4389-8D84-BEFDC09AC730}"/>
    <cellStyle name="SAPBEXstdItem 8 6" xfId="30051" xr:uid="{00000000-0005-0000-0000-0000D7720000}"/>
    <cellStyle name="SAPBEXstdItem 9" xfId="390" xr:uid="{00000000-0005-0000-0000-0000D8720000}"/>
    <cellStyle name="SAPBEXstdItem 9 2" xfId="13785" xr:uid="{00000000-0005-0000-0000-0000D9720000}"/>
    <cellStyle name="SAPBEXstdItem 9 2 2" xfId="25550" xr:uid="{00000000-0005-0000-0000-0000DA720000}"/>
    <cellStyle name="SAPBEXstdItem 9 2 2 2" xfId="27703" xr:uid="{00000000-0005-0000-0000-0000DB720000}"/>
    <cellStyle name="SAPBEXstdItem 9 2 2 2 2" xfId="32290" xr:uid="{FC5FAF89-B973-4220-A508-2C323A63AA4F}"/>
    <cellStyle name="SAPBEXstdItem 9 2 2 3" xfId="28503" xr:uid="{00000000-0005-0000-0000-0000DC720000}"/>
    <cellStyle name="SAPBEXstdItem 9 2 2 3 2" xfId="33061" xr:uid="{F6B53ED1-B409-42EA-8901-4385869A478B}"/>
    <cellStyle name="SAPBEXstdItem 9 2 2 4" xfId="26874" xr:uid="{00000000-0005-0000-0000-0000DD720000}"/>
    <cellStyle name="SAPBEXstdItem 9 2 2 4 2" xfId="31635" xr:uid="{2E748202-5BF5-42F9-86BE-811F07998D4A}"/>
    <cellStyle name="SAPBEXstdItem 9 2 2 5" xfId="30056" xr:uid="{00000000-0005-0000-0000-0000DE720000}"/>
    <cellStyle name="SAPBEXstdItem 9 2 3" xfId="26666" xr:uid="{00000000-0005-0000-0000-0000DF720000}"/>
    <cellStyle name="SAPBEXstdItem 9 2 3 2" xfId="31435" xr:uid="{E1584895-BC74-471F-9FB2-3F591342C952}"/>
    <cellStyle name="SAPBEXstdItem 9 2 4" xfId="28502" xr:uid="{00000000-0005-0000-0000-0000E0720000}"/>
    <cellStyle name="SAPBEXstdItem 9 2 4 2" xfId="33060" xr:uid="{BD3B9994-431C-4E10-B3A5-69FF96D42208}"/>
    <cellStyle name="SAPBEXstdItem 9 2 5" xfId="26914" xr:uid="{00000000-0005-0000-0000-0000E1720000}"/>
    <cellStyle name="SAPBEXstdItem 9 2 5 2" xfId="31675" xr:uid="{EB98D1A1-DD4F-4318-993B-19B27BEE66EA}"/>
    <cellStyle name="SAPBEXstdItem 9 2 6" xfId="30055" xr:uid="{00000000-0005-0000-0000-0000E2720000}"/>
    <cellStyle name="SAPBEXstdItem 9 2 7" xfId="30252" xr:uid="{34D26DA7-6042-42AB-94B9-D00C562E1852}"/>
    <cellStyle name="SAPBEXstdItem 9 3" xfId="26001" xr:uid="{00000000-0005-0000-0000-0000E3720000}"/>
    <cellStyle name="SAPBEXstdItem 9 3 2" xfId="30829" xr:uid="{68C2CEF7-8D30-4BCF-8B6A-899C64E2EC72}"/>
    <cellStyle name="SAPBEXstdItem 9 4" xfId="28501" xr:uid="{00000000-0005-0000-0000-0000E4720000}"/>
    <cellStyle name="SAPBEXstdItem 9 4 2" xfId="33059" xr:uid="{1F596DCC-4D2F-462A-B512-ABE366DFFB95}"/>
    <cellStyle name="SAPBEXstdItem 9 5" xfId="26185" xr:uid="{00000000-0005-0000-0000-0000E5720000}"/>
    <cellStyle name="SAPBEXstdItem 9 5 2" xfId="30973" xr:uid="{60DEF704-4DC3-4205-8EFB-3BB04E0F2B53}"/>
    <cellStyle name="SAPBEXstdItem 9 6" xfId="30054" xr:uid="{00000000-0005-0000-0000-0000E6720000}"/>
    <cellStyle name="SAPBEXstdItem_Copy of xSAPtemp5457" xfId="269" xr:uid="{00000000-0005-0000-0000-0000E7720000}"/>
    <cellStyle name="SAPBEXstdItemX" xfId="144" xr:uid="{00000000-0005-0000-0000-0000E8720000}"/>
    <cellStyle name="SAPBEXstdItemX 10" xfId="24638" xr:uid="{00000000-0005-0000-0000-0000E9720000}"/>
    <cellStyle name="SAPBEXstdItemX 10 2" xfId="25372" xr:uid="{00000000-0005-0000-0000-0000EA720000}"/>
    <cellStyle name="SAPBEXstdItemX 10 2 2" xfId="27526" xr:uid="{00000000-0005-0000-0000-0000EB720000}"/>
    <cellStyle name="SAPBEXstdItemX 10 2 2 2" xfId="32117" xr:uid="{BE6ED098-B76A-412A-8C84-FD84DA07FE60}"/>
    <cellStyle name="SAPBEXstdItemX 10 2 3" xfId="28506" xr:uid="{00000000-0005-0000-0000-0000EC720000}"/>
    <cellStyle name="SAPBEXstdItemX 10 2 3 2" xfId="33064" xr:uid="{068F6A29-45CC-4065-89DD-CA1F43BFFBAA}"/>
    <cellStyle name="SAPBEXstdItemX 10 2 4" xfId="26343" xr:uid="{00000000-0005-0000-0000-0000ED720000}"/>
    <cellStyle name="SAPBEXstdItemX 10 2 4 2" xfId="31131" xr:uid="{B108C3F8-1537-4F60-AF55-44E5D9CB7148}"/>
    <cellStyle name="SAPBEXstdItemX 10 2 5" xfId="30059" xr:uid="{00000000-0005-0000-0000-0000EE720000}"/>
    <cellStyle name="SAPBEXstdItemX 10 2 6" xfId="30530" xr:uid="{FB2D7D71-37B4-4DA6-94A1-8C320F4A8C6D}"/>
    <cellStyle name="SAPBEXstdItemX 10 3" xfId="25604" xr:uid="{00000000-0005-0000-0000-0000EF720000}"/>
    <cellStyle name="SAPBEXstdItemX 10 3 2" xfId="27757" xr:uid="{00000000-0005-0000-0000-0000F0720000}"/>
    <cellStyle name="SAPBEXstdItemX 10 3 2 2" xfId="32344" xr:uid="{4F0D5557-1B45-4CC0-B0D0-074C02E61F09}"/>
    <cellStyle name="SAPBEXstdItemX 10 3 3" xfId="28507" xr:uid="{00000000-0005-0000-0000-0000F1720000}"/>
    <cellStyle name="SAPBEXstdItemX 10 3 3 2" xfId="33065" xr:uid="{A2E4BB60-ECF9-4485-AC4B-AA8A2D0AF916}"/>
    <cellStyle name="SAPBEXstdItemX 10 3 4" xfId="26157" xr:uid="{00000000-0005-0000-0000-0000F2720000}"/>
    <cellStyle name="SAPBEXstdItemX 10 3 4 2" xfId="30946" xr:uid="{CF3DF234-942D-40B2-8FE7-BC185A8F6599}"/>
    <cellStyle name="SAPBEXstdItemX 10 3 5" xfId="30060" xr:uid="{00000000-0005-0000-0000-0000F3720000}"/>
    <cellStyle name="SAPBEXstdItemX 10 4" xfId="27231" xr:uid="{00000000-0005-0000-0000-0000F4720000}"/>
    <cellStyle name="SAPBEXstdItemX 10 4 2" xfId="31866" xr:uid="{96E71D92-0CD1-4C98-83DB-4DBBFBA8E389}"/>
    <cellStyle name="SAPBEXstdItemX 10 5" xfId="28505" xr:uid="{00000000-0005-0000-0000-0000F5720000}"/>
    <cellStyle name="SAPBEXstdItemX 10 5 2" xfId="33063" xr:uid="{AFC5D090-4EB8-474D-B926-E8FD54C36D94}"/>
    <cellStyle name="SAPBEXstdItemX 10 6" xfId="26817" xr:uid="{00000000-0005-0000-0000-0000F6720000}"/>
    <cellStyle name="SAPBEXstdItemX 10 6 2" xfId="31578" xr:uid="{8C6AD66F-A482-467A-B4C0-960835230A37}"/>
    <cellStyle name="SAPBEXstdItemX 10 7" xfId="30058" xr:uid="{00000000-0005-0000-0000-0000F7720000}"/>
    <cellStyle name="SAPBEXstdItemX 10 8" xfId="30306" xr:uid="{469C9D92-3790-46B7-A006-B35C9A660C4B}"/>
    <cellStyle name="SAPBEXstdItemX 11" xfId="25135" xr:uid="{00000000-0005-0000-0000-0000F8720000}"/>
    <cellStyle name="SAPBEXstdItemX 11 2" xfId="25393" xr:uid="{00000000-0005-0000-0000-0000F9720000}"/>
    <cellStyle name="SAPBEXstdItemX 11 2 2" xfId="27547" xr:uid="{00000000-0005-0000-0000-0000FA720000}"/>
    <cellStyle name="SAPBEXstdItemX 11 2 2 2" xfId="32138" xr:uid="{F80BC26C-8E2E-48CE-A2AD-44DF8F8169AF}"/>
    <cellStyle name="SAPBEXstdItemX 11 2 3" xfId="28509" xr:uid="{00000000-0005-0000-0000-0000FB720000}"/>
    <cellStyle name="SAPBEXstdItemX 11 2 3 2" xfId="33067" xr:uid="{DFBD76AC-FD7F-432D-B891-C71E2177209A}"/>
    <cellStyle name="SAPBEXstdItemX 11 2 4" xfId="26936" xr:uid="{00000000-0005-0000-0000-0000FC720000}"/>
    <cellStyle name="SAPBEXstdItemX 11 2 4 2" xfId="31697" xr:uid="{6DADB447-29E9-4F1D-A32C-EC5FF1F59ED4}"/>
    <cellStyle name="SAPBEXstdItemX 11 2 5" xfId="30062" xr:uid="{00000000-0005-0000-0000-0000FD720000}"/>
    <cellStyle name="SAPBEXstdItemX 11 2 6" xfId="30551" xr:uid="{8E824CFF-6EE6-4B9C-8D55-8F9F4A63DF9A}"/>
    <cellStyle name="SAPBEXstdItemX 11 3" xfId="25733" xr:uid="{00000000-0005-0000-0000-0000FE720000}"/>
    <cellStyle name="SAPBEXstdItemX 11 3 2" xfId="27886" xr:uid="{00000000-0005-0000-0000-0000FF720000}"/>
    <cellStyle name="SAPBEXstdItemX 11 3 2 2" xfId="32473" xr:uid="{982B4582-EE8C-4C66-AEF0-D57E4776F136}"/>
    <cellStyle name="SAPBEXstdItemX 11 3 3" xfId="28510" xr:uid="{00000000-0005-0000-0000-000000730000}"/>
    <cellStyle name="SAPBEXstdItemX 11 3 3 2" xfId="33068" xr:uid="{97D7F3ED-666C-4489-BDDF-EAAE5B679DFC}"/>
    <cellStyle name="SAPBEXstdItemX 11 3 4" xfId="26503" xr:uid="{00000000-0005-0000-0000-000001730000}"/>
    <cellStyle name="SAPBEXstdItemX 11 3 4 2" xfId="31291" xr:uid="{1A0A6709-935F-4649-9B34-D1B0D390BF5D}"/>
    <cellStyle name="SAPBEXstdItemX 11 3 5" xfId="30063" xr:uid="{00000000-0005-0000-0000-000002730000}"/>
    <cellStyle name="SAPBEXstdItemX 11 3 6" xfId="30727" xr:uid="{FC27EFC6-ACD8-4E9C-B916-EAF31F2B71F2}"/>
    <cellStyle name="SAPBEXstdItemX 11 4" xfId="27420" xr:uid="{00000000-0005-0000-0000-000003730000}"/>
    <cellStyle name="SAPBEXstdItemX 11 4 2" xfId="32018" xr:uid="{8F59E05C-E4EC-4591-A253-78017FF4FF77}"/>
    <cellStyle name="SAPBEXstdItemX 11 5" xfId="28508" xr:uid="{00000000-0005-0000-0000-000004730000}"/>
    <cellStyle name="SAPBEXstdItemX 11 5 2" xfId="33066" xr:uid="{D6532987-E911-4FFD-86A4-F6D73E05B852}"/>
    <cellStyle name="SAPBEXstdItemX 11 6" xfId="26901" xr:uid="{00000000-0005-0000-0000-000005730000}"/>
    <cellStyle name="SAPBEXstdItemX 11 6 2" xfId="31662" xr:uid="{242F3B15-E70B-4502-B22D-7B1B97010A27}"/>
    <cellStyle name="SAPBEXstdItemX 11 7" xfId="30061" xr:uid="{00000000-0005-0000-0000-000006730000}"/>
    <cellStyle name="SAPBEXstdItemX 11 8" xfId="30435" xr:uid="{420A8787-3A43-48AB-B173-80A93038E12F}"/>
    <cellStyle name="SAPBEXstdItemX 12" xfId="25875" xr:uid="{00000000-0005-0000-0000-000007730000}"/>
    <cellStyle name="SAPBEXstdItemX 12 2" xfId="30794" xr:uid="{BC8DDD42-1B18-4A77-A0DC-EC76A27862BA}"/>
    <cellStyle name="SAPBEXstdItemX 13" xfId="28504" xr:uid="{00000000-0005-0000-0000-000008730000}"/>
    <cellStyle name="SAPBEXstdItemX 13 2" xfId="33062" xr:uid="{306B671E-2CA5-4283-9CC2-6C5C3A114545}"/>
    <cellStyle name="SAPBEXstdItemX 14" xfId="29231" xr:uid="{00000000-0005-0000-0000-000009730000}"/>
    <cellStyle name="SAPBEXstdItemX 14 2" xfId="33214" xr:uid="{3B6CE51F-2FEF-4519-A55B-E8B4FB785D61}"/>
    <cellStyle name="SAPBEXstdItemX 15" xfId="30057" xr:uid="{00000000-0005-0000-0000-00000A730000}"/>
    <cellStyle name="SAPBEXstdItemX 2" xfId="145" xr:uid="{00000000-0005-0000-0000-00000B730000}"/>
    <cellStyle name="SAPBEXstdItemX 2 2" xfId="13679" xr:uid="{00000000-0005-0000-0000-00000C730000}"/>
    <cellStyle name="SAPBEXstdItemX 2 2 2" xfId="25517" xr:uid="{00000000-0005-0000-0000-00000D730000}"/>
    <cellStyle name="SAPBEXstdItemX 2 2 2 2" xfId="27670" xr:uid="{00000000-0005-0000-0000-00000E730000}"/>
    <cellStyle name="SAPBEXstdItemX 2 2 2 2 2" xfId="32257" xr:uid="{F301BCE4-7412-4D58-91FE-BA8D26C45B89}"/>
    <cellStyle name="SAPBEXstdItemX 2 2 2 3" xfId="28513" xr:uid="{00000000-0005-0000-0000-00000F730000}"/>
    <cellStyle name="SAPBEXstdItemX 2 2 2 3 2" xfId="33071" xr:uid="{E971B834-8FDA-4C39-B881-D7198F76055C}"/>
    <cellStyle name="SAPBEXstdItemX 2 2 2 4" xfId="26533" xr:uid="{00000000-0005-0000-0000-000010730000}"/>
    <cellStyle name="SAPBEXstdItemX 2 2 2 4 2" xfId="31320" xr:uid="{FD055C53-4284-49A6-8999-E48C8CAC182D}"/>
    <cellStyle name="SAPBEXstdItemX 2 2 2 5" xfId="30066" xr:uid="{00000000-0005-0000-0000-000011730000}"/>
    <cellStyle name="SAPBEXstdItemX 2 2 3" xfId="26621" xr:uid="{00000000-0005-0000-0000-000012730000}"/>
    <cellStyle name="SAPBEXstdItemX 2 2 3 2" xfId="31399" xr:uid="{8EF8B65D-8512-4257-87ED-DECF5B810A74}"/>
    <cellStyle name="SAPBEXstdItemX 2 2 4" xfId="28512" xr:uid="{00000000-0005-0000-0000-000013730000}"/>
    <cellStyle name="SAPBEXstdItemX 2 2 4 2" xfId="33070" xr:uid="{B711DA77-B8FE-445B-A5DA-37F3EED58D11}"/>
    <cellStyle name="SAPBEXstdItemX 2 2 5" xfId="26148" xr:uid="{00000000-0005-0000-0000-000014730000}"/>
    <cellStyle name="SAPBEXstdItemX 2 2 5 2" xfId="30937" xr:uid="{BD061F09-CAB7-48D3-8A1D-748D6B8CF1E1}"/>
    <cellStyle name="SAPBEXstdItemX 2 2 6" xfId="30065" xr:uid="{00000000-0005-0000-0000-000015730000}"/>
    <cellStyle name="SAPBEXstdItemX 2 2 7" xfId="30219" xr:uid="{B6403426-D85D-41E5-B79D-E57BB10DAEEE}"/>
    <cellStyle name="SAPBEXstdItemX 2 3" xfId="25876" xr:uid="{00000000-0005-0000-0000-000016730000}"/>
    <cellStyle name="SAPBEXstdItemX 2 3 2" xfId="30795" xr:uid="{5A72E37F-BF9E-4E87-8CBE-2A256ACE2B03}"/>
    <cellStyle name="SAPBEXstdItemX 2 4" xfId="28511" xr:uid="{00000000-0005-0000-0000-000017730000}"/>
    <cellStyle name="SAPBEXstdItemX 2 4 2" xfId="33069" xr:uid="{9D8DF68B-372D-4711-B7A8-9725E7A1D69E}"/>
    <cellStyle name="SAPBEXstdItemX 2 5" xfId="29195" xr:uid="{00000000-0005-0000-0000-000018730000}"/>
    <cellStyle name="SAPBEXstdItemX 2 5 2" xfId="33178" xr:uid="{5D261E12-24F4-4BC2-8E5E-DB3C76DA0D10}"/>
    <cellStyle name="SAPBEXstdItemX 2 6" xfId="30064" xr:uid="{00000000-0005-0000-0000-000019730000}"/>
    <cellStyle name="SAPBEXstdItemX 3" xfId="270" xr:uid="{00000000-0005-0000-0000-00001A730000}"/>
    <cellStyle name="SAPBEXstdItemX 3 2" xfId="13732" xr:uid="{00000000-0005-0000-0000-00001B730000}"/>
    <cellStyle name="SAPBEXstdItemX 3 2 2" xfId="25545" xr:uid="{00000000-0005-0000-0000-00001C730000}"/>
    <cellStyle name="SAPBEXstdItemX 3 2 2 2" xfId="27698" xr:uid="{00000000-0005-0000-0000-00001D730000}"/>
    <cellStyle name="SAPBEXstdItemX 3 2 2 2 2" xfId="32285" xr:uid="{8BBA2E43-F3F8-4A4A-9B7E-D57AB4CD30DC}"/>
    <cellStyle name="SAPBEXstdItemX 3 2 2 3" xfId="28516" xr:uid="{00000000-0005-0000-0000-00001E730000}"/>
    <cellStyle name="SAPBEXstdItemX 3 2 2 3 2" xfId="33074" xr:uid="{DDA3E2BC-79A7-4051-B5F3-EDB911F1D5E9}"/>
    <cellStyle name="SAPBEXstdItemX 3 2 2 4" xfId="26382" xr:uid="{00000000-0005-0000-0000-00001F730000}"/>
    <cellStyle name="SAPBEXstdItemX 3 2 2 4 2" xfId="31170" xr:uid="{4C739ED3-4FBE-4EEC-A057-13BBAA17C82D}"/>
    <cellStyle name="SAPBEXstdItemX 3 2 2 5" xfId="30069" xr:uid="{00000000-0005-0000-0000-000020730000}"/>
    <cellStyle name="SAPBEXstdItemX 3 2 3" xfId="26652" xr:uid="{00000000-0005-0000-0000-000021730000}"/>
    <cellStyle name="SAPBEXstdItemX 3 2 3 2" xfId="31429" xr:uid="{80A8558D-9CD1-4C88-8B24-7B019C48ACE4}"/>
    <cellStyle name="SAPBEXstdItemX 3 2 4" xfId="28515" xr:uid="{00000000-0005-0000-0000-000022730000}"/>
    <cellStyle name="SAPBEXstdItemX 3 2 4 2" xfId="33073" xr:uid="{3DA91B19-0041-4F6D-AD00-9F022D097686}"/>
    <cellStyle name="SAPBEXstdItemX 3 2 5" xfId="26866" xr:uid="{00000000-0005-0000-0000-000023730000}"/>
    <cellStyle name="SAPBEXstdItemX 3 2 5 2" xfId="31627" xr:uid="{F4DF52B3-71E3-4964-B3D5-2C159709FBF7}"/>
    <cellStyle name="SAPBEXstdItemX 3 2 6" xfId="30068" xr:uid="{00000000-0005-0000-0000-000024730000}"/>
    <cellStyle name="SAPBEXstdItemX 3 2 7" xfId="30247" xr:uid="{7D145856-47CB-4BCF-839F-FE68AFABF04C}"/>
    <cellStyle name="SAPBEXstdItemX 3 3" xfId="25935" xr:uid="{00000000-0005-0000-0000-000025730000}"/>
    <cellStyle name="SAPBEXstdItemX 3 3 2" xfId="30824" xr:uid="{1AE69990-0467-4998-85D4-8056033595FC}"/>
    <cellStyle name="SAPBEXstdItemX 3 4" xfId="28514" xr:uid="{00000000-0005-0000-0000-000026730000}"/>
    <cellStyle name="SAPBEXstdItemX 3 4 2" xfId="33072" xr:uid="{017DA5A1-C96A-4258-AC38-9EE460AF55C8}"/>
    <cellStyle name="SAPBEXstdItemX 3 5" xfId="29221" xr:uid="{00000000-0005-0000-0000-000027730000}"/>
    <cellStyle name="SAPBEXstdItemX 3 5 2" xfId="33204" xr:uid="{771D8C86-ACE4-4150-A5EA-729288498D8B}"/>
    <cellStyle name="SAPBEXstdItemX 3 6" xfId="30067" xr:uid="{00000000-0005-0000-0000-000028730000}"/>
    <cellStyle name="SAPBEXstdItemX 4" xfId="271" xr:uid="{00000000-0005-0000-0000-000029730000}"/>
    <cellStyle name="SAPBEXstdItemX 4 2" xfId="13733" xr:uid="{00000000-0005-0000-0000-00002A730000}"/>
    <cellStyle name="SAPBEXstdItemX 4 2 2" xfId="25546" xr:uid="{00000000-0005-0000-0000-00002B730000}"/>
    <cellStyle name="SAPBEXstdItemX 4 2 2 2" xfId="27699" xr:uid="{00000000-0005-0000-0000-00002C730000}"/>
    <cellStyle name="SAPBEXstdItemX 4 2 2 2 2" xfId="32286" xr:uid="{FC528E10-79F8-47C9-A076-9DB4C710C98A}"/>
    <cellStyle name="SAPBEXstdItemX 4 2 2 3" xfId="28519" xr:uid="{00000000-0005-0000-0000-00002D730000}"/>
    <cellStyle name="SAPBEXstdItemX 4 2 2 3 2" xfId="33077" xr:uid="{9BA3EB99-56A3-4744-B4E1-2986FB88B5FE}"/>
    <cellStyle name="SAPBEXstdItemX 4 2 2 4" xfId="26059" xr:uid="{00000000-0005-0000-0000-00002E730000}"/>
    <cellStyle name="SAPBEXstdItemX 4 2 2 4 2" xfId="30849" xr:uid="{E5D060F9-0642-4671-B7CC-BDEC86259764}"/>
    <cellStyle name="SAPBEXstdItemX 4 2 2 5" xfId="30072" xr:uid="{00000000-0005-0000-0000-00002F730000}"/>
    <cellStyle name="SAPBEXstdItemX 4 2 3" xfId="26653" xr:uid="{00000000-0005-0000-0000-000030730000}"/>
    <cellStyle name="SAPBEXstdItemX 4 2 3 2" xfId="31430" xr:uid="{684137D4-AE1E-4736-9F2B-CD0B50A5F85F}"/>
    <cellStyle name="SAPBEXstdItemX 4 2 4" xfId="28518" xr:uid="{00000000-0005-0000-0000-000031730000}"/>
    <cellStyle name="SAPBEXstdItemX 4 2 4 2" xfId="33076" xr:uid="{E00A8E8E-3321-4449-94A1-34D279EE9074}"/>
    <cellStyle name="SAPBEXstdItemX 4 2 5" xfId="26252" xr:uid="{00000000-0005-0000-0000-000032730000}"/>
    <cellStyle name="SAPBEXstdItemX 4 2 5 2" xfId="31040" xr:uid="{7EE8F957-3FA4-4E4E-A440-E03B5883C4BF}"/>
    <cellStyle name="SAPBEXstdItemX 4 2 6" xfId="30071" xr:uid="{00000000-0005-0000-0000-000033730000}"/>
    <cellStyle name="SAPBEXstdItemX 4 2 7" xfId="30248" xr:uid="{AE0A61D7-07C0-4FDC-9CB4-1DC661638F62}"/>
    <cellStyle name="SAPBEXstdItemX 4 3" xfId="25936" xr:uid="{00000000-0005-0000-0000-000034730000}"/>
    <cellStyle name="SAPBEXstdItemX 4 3 2" xfId="30825" xr:uid="{D47DDF7E-67D7-4FB5-ACA9-5FB0377066D1}"/>
    <cellStyle name="SAPBEXstdItemX 4 4" xfId="28517" xr:uid="{00000000-0005-0000-0000-000035730000}"/>
    <cellStyle name="SAPBEXstdItemX 4 4 2" xfId="33075" xr:uid="{36FE4F9E-BECB-40EC-A9FD-C82DAD89DC74}"/>
    <cellStyle name="SAPBEXstdItemX 4 5" xfId="26433" xr:uid="{00000000-0005-0000-0000-000036730000}"/>
    <cellStyle name="SAPBEXstdItemX 4 5 2" xfId="31221" xr:uid="{6DDD48BE-46E8-4F80-8A5E-3ADF3EC97C15}"/>
    <cellStyle name="SAPBEXstdItemX 4 6" xfId="30070" xr:uid="{00000000-0005-0000-0000-000037730000}"/>
    <cellStyle name="SAPBEXstdItemX 5" xfId="272" xr:uid="{00000000-0005-0000-0000-000038730000}"/>
    <cellStyle name="SAPBEXstdItemX 5 2" xfId="13734" xr:uid="{00000000-0005-0000-0000-000039730000}"/>
    <cellStyle name="SAPBEXstdItemX 5 2 2" xfId="25547" xr:uid="{00000000-0005-0000-0000-00003A730000}"/>
    <cellStyle name="SAPBEXstdItemX 5 2 2 2" xfId="27700" xr:uid="{00000000-0005-0000-0000-00003B730000}"/>
    <cellStyle name="SAPBEXstdItemX 5 2 2 2 2" xfId="32287" xr:uid="{6EE99632-DF73-4094-BF31-9EEAE0FFEA12}"/>
    <cellStyle name="SAPBEXstdItemX 5 2 2 3" xfId="28522" xr:uid="{00000000-0005-0000-0000-00003C730000}"/>
    <cellStyle name="SAPBEXstdItemX 5 2 2 3 2" xfId="33080" xr:uid="{2B12378D-44AB-4067-B268-6BEB88A042D8}"/>
    <cellStyle name="SAPBEXstdItemX 5 2 2 4" xfId="26853" xr:uid="{00000000-0005-0000-0000-00003D730000}"/>
    <cellStyle name="SAPBEXstdItemX 5 2 2 4 2" xfId="31614" xr:uid="{E2C86D21-7F8A-4908-97A2-B5AF7A4DF18F}"/>
    <cellStyle name="SAPBEXstdItemX 5 2 2 5" xfId="30075" xr:uid="{00000000-0005-0000-0000-00003E730000}"/>
    <cellStyle name="SAPBEXstdItemX 5 2 3" xfId="26654" xr:uid="{00000000-0005-0000-0000-00003F730000}"/>
    <cellStyle name="SAPBEXstdItemX 5 2 3 2" xfId="31431" xr:uid="{B0FFD81B-6646-421B-B5EB-38EC0949E029}"/>
    <cellStyle name="SAPBEXstdItemX 5 2 4" xfId="28521" xr:uid="{00000000-0005-0000-0000-000040730000}"/>
    <cellStyle name="SAPBEXstdItemX 5 2 4 2" xfId="33079" xr:uid="{7F8870CD-6134-475E-A357-27B91ED208A5}"/>
    <cellStyle name="SAPBEXstdItemX 5 2 5" xfId="26907" xr:uid="{00000000-0005-0000-0000-000041730000}"/>
    <cellStyle name="SAPBEXstdItemX 5 2 5 2" xfId="31668" xr:uid="{0B28BC9F-A0EA-4FF5-A0FE-9B874C5E04F3}"/>
    <cellStyle name="SAPBEXstdItemX 5 2 6" xfId="30074" xr:uid="{00000000-0005-0000-0000-000042730000}"/>
    <cellStyle name="SAPBEXstdItemX 5 2 7" xfId="30249" xr:uid="{AC91DFF6-B9BB-479E-B800-1F1155984BF5}"/>
    <cellStyle name="SAPBEXstdItemX 5 3" xfId="25937" xr:uid="{00000000-0005-0000-0000-000043730000}"/>
    <cellStyle name="SAPBEXstdItemX 5 3 2" xfId="30826" xr:uid="{723BAB75-E70A-4700-B7BC-6E9D96072EEB}"/>
    <cellStyle name="SAPBEXstdItemX 5 4" xfId="28520" xr:uid="{00000000-0005-0000-0000-000044730000}"/>
    <cellStyle name="SAPBEXstdItemX 5 4 2" xfId="33078" xr:uid="{E807CC80-1593-4149-8695-00E1AFB2A1B4}"/>
    <cellStyle name="SAPBEXstdItemX 5 5" xfId="27930" xr:uid="{00000000-0005-0000-0000-000045730000}"/>
    <cellStyle name="SAPBEXstdItemX 5 5 2" xfId="32488" xr:uid="{096DDE8C-4754-4693-ABC9-F82FDE129BC1}"/>
    <cellStyle name="SAPBEXstdItemX 5 6" xfId="30073" xr:uid="{00000000-0005-0000-0000-000046730000}"/>
    <cellStyle name="SAPBEXstdItemX 6" xfId="273" xr:uid="{00000000-0005-0000-0000-000047730000}"/>
    <cellStyle name="SAPBEXstdItemX 6 2" xfId="13735" xr:uid="{00000000-0005-0000-0000-000048730000}"/>
    <cellStyle name="SAPBEXstdItemX 6 2 2" xfId="25548" xr:uid="{00000000-0005-0000-0000-000049730000}"/>
    <cellStyle name="SAPBEXstdItemX 6 2 2 2" xfId="27701" xr:uid="{00000000-0005-0000-0000-00004A730000}"/>
    <cellStyle name="SAPBEXstdItemX 6 2 2 2 2" xfId="32288" xr:uid="{11C3BCD7-324A-4C55-BE8E-21A4FA27A42F}"/>
    <cellStyle name="SAPBEXstdItemX 6 2 2 3" xfId="28525" xr:uid="{00000000-0005-0000-0000-00004B730000}"/>
    <cellStyle name="SAPBEXstdItemX 6 2 2 3 2" xfId="33083" xr:uid="{2800FA63-C15A-472C-B9CA-E1561B365FBB}"/>
    <cellStyle name="SAPBEXstdItemX 6 2 2 4" xfId="26784" xr:uid="{00000000-0005-0000-0000-00004C730000}"/>
    <cellStyle name="SAPBEXstdItemX 6 2 2 4 2" xfId="31545" xr:uid="{BD4EE693-716F-4ACD-93EE-9E9DBC3093ED}"/>
    <cellStyle name="SAPBEXstdItemX 6 2 2 5" xfId="30078" xr:uid="{00000000-0005-0000-0000-00004D730000}"/>
    <cellStyle name="SAPBEXstdItemX 6 2 3" xfId="26655" xr:uid="{00000000-0005-0000-0000-00004E730000}"/>
    <cellStyle name="SAPBEXstdItemX 6 2 3 2" xfId="31432" xr:uid="{F8A5FCA0-3BA1-43CD-AEF6-22B46B668D2E}"/>
    <cellStyle name="SAPBEXstdItemX 6 2 4" xfId="28524" xr:uid="{00000000-0005-0000-0000-00004F730000}"/>
    <cellStyle name="SAPBEXstdItemX 6 2 4 2" xfId="33082" xr:uid="{87E6B9E0-47F8-4F13-BC53-6A564ABD6FC8}"/>
    <cellStyle name="SAPBEXstdItemX 6 2 5" xfId="26344" xr:uid="{00000000-0005-0000-0000-000050730000}"/>
    <cellStyle name="SAPBEXstdItemX 6 2 5 2" xfId="31132" xr:uid="{EC09C0D6-16B6-439C-84E8-BA3D06180146}"/>
    <cellStyle name="SAPBEXstdItemX 6 2 6" xfId="30077" xr:uid="{00000000-0005-0000-0000-000051730000}"/>
    <cellStyle name="SAPBEXstdItemX 6 2 7" xfId="30250" xr:uid="{C680E9A1-59B9-4A19-8572-FA25172AF7AE}"/>
    <cellStyle name="SAPBEXstdItemX 6 3" xfId="25938" xr:uid="{00000000-0005-0000-0000-000052730000}"/>
    <cellStyle name="SAPBEXstdItemX 6 3 2" xfId="30827" xr:uid="{189D7F85-42C2-4F5C-8212-C933626A3831}"/>
    <cellStyle name="SAPBEXstdItemX 6 4" xfId="28523" xr:uid="{00000000-0005-0000-0000-000053730000}"/>
    <cellStyle name="SAPBEXstdItemX 6 4 2" xfId="33081" xr:uid="{E5419951-A691-4CFF-927B-563A17FA0816}"/>
    <cellStyle name="SAPBEXstdItemX 6 5" xfId="29220" xr:uid="{00000000-0005-0000-0000-000054730000}"/>
    <cellStyle name="SAPBEXstdItemX 6 5 2" xfId="33203" xr:uid="{F46F8C07-D52E-4095-A9C2-D716C9112FED}"/>
    <cellStyle name="SAPBEXstdItemX 6 6" xfId="30076" xr:uid="{00000000-0005-0000-0000-000055730000}"/>
    <cellStyle name="SAPBEXstdItemX 7" xfId="274" xr:uid="{00000000-0005-0000-0000-000056730000}"/>
    <cellStyle name="SAPBEXstdItemX 7 2" xfId="13736" xr:uid="{00000000-0005-0000-0000-000057730000}"/>
    <cellStyle name="SAPBEXstdItemX 7 2 2" xfId="25549" xr:uid="{00000000-0005-0000-0000-000058730000}"/>
    <cellStyle name="SAPBEXstdItemX 7 2 2 2" xfId="27702" xr:uid="{00000000-0005-0000-0000-000059730000}"/>
    <cellStyle name="SAPBEXstdItemX 7 2 2 2 2" xfId="32289" xr:uid="{B93ACB71-6D13-41FC-8697-CB5E7AD8341F}"/>
    <cellStyle name="SAPBEXstdItemX 7 2 2 3" xfId="28528" xr:uid="{00000000-0005-0000-0000-00005A730000}"/>
    <cellStyle name="SAPBEXstdItemX 7 2 2 3 2" xfId="33086" xr:uid="{D19F5BCA-A1AB-4875-BF6C-061B1003A3BD}"/>
    <cellStyle name="SAPBEXstdItemX 7 2 2 4" xfId="26260" xr:uid="{00000000-0005-0000-0000-00005B730000}"/>
    <cellStyle name="SAPBEXstdItemX 7 2 2 4 2" xfId="31048" xr:uid="{0B5CEE1A-6271-48FF-B334-390DE5EDC680}"/>
    <cellStyle name="SAPBEXstdItemX 7 2 2 5" xfId="30081" xr:uid="{00000000-0005-0000-0000-00005C730000}"/>
    <cellStyle name="SAPBEXstdItemX 7 2 3" xfId="26656" xr:uid="{00000000-0005-0000-0000-00005D730000}"/>
    <cellStyle name="SAPBEXstdItemX 7 2 3 2" xfId="31433" xr:uid="{0EA861F8-4675-4D92-AC03-4CBCBF3FE8D5}"/>
    <cellStyle name="SAPBEXstdItemX 7 2 4" xfId="28527" xr:uid="{00000000-0005-0000-0000-00005E730000}"/>
    <cellStyle name="SAPBEXstdItemX 7 2 4 2" xfId="33085" xr:uid="{FDA09D18-3BB8-4AB5-9976-4F51924ECF52}"/>
    <cellStyle name="SAPBEXstdItemX 7 2 5" xfId="26983" xr:uid="{00000000-0005-0000-0000-00005F730000}"/>
    <cellStyle name="SAPBEXstdItemX 7 2 5 2" xfId="31744" xr:uid="{336AEBD4-2B34-4CDA-8B36-8255DE691433}"/>
    <cellStyle name="SAPBEXstdItemX 7 2 6" xfId="30080" xr:uid="{00000000-0005-0000-0000-000060730000}"/>
    <cellStyle name="SAPBEXstdItemX 7 2 7" xfId="30251" xr:uid="{EBD6C858-9C96-47AB-B594-C49322D1F6AD}"/>
    <cellStyle name="SAPBEXstdItemX 7 3" xfId="25939" xr:uid="{00000000-0005-0000-0000-000061730000}"/>
    <cellStyle name="SAPBEXstdItemX 7 3 2" xfId="30828" xr:uid="{F33AFE55-1C43-4A7D-B5C9-B35B2B29CBB2}"/>
    <cellStyle name="SAPBEXstdItemX 7 4" xfId="28526" xr:uid="{00000000-0005-0000-0000-000062730000}"/>
    <cellStyle name="SAPBEXstdItemX 7 4 2" xfId="33084" xr:uid="{A96A4E1F-D61A-4512-8C00-69908C61CA73}"/>
    <cellStyle name="SAPBEXstdItemX 7 5" xfId="27019" xr:uid="{00000000-0005-0000-0000-000063730000}"/>
    <cellStyle name="SAPBEXstdItemX 7 5 2" xfId="31779" xr:uid="{51429CE8-F284-4A88-BCED-163B7FE73601}"/>
    <cellStyle name="SAPBEXstdItemX 7 6" xfId="30079" xr:uid="{00000000-0005-0000-0000-000064730000}"/>
    <cellStyle name="SAPBEXstdItemX 8" xfId="417" xr:uid="{00000000-0005-0000-0000-000065730000}"/>
    <cellStyle name="SAPBEXstdItemX 8 2" xfId="13796" xr:uid="{00000000-0005-0000-0000-000066730000}"/>
    <cellStyle name="SAPBEXstdItemX 8 2 2" xfId="25554" xr:uid="{00000000-0005-0000-0000-000067730000}"/>
    <cellStyle name="SAPBEXstdItemX 8 2 2 2" xfId="27707" xr:uid="{00000000-0005-0000-0000-000068730000}"/>
    <cellStyle name="SAPBEXstdItemX 8 2 2 2 2" xfId="32294" xr:uid="{58BAB257-47CA-41F4-A638-5AB553E69E49}"/>
    <cellStyle name="SAPBEXstdItemX 8 2 2 3" xfId="28531" xr:uid="{00000000-0005-0000-0000-000069730000}"/>
    <cellStyle name="SAPBEXstdItemX 8 2 2 3 2" xfId="33089" xr:uid="{9D9EBBFB-8916-40BE-8303-700E2577E6D7}"/>
    <cellStyle name="SAPBEXstdItemX 8 2 2 4" xfId="26424" xr:uid="{00000000-0005-0000-0000-00006A730000}"/>
    <cellStyle name="SAPBEXstdItemX 8 2 2 4 2" xfId="31212" xr:uid="{96890A57-9D45-4664-B0B7-BBB12C9EF8C1}"/>
    <cellStyle name="SAPBEXstdItemX 8 2 2 5" xfId="30084" xr:uid="{00000000-0005-0000-0000-00006B730000}"/>
    <cellStyle name="SAPBEXstdItemX 8 2 3" xfId="26671" xr:uid="{00000000-0005-0000-0000-00006C730000}"/>
    <cellStyle name="SAPBEXstdItemX 8 2 3 2" xfId="31439" xr:uid="{5CE92563-2449-4044-B909-85EE0048475C}"/>
    <cellStyle name="SAPBEXstdItemX 8 2 4" xfId="28530" xr:uid="{00000000-0005-0000-0000-00006D730000}"/>
    <cellStyle name="SAPBEXstdItemX 8 2 4 2" xfId="33088" xr:uid="{573E094E-4A84-4491-8613-66296BE5D821}"/>
    <cellStyle name="SAPBEXstdItemX 8 2 5" xfId="26921" xr:uid="{00000000-0005-0000-0000-00006E730000}"/>
    <cellStyle name="SAPBEXstdItemX 8 2 5 2" xfId="31682" xr:uid="{E505CF38-C793-44BA-9D78-59C540D7A720}"/>
    <cellStyle name="SAPBEXstdItemX 8 2 6" xfId="30083" xr:uid="{00000000-0005-0000-0000-00006F730000}"/>
    <cellStyle name="SAPBEXstdItemX 8 2 7" xfId="30256" xr:uid="{4A17123D-C2DB-4A5B-966D-50B84868ECCB}"/>
    <cellStyle name="SAPBEXstdItemX 8 3" xfId="26012" xr:uid="{00000000-0005-0000-0000-000070730000}"/>
    <cellStyle name="SAPBEXstdItemX 8 3 2" xfId="30833" xr:uid="{C9923C25-7610-4B2A-B5A7-FF1BE0CF6C11}"/>
    <cellStyle name="SAPBEXstdItemX 8 4" xfId="28529" xr:uid="{00000000-0005-0000-0000-000071730000}"/>
    <cellStyle name="SAPBEXstdItemX 8 4 2" xfId="33087" xr:uid="{A8765E78-CF8D-46E6-B842-21ADDD4B03E2}"/>
    <cellStyle name="SAPBEXstdItemX 8 5" xfId="29219" xr:uid="{00000000-0005-0000-0000-000072730000}"/>
    <cellStyle name="SAPBEXstdItemX 8 5 2" xfId="33202" xr:uid="{6EA610E5-23A9-4C02-9F2B-B4AD52413FEF}"/>
    <cellStyle name="SAPBEXstdItemX 8 6" xfId="30082" xr:uid="{00000000-0005-0000-0000-000073730000}"/>
    <cellStyle name="SAPBEXstdItemX 9" xfId="13678" xr:uid="{00000000-0005-0000-0000-000074730000}"/>
    <cellStyle name="SAPBEXstdItemX 9 2" xfId="25516" xr:uid="{00000000-0005-0000-0000-000075730000}"/>
    <cellStyle name="SAPBEXstdItemX 9 2 2" xfId="27669" xr:uid="{00000000-0005-0000-0000-000076730000}"/>
    <cellStyle name="SAPBEXstdItemX 9 2 2 2" xfId="32256" xr:uid="{DE638686-9821-45B1-AAAD-DBEE24AAEEA8}"/>
    <cellStyle name="SAPBEXstdItemX 9 2 3" xfId="28533" xr:uid="{00000000-0005-0000-0000-000077730000}"/>
    <cellStyle name="SAPBEXstdItemX 9 2 3 2" xfId="33091" xr:uid="{5839C20F-2F53-402C-9F6A-B1D65109CA61}"/>
    <cellStyle name="SAPBEXstdItemX 9 2 4" xfId="26099" xr:uid="{00000000-0005-0000-0000-000078730000}"/>
    <cellStyle name="SAPBEXstdItemX 9 2 4 2" xfId="30889" xr:uid="{4BC93D4B-9E82-4748-BE6B-B9619D28ACC5}"/>
    <cellStyle name="SAPBEXstdItemX 9 2 5" xfId="30086" xr:uid="{00000000-0005-0000-0000-000079730000}"/>
    <cellStyle name="SAPBEXstdItemX 9 3" xfId="26620" xr:uid="{00000000-0005-0000-0000-00007A730000}"/>
    <cellStyle name="SAPBEXstdItemX 9 3 2" xfId="31398" xr:uid="{D9A55871-18BE-4C06-A4E6-F4720AFA8253}"/>
    <cellStyle name="SAPBEXstdItemX 9 4" xfId="28532" xr:uid="{00000000-0005-0000-0000-00007B730000}"/>
    <cellStyle name="SAPBEXstdItemX 9 4 2" xfId="33090" xr:uid="{B25FF3D0-5845-4317-8882-6C775D83DD17}"/>
    <cellStyle name="SAPBEXstdItemX 9 5" xfId="26945" xr:uid="{00000000-0005-0000-0000-00007C730000}"/>
    <cellStyle name="SAPBEXstdItemX 9 5 2" xfId="31706" xr:uid="{9A171132-910B-4C9E-86AF-44B5E9D3C55D}"/>
    <cellStyle name="SAPBEXstdItemX 9 6" xfId="30085" xr:uid="{00000000-0005-0000-0000-00007D730000}"/>
    <cellStyle name="SAPBEXstdItemX 9 7" xfId="30218" xr:uid="{EECE3B27-50DE-4A5E-A24D-C56EFB1E434D}"/>
    <cellStyle name="SAPBEXstdItemX_Copy of xSAPtemp5457" xfId="275" xr:uid="{00000000-0005-0000-0000-00007E730000}"/>
    <cellStyle name="SAPBEXtitle" xfId="7" xr:uid="{00000000-0005-0000-0000-00007F730000}"/>
    <cellStyle name="SAPBEXtitle 2" xfId="146" xr:uid="{00000000-0005-0000-0000-000080730000}"/>
    <cellStyle name="SAPBEXtitle 3" xfId="147" xr:uid="{00000000-0005-0000-0000-000081730000}"/>
    <cellStyle name="SAPBEXtitle 4" xfId="148" xr:uid="{00000000-0005-0000-0000-000082730000}"/>
    <cellStyle name="SAPBEXtitle 5" xfId="276" xr:uid="{00000000-0005-0000-0000-000083730000}"/>
    <cellStyle name="SAPBEXtitle 6" xfId="277" xr:uid="{00000000-0005-0000-0000-000084730000}"/>
    <cellStyle name="SAPBEXtitle 7" xfId="278" xr:uid="{00000000-0005-0000-0000-000085730000}"/>
    <cellStyle name="SAPBEXtitle 8" xfId="279" xr:uid="{00000000-0005-0000-0000-000086730000}"/>
    <cellStyle name="SAPBEXtitle_Copy of xSAPtemp5457" xfId="280" xr:uid="{00000000-0005-0000-0000-000087730000}"/>
    <cellStyle name="SAPBEXundefined" xfId="149" xr:uid="{00000000-0005-0000-0000-000088730000}"/>
    <cellStyle name="SAPBEXundefined 2" xfId="13680" xr:uid="{00000000-0005-0000-0000-000089730000}"/>
    <cellStyle name="SAPBEXundefined 2 2" xfId="25518" xr:uid="{00000000-0005-0000-0000-00008A730000}"/>
    <cellStyle name="SAPBEXundefined 2 2 2" xfId="27671" xr:uid="{00000000-0005-0000-0000-00008B730000}"/>
    <cellStyle name="SAPBEXundefined 2 2 2 2" xfId="32258" xr:uid="{BDC55BF4-7204-43E1-9F0E-59DF6E1491DE}"/>
    <cellStyle name="SAPBEXundefined 2 2 3" xfId="28536" xr:uid="{00000000-0005-0000-0000-00008C730000}"/>
    <cellStyle name="SAPBEXundefined 2 2 3 2" xfId="33094" xr:uid="{F5B48F76-AB89-485B-89EB-B74E01320F1A}"/>
    <cellStyle name="SAPBEXundefined 2 2 4" xfId="26161" xr:uid="{00000000-0005-0000-0000-00008D730000}"/>
    <cellStyle name="SAPBEXundefined 2 2 4 2" xfId="30950" xr:uid="{62D84EDE-257F-4089-B99B-929D0EFBFF1C}"/>
    <cellStyle name="SAPBEXundefined 2 2 5" xfId="30089" xr:uid="{00000000-0005-0000-0000-00008E730000}"/>
    <cellStyle name="SAPBEXundefined 2 3" xfId="26622" xr:uid="{00000000-0005-0000-0000-00008F730000}"/>
    <cellStyle name="SAPBEXundefined 2 3 2" xfId="31400" xr:uid="{612E5BF1-7D78-407C-874D-41D1AE7F3678}"/>
    <cellStyle name="SAPBEXundefined 2 4" xfId="28535" xr:uid="{00000000-0005-0000-0000-000090730000}"/>
    <cellStyle name="SAPBEXundefined 2 4 2" xfId="33093" xr:uid="{F7132882-E4AA-458E-90B7-09833B19C24D}"/>
    <cellStyle name="SAPBEXundefined 2 5" xfId="26700" xr:uid="{00000000-0005-0000-0000-000091730000}"/>
    <cellStyle name="SAPBEXundefined 2 5 2" xfId="31462" xr:uid="{C7FC8AFA-0FD0-4F25-B21E-5642022C53F4}"/>
    <cellStyle name="SAPBEXundefined 2 6" xfId="30088" xr:uid="{00000000-0005-0000-0000-000092730000}"/>
    <cellStyle name="SAPBEXundefined 2 7" xfId="30220" xr:uid="{E9DC0663-EFBF-4B06-B157-9A2226886898}"/>
    <cellStyle name="SAPBEXundefined 3" xfId="24637" xr:uid="{00000000-0005-0000-0000-000093730000}"/>
    <cellStyle name="SAPBEXundefined 3 2" xfId="25290" xr:uid="{00000000-0005-0000-0000-000094730000}"/>
    <cellStyle name="SAPBEXundefined 3 2 2" xfId="27445" xr:uid="{00000000-0005-0000-0000-000095730000}"/>
    <cellStyle name="SAPBEXundefined 3 2 2 2" xfId="32040" xr:uid="{9DA453D4-9299-42E6-BC85-AAC24FDCFE2B}"/>
    <cellStyle name="SAPBEXundefined 3 2 3" xfId="28538" xr:uid="{00000000-0005-0000-0000-000096730000}"/>
    <cellStyle name="SAPBEXundefined 3 2 3 2" xfId="33096" xr:uid="{D9831055-EEA6-47E3-9CAE-0E6F8AEBFB13}"/>
    <cellStyle name="SAPBEXundefined 3 2 4" xfId="26819" xr:uid="{00000000-0005-0000-0000-000097730000}"/>
    <cellStyle name="SAPBEXundefined 3 2 4 2" xfId="31580" xr:uid="{5A5C041F-C078-4E48-AE0C-5DB434731E3A}"/>
    <cellStyle name="SAPBEXundefined 3 2 5" xfId="30091" xr:uid="{00000000-0005-0000-0000-000098730000}"/>
    <cellStyle name="SAPBEXundefined 3 2 6" xfId="30453" xr:uid="{FBD6A3B2-109A-4BBB-9236-1C6E178B9490}"/>
    <cellStyle name="SAPBEXundefined 3 3" xfId="25603" xr:uid="{00000000-0005-0000-0000-000099730000}"/>
    <cellStyle name="SAPBEXundefined 3 3 2" xfId="27756" xr:uid="{00000000-0005-0000-0000-00009A730000}"/>
    <cellStyle name="SAPBEXundefined 3 3 2 2" xfId="32343" xr:uid="{5D26A014-C50C-46AA-8A55-A1178A46A351}"/>
    <cellStyle name="SAPBEXundefined 3 3 3" xfId="28539" xr:uid="{00000000-0005-0000-0000-00009B730000}"/>
    <cellStyle name="SAPBEXundefined 3 3 3 2" xfId="33097" xr:uid="{8B10621F-339C-4A35-B3C1-C77C3A01A568}"/>
    <cellStyle name="SAPBEXundefined 3 3 4" xfId="26846" xr:uid="{00000000-0005-0000-0000-00009C730000}"/>
    <cellStyle name="SAPBEXundefined 3 3 4 2" xfId="31607" xr:uid="{20C1F85A-2827-44EE-AA74-4E54BD2D2DD2}"/>
    <cellStyle name="SAPBEXundefined 3 3 5" xfId="30092" xr:uid="{00000000-0005-0000-0000-00009D730000}"/>
    <cellStyle name="SAPBEXundefined 3 4" xfId="27230" xr:uid="{00000000-0005-0000-0000-00009E730000}"/>
    <cellStyle name="SAPBEXundefined 3 4 2" xfId="31865" xr:uid="{02982E18-B9C6-4B8A-B386-E8AF63731C13}"/>
    <cellStyle name="SAPBEXundefined 3 5" xfId="28537" xr:uid="{00000000-0005-0000-0000-00009F730000}"/>
    <cellStyle name="SAPBEXundefined 3 5 2" xfId="33095" xr:uid="{11D7B02E-52D6-43AE-B503-40FEE1D2555C}"/>
    <cellStyle name="SAPBEXundefined 3 6" xfId="27303" xr:uid="{00000000-0005-0000-0000-0000A0730000}"/>
    <cellStyle name="SAPBEXundefined 3 6 2" xfId="31932" xr:uid="{730DF74C-CC6B-4032-B2AE-1BE26E1B71F9}"/>
    <cellStyle name="SAPBEXundefined 3 7" xfId="30090" xr:uid="{00000000-0005-0000-0000-0000A1730000}"/>
    <cellStyle name="SAPBEXundefined 3 8" xfId="30305" xr:uid="{67B6F329-1088-4E68-A745-3D6961C43E10}"/>
    <cellStyle name="SAPBEXundefined 4" xfId="25136" xr:uid="{00000000-0005-0000-0000-0000A2730000}"/>
    <cellStyle name="SAPBEXundefined 4 2" xfId="25302" xr:uid="{00000000-0005-0000-0000-0000A3730000}"/>
    <cellStyle name="SAPBEXundefined 4 2 2" xfId="27456" xr:uid="{00000000-0005-0000-0000-0000A4730000}"/>
    <cellStyle name="SAPBEXundefined 4 2 2 2" xfId="32048" xr:uid="{2CF128D3-D9FC-4152-8E09-C81AA6AB47FA}"/>
    <cellStyle name="SAPBEXundefined 4 2 3" xfId="28541" xr:uid="{00000000-0005-0000-0000-0000A5730000}"/>
    <cellStyle name="SAPBEXundefined 4 2 3 2" xfId="33099" xr:uid="{D7D22DC2-C6A8-4B8D-A6C1-4FF4853F7251}"/>
    <cellStyle name="SAPBEXundefined 4 2 4" xfId="26109" xr:uid="{00000000-0005-0000-0000-0000A6730000}"/>
    <cellStyle name="SAPBEXundefined 4 2 4 2" xfId="30899" xr:uid="{19660AF1-8C1F-428D-82A4-D787F56D5985}"/>
    <cellStyle name="SAPBEXundefined 4 2 5" xfId="30094" xr:uid="{00000000-0005-0000-0000-0000A7730000}"/>
    <cellStyle name="SAPBEXundefined 4 2 6" xfId="30461" xr:uid="{0A01F62F-D495-4385-A9E6-EA570CF7E530}"/>
    <cellStyle name="SAPBEXundefined 4 3" xfId="25734" xr:uid="{00000000-0005-0000-0000-0000A8730000}"/>
    <cellStyle name="SAPBEXundefined 4 3 2" xfId="27887" xr:uid="{00000000-0005-0000-0000-0000A9730000}"/>
    <cellStyle name="SAPBEXundefined 4 3 2 2" xfId="32474" xr:uid="{360CCC03-6C0E-40FD-8357-7FC8C54C5A84}"/>
    <cellStyle name="SAPBEXundefined 4 3 3" xfId="28542" xr:uid="{00000000-0005-0000-0000-0000AA730000}"/>
    <cellStyle name="SAPBEXundefined 4 3 3 2" xfId="33100" xr:uid="{BF85F5D2-B6F8-4435-8E52-78FAE85D38B9}"/>
    <cellStyle name="SAPBEXundefined 4 3 4" xfId="26414" xr:uid="{00000000-0005-0000-0000-0000AB730000}"/>
    <cellStyle name="SAPBEXundefined 4 3 4 2" xfId="31202" xr:uid="{C4CB4795-BBD1-4A9B-840E-4F5C66F9ADC7}"/>
    <cellStyle name="SAPBEXundefined 4 3 5" xfId="30095" xr:uid="{00000000-0005-0000-0000-0000AC730000}"/>
    <cellStyle name="SAPBEXundefined 4 3 6" xfId="30728" xr:uid="{93F2A48A-243B-40C0-ABA9-07BCFDD330CF}"/>
    <cellStyle name="SAPBEXundefined 4 4" xfId="27421" xr:uid="{00000000-0005-0000-0000-0000AD730000}"/>
    <cellStyle name="SAPBEXundefined 4 4 2" xfId="32019" xr:uid="{6E514A2B-6693-49FA-8C82-6B556A3FA68A}"/>
    <cellStyle name="SAPBEXundefined 4 5" xfId="28540" xr:uid="{00000000-0005-0000-0000-0000AE730000}"/>
    <cellStyle name="SAPBEXundefined 4 5 2" xfId="33098" xr:uid="{9B91B373-E114-42BC-AE76-D06FA85C97F9}"/>
    <cellStyle name="SAPBEXundefined 4 6" xfId="26396" xr:uid="{00000000-0005-0000-0000-0000AF730000}"/>
    <cellStyle name="SAPBEXundefined 4 6 2" xfId="31184" xr:uid="{9A46F83B-EEA4-46C2-BADC-E1C413C67531}"/>
    <cellStyle name="SAPBEXundefined 4 7" xfId="30093" xr:uid="{00000000-0005-0000-0000-0000B0730000}"/>
    <cellStyle name="SAPBEXundefined 4 8" xfId="30436" xr:uid="{3D780699-2066-4027-80EE-10FA320F903F}"/>
    <cellStyle name="SAPBEXundefined 5" xfId="25877" xr:uid="{00000000-0005-0000-0000-0000B1730000}"/>
    <cellStyle name="SAPBEXundefined 5 2" xfId="30796" xr:uid="{7992197B-4F7D-40DB-BFAF-B2B6690295E2}"/>
    <cellStyle name="SAPBEXundefined 6" xfId="28534" xr:uid="{00000000-0005-0000-0000-0000B2730000}"/>
    <cellStyle name="SAPBEXundefined 6 2" xfId="33092" xr:uid="{521329CA-6D9F-4D30-9844-3E5135BA34B5}"/>
    <cellStyle name="SAPBEXundefined 7" xfId="26760" xr:uid="{00000000-0005-0000-0000-0000B3730000}"/>
    <cellStyle name="SAPBEXundefined 7 2" xfId="31521" xr:uid="{B362A1A0-73A4-4D62-A9FD-9CA06CBF605A}"/>
    <cellStyle name="SAPBEXundefined 8" xfId="30087" xr:uid="{00000000-0005-0000-0000-0000B4730000}"/>
    <cellStyle name="Shade" xfId="150" xr:uid="{00000000-0005-0000-0000-0000B5730000}"/>
    <cellStyle name="Shaded" xfId="615" xr:uid="{00000000-0005-0000-0000-0000B6730000}"/>
    <cellStyle name="Sheet Title" xfId="24273" xr:uid="{00000000-0005-0000-0000-0000B7730000}"/>
    <cellStyle name="Special" xfId="151" xr:uid="{00000000-0005-0000-0000-0000B8730000}"/>
    <cellStyle name="Special 2" xfId="25878" xr:uid="{00000000-0005-0000-0000-0000B9730000}"/>
    <cellStyle name="Special 3" xfId="28543" xr:uid="{00000000-0005-0000-0000-0000BA730000}"/>
    <cellStyle name="Special 3 2" xfId="33101" xr:uid="{588AE46A-41C9-47E8-BF6D-C8065FD2F889}"/>
    <cellStyle name="Special 4" xfId="30096" xr:uid="{00000000-0005-0000-0000-0000BB730000}"/>
    <cellStyle name="Special 4 2" xfId="33352" xr:uid="{B5DAA20B-90F2-4473-9E6B-1EA4BE6E2925}"/>
    <cellStyle name="Style 1" xfId="152" xr:uid="{00000000-0005-0000-0000-0000BC730000}"/>
    <cellStyle name="Style 1 2" xfId="24274" xr:uid="{00000000-0005-0000-0000-0000BD730000}"/>
    <cellStyle name="Style 1 2 2" xfId="27127" xr:uid="{00000000-0005-0000-0000-0000BE730000}"/>
    <cellStyle name="Style 1 3" xfId="23908" xr:uid="{00000000-0005-0000-0000-0000BF730000}"/>
    <cellStyle name="Style 1 4" xfId="25879" xr:uid="{00000000-0005-0000-0000-0000C0730000}"/>
    <cellStyle name="Style 1 5" xfId="29263" xr:uid="{00000000-0005-0000-0000-0000C1730000}"/>
    <cellStyle name="Style 2" xfId="29264" xr:uid="{00000000-0005-0000-0000-0000C2730000}"/>
    <cellStyle name="Style 27" xfId="153" xr:uid="{00000000-0005-0000-0000-0000C3730000}"/>
    <cellStyle name="Style 27 2" xfId="25880" xr:uid="{00000000-0005-0000-0000-0000C4730000}"/>
    <cellStyle name="Style 35" xfId="154" xr:uid="{00000000-0005-0000-0000-0000C5730000}"/>
    <cellStyle name="Style 36" xfId="155" xr:uid="{00000000-0005-0000-0000-0000C6730000}"/>
    <cellStyle name="Summary" xfId="616" xr:uid="{00000000-0005-0000-0000-0000C7730000}"/>
    <cellStyle name="System" xfId="617" xr:uid="{00000000-0005-0000-0000-0000C8730000}"/>
    <cellStyle name="Table Col Head" xfId="618" xr:uid="{00000000-0005-0000-0000-0000C9730000}"/>
    <cellStyle name="Table Sub Head" xfId="619" xr:uid="{00000000-0005-0000-0000-0000CA730000}"/>
    <cellStyle name="Table Title" xfId="620" xr:uid="{00000000-0005-0000-0000-0000CB730000}"/>
    <cellStyle name="Table Units" xfId="621" xr:uid="{00000000-0005-0000-0000-0000CC730000}"/>
    <cellStyle name="TableBase" xfId="622" xr:uid="{00000000-0005-0000-0000-0000CD730000}"/>
    <cellStyle name="TableBase 2" xfId="24528" xr:uid="{00000000-0005-0000-0000-0000CE730000}"/>
    <cellStyle name="TableBase 2 2" xfId="25352" xr:uid="{00000000-0005-0000-0000-0000CF730000}"/>
    <cellStyle name="TableBase 2 2 2" xfId="27506" xr:uid="{00000000-0005-0000-0000-0000D0730000}"/>
    <cellStyle name="TableBase 2 2 2 2" xfId="32097" xr:uid="{CE1D3B3D-01A0-4DDF-97FA-847A82D7A846}"/>
    <cellStyle name="TableBase 2 2 3" xfId="29197" xr:uid="{00000000-0005-0000-0000-0000D1730000}"/>
    <cellStyle name="TableBase 2 2 3 2" xfId="33180" xr:uid="{F71DBC97-94A3-45BC-A505-6F7B470C1533}"/>
    <cellStyle name="TableBase 2 2 4" xfId="27018" xr:uid="{00000000-0005-0000-0000-0000D2730000}"/>
    <cellStyle name="TableBase 2 2 4 2" xfId="31778" xr:uid="{0833D50F-7F5B-4921-B0D5-FFB91A9DAB25}"/>
    <cellStyle name="TableBase 2 2 5" xfId="29270" xr:uid="{00000000-0005-0000-0000-0000D3730000}"/>
    <cellStyle name="TableBase 2 2 6" xfId="29423" xr:uid="{00000000-0005-0000-0000-0000D4730000}"/>
    <cellStyle name="TableBase 2 2 7" xfId="30510" xr:uid="{65868625-B039-482E-96E9-C42A282F9469}"/>
    <cellStyle name="TableBase 2 3" xfId="25598" xr:uid="{00000000-0005-0000-0000-0000D5730000}"/>
    <cellStyle name="TableBase 2 3 2" xfId="27751" xr:uid="{00000000-0005-0000-0000-0000D6730000}"/>
    <cellStyle name="TableBase 2 3 2 2" xfId="32338" xr:uid="{F398C911-750B-4F76-8F5E-41D030D7EBFD}"/>
    <cellStyle name="TableBase 2 3 3" xfId="29234" xr:uid="{00000000-0005-0000-0000-0000D7730000}"/>
    <cellStyle name="TableBase 2 3 3 2" xfId="33217" xr:uid="{E54243C6-6F5D-4D40-BBB5-BBBD9E463CA6}"/>
    <cellStyle name="TableBase 2 3 4" xfId="26249" xr:uid="{00000000-0005-0000-0000-0000D8730000}"/>
    <cellStyle name="TableBase 2 3 4 2" xfId="31037" xr:uid="{8D9E6AC7-BD53-4928-92A4-37132158A0A7}"/>
    <cellStyle name="TableBase 2 3 5" xfId="29269" xr:uid="{00000000-0005-0000-0000-0000D9730000}"/>
    <cellStyle name="TableBase 2 3 6" xfId="29424" xr:uid="{00000000-0005-0000-0000-0000DA730000}"/>
    <cellStyle name="TableBase 2 3 7" xfId="30639" xr:uid="{B39F3AF0-8C6F-4B0B-AC55-965F0F5DAB48}"/>
    <cellStyle name="TableBase 2 4" xfId="27208" xr:uid="{00000000-0005-0000-0000-0000DB730000}"/>
    <cellStyle name="TableBase 2 4 2" xfId="31858" xr:uid="{045E42C3-D56B-4128-99FB-2ACA81DD8781}"/>
    <cellStyle name="TableBase 2 5" xfId="27038" xr:uid="{00000000-0005-0000-0000-0000DC730000}"/>
    <cellStyle name="TableBase 2 5 2" xfId="31789" xr:uid="{109C4FA2-84E0-4FA2-9037-BE4DEEED450D}"/>
    <cellStyle name="TableBase 2 6" xfId="26764" xr:uid="{00000000-0005-0000-0000-0000DD730000}"/>
    <cellStyle name="TableBase 2 6 2" xfId="31525" xr:uid="{794BC1CA-BB5D-4944-A82B-9F8B9D892063}"/>
    <cellStyle name="TableBase 2 7" xfId="29271" xr:uid="{00000000-0005-0000-0000-0000DE730000}"/>
    <cellStyle name="TableBase 2 8" xfId="29422" xr:uid="{00000000-0005-0000-0000-0000DF730000}"/>
    <cellStyle name="TableBase 2 9" xfId="30300" xr:uid="{D3820272-D3B7-415A-8FB7-AA84313CD6AB}"/>
    <cellStyle name="TableBase 3" xfId="24688" xr:uid="{00000000-0005-0000-0000-0000E0730000}"/>
    <cellStyle name="TableBase 3 2" xfId="25440" xr:uid="{00000000-0005-0000-0000-0000E1730000}"/>
    <cellStyle name="TableBase 3 2 2" xfId="27594" xr:uid="{00000000-0005-0000-0000-0000E2730000}"/>
    <cellStyle name="TableBase 3 2 2 2" xfId="32185" xr:uid="{925815FA-CA04-40E1-B188-E29CC1E0148D}"/>
    <cellStyle name="TableBase 3 2 3" xfId="29213" xr:uid="{00000000-0005-0000-0000-0000E3730000}"/>
    <cellStyle name="TableBase 3 2 3 2" xfId="33196" xr:uid="{7F5C0DE2-045E-4D25-BBFE-EA93089D0F5B}"/>
    <cellStyle name="TableBase 3 2 4" xfId="26338" xr:uid="{00000000-0005-0000-0000-0000E4730000}"/>
    <cellStyle name="TableBase 3 2 4 2" xfId="31126" xr:uid="{81E67D89-95C6-493B-9817-73B89208F7B1}"/>
    <cellStyle name="TableBase 3 2 5" xfId="29267" xr:uid="{00000000-0005-0000-0000-0000E5730000}"/>
    <cellStyle name="TableBase 3 2 6" xfId="29426" xr:uid="{00000000-0005-0000-0000-0000E6730000}"/>
    <cellStyle name="TableBase 3 2 7" xfId="30598" xr:uid="{ED54E79D-9107-41C5-850D-652AC3282B8B}"/>
    <cellStyle name="TableBase 3 3" xfId="25650" xr:uid="{00000000-0005-0000-0000-0000E7730000}"/>
    <cellStyle name="TableBase 3 3 2" xfId="27803" xr:uid="{00000000-0005-0000-0000-0000E8730000}"/>
    <cellStyle name="TableBase 3 3 2 2" xfId="32390" xr:uid="{10AE01FB-390D-4B97-ADE8-0265A1F1AE78}"/>
    <cellStyle name="TableBase 3 3 3" xfId="29236" xr:uid="{00000000-0005-0000-0000-0000E9730000}"/>
    <cellStyle name="TableBase 3 3 3 2" xfId="33218" xr:uid="{4E251EF7-D38E-4893-9208-93423C227400}"/>
    <cellStyle name="TableBase 3 3 4" xfId="26278" xr:uid="{00000000-0005-0000-0000-0000EA730000}"/>
    <cellStyle name="TableBase 3 3 4 2" xfId="31066" xr:uid="{7764611B-88DD-4EA7-A0FC-9B2C06FAB1B2}"/>
    <cellStyle name="TableBase 3 3 5" xfId="29266" xr:uid="{00000000-0005-0000-0000-0000EB730000}"/>
    <cellStyle name="TableBase 3 3 6" xfId="29427" xr:uid="{00000000-0005-0000-0000-0000EC730000}"/>
    <cellStyle name="TableBase 3 3 7" xfId="30644" xr:uid="{AEAB9BD3-6153-44FF-8BB6-D2FF88300096}"/>
    <cellStyle name="TableBase 3 4" xfId="27278" xr:uid="{00000000-0005-0000-0000-0000ED730000}"/>
    <cellStyle name="TableBase 3 4 2" xfId="31912" xr:uid="{BF207EEF-67E4-4B5A-B463-398417E61C5D}"/>
    <cellStyle name="TableBase 3 5" xfId="26036" xr:uid="{00000000-0005-0000-0000-0000EE730000}"/>
    <cellStyle name="TableBase 3 5 2" xfId="30837" xr:uid="{19E09015-F9D6-4EE7-99F9-D45E8C761AF3}"/>
    <cellStyle name="TableBase 3 6" xfId="26809" xr:uid="{00000000-0005-0000-0000-0000EF730000}"/>
    <cellStyle name="TableBase 3 6 2" xfId="31570" xr:uid="{FBC86008-14A9-4131-AF59-DFF704AF25C4}"/>
    <cellStyle name="TableBase 3 7" xfId="29268" xr:uid="{00000000-0005-0000-0000-0000F0730000}"/>
    <cellStyle name="TableBase 3 8" xfId="29425" xr:uid="{00000000-0005-0000-0000-0000F1730000}"/>
    <cellStyle name="TableBase 3 9" xfId="30352" xr:uid="{24F8F1CF-A606-4767-8929-F94F03D76C84}"/>
    <cellStyle name="TableBase 4" xfId="29272" xr:uid="{00000000-0005-0000-0000-0000F2730000}"/>
    <cellStyle name="TableHead" xfId="623" xr:uid="{00000000-0005-0000-0000-0000F3730000}"/>
    <cellStyle name="Text" xfId="624" xr:uid="{00000000-0005-0000-0000-0000F4730000}"/>
    <cellStyle name="Time" xfId="625" xr:uid="{00000000-0005-0000-0000-0000F5730000}"/>
    <cellStyle name="Time 2" xfId="24275" xr:uid="{00000000-0005-0000-0000-0000F6730000}"/>
    <cellStyle name="Title - Underline" xfId="626" xr:uid="{00000000-0005-0000-0000-0000F7730000}"/>
    <cellStyle name="Title 2" xfId="24276" xr:uid="{00000000-0005-0000-0000-0000F8730000}"/>
    <cellStyle name="Titles" xfId="156" xr:uid="{00000000-0005-0000-0000-0000F9730000}"/>
    <cellStyle name="Titles - Other" xfId="627" xr:uid="{00000000-0005-0000-0000-0000FA730000}"/>
    <cellStyle name="Titles - Other 2" xfId="24277" xr:uid="{00000000-0005-0000-0000-0000FB730000}"/>
    <cellStyle name="Titles 2" xfId="24929" xr:uid="{00000000-0005-0000-0000-0000FC730000}"/>
    <cellStyle name="Titles 3" xfId="25137" xr:uid="{00000000-0005-0000-0000-0000FD730000}"/>
    <cellStyle name="Total 10" xfId="3476" xr:uid="{00000000-0005-0000-0000-0000FE730000}"/>
    <cellStyle name="Total 11" xfId="3477" xr:uid="{00000000-0005-0000-0000-0000FF730000}"/>
    <cellStyle name="Total 12" xfId="3478" xr:uid="{00000000-0005-0000-0000-000000740000}"/>
    <cellStyle name="Total 13" xfId="3479" xr:uid="{00000000-0005-0000-0000-000001740000}"/>
    <cellStyle name="Total 14" xfId="3480" xr:uid="{00000000-0005-0000-0000-000002740000}"/>
    <cellStyle name="Total 15" xfId="3481" xr:uid="{00000000-0005-0000-0000-000003740000}"/>
    <cellStyle name="Total 16" xfId="3482" xr:uid="{00000000-0005-0000-0000-000004740000}"/>
    <cellStyle name="Total 17" xfId="3483" xr:uid="{00000000-0005-0000-0000-000005740000}"/>
    <cellStyle name="Total 18" xfId="3484" xr:uid="{00000000-0005-0000-0000-000006740000}"/>
    <cellStyle name="Total 19" xfId="3485" xr:uid="{00000000-0005-0000-0000-000007740000}"/>
    <cellStyle name="Total 2" xfId="157" xr:uid="{00000000-0005-0000-0000-000008740000}"/>
    <cellStyle name="Total 2 2" xfId="3486" xr:uid="{00000000-0005-0000-0000-000009740000}"/>
    <cellStyle name="Total 2 2 2" xfId="24279" xr:uid="{00000000-0005-0000-0000-00000A740000}"/>
    <cellStyle name="Total 2 2 2 2" xfId="25412" xr:uid="{00000000-0005-0000-0000-00000B740000}"/>
    <cellStyle name="Total 2 2 2 2 2" xfId="27566" xr:uid="{00000000-0005-0000-0000-00000C740000}"/>
    <cellStyle name="Total 2 2 2 2 2 2" xfId="32157" xr:uid="{09EE0226-7981-4556-ABDD-473779325ABA}"/>
    <cellStyle name="Total 2 2 2 2 3" xfId="28550" xr:uid="{00000000-0005-0000-0000-00000D740000}"/>
    <cellStyle name="Total 2 2 2 2 3 2" xfId="33108" xr:uid="{1BBE41D4-3DD4-481A-A5A2-B404CCD6B23E}"/>
    <cellStyle name="Total 2 2 2 2 4" xfId="26251" xr:uid="{00000000-0005-0000-0000-00000E740000}"/>
    <cellStyle name="Total 2 2 2 2 4 2" xfId="31039" xr:uid="{FBDB0E74-F8EE-486A-A488-1B681BD27872}"/>
    <cellStyle name="Total 2 2 2 2 5" xfId="30098" xr:uid="{00000000-0005-0000-0000-00000F740000}"/>
    <cellStyle name="Total 2 2 2 2 6" xfId="30570" xr:uid="{2F5991BB-6954-429F-A43E-A08D6DF600B2}"/>
    <cellStyle name="Total 2 2 2 3" xfId="25592" xr:uid="{00000000-0005-0000-0000-000010740000}"/>
    <cellStyle name="Total 2 2 2 3 2" xfId="27745" xr:uid="{00000000-0005-0000-0000-000011740000}"/>
    <cellStyle name="Total 2 2 2 3 2 2" xfId="32332" xr:uid="{73C33BD2-9DA0-430F-ADEF-4FFCEAFC1D37}"/>
    <cellStyle name="Total 2 2 2 3 3" xfId="28551" xr:uid="{00000000-0005-0000-0000-000012740000}"/>
    <cellStyle name="Total 2 2 2 3 3 2" xfId="33109" xr:uid="{A4D2341F-5110-447D-B0C7-2D4CC9AC0D9C}"/>
    <cellStyle name="Total 2 2 2 3 4" xfId="26940" xr:uid="{00000000-0005-0000-0000-000013740000}"/>
    <cellStyle name="Total 2 2 2 3 4 2" xfId="31701" xr:uid="{D59D3FB4-6BA5-4D9B-9E53-875239A95659}"/>
    <cellStyle name="Total 2 2 2 3 5" xfId="30099" xr:uid="{00000000-0005-0000-0000-000014740000}"/>
    <cellStyle name="Total 2 2 2 3 6" xfId="30633" xr:uid="{3E310DBB-8EE4-4B86-8311-31FE88E695A6}"/>
    <cellStyle name="Total 2 2 2 4" xfId="27129" xr:uid="{00000000-0005-0000-0000-000015740000}"/>
    <cellStyle name="Total 2 2 2 4 2" xfId="31843" xr:uid="{808641F3-A0E8-4B4C-B068-15D9048450E3}"/>
    <cellStyle name="Total 2 2 2 5" xfId="28549" xr:uid="{00000000-0005-0000-0000-000016740000}"/>
    <cellStyle name="Total 2 2 2 5 2" xfId="33107" xr:uid="{218E2E99-13BA-492F-B8C0-5406D954D2BB}"/>
    <cellStyle name="Total 2 2 2 6" xfId="26073" xr:uid="{00000000-0005-0000-0000-000017740000}"/>
    <cellStyle name="Total 2 2 2 6 2" xfId="30863" xr:uid="{4BC39723-DEC7-4040-9690-1A9B4422AD90}"/>
    <cellStyle name="Total 2 2 2 7" xfId="30097" xr:uid="{00000000-0005-0000-0000-000018740000}"/>
    <cellStyle name="Total 2 2 2 8" xfId="30294" xr:uid="{AB46E8A1-008E-467A-B1C7-0466D0555D6E}"/>
    <cellStyle name="Total 2 2 3" xfId="24633" xr:uid="{00000000-0005-0000-0000-000019740000}"/>
    <cellStyle name="Total 2 2 3 2" xfId="25351" xr:uid="{00000000-0005-0000-0000-00001A740000}"/>
    <cellStyle name="Total 2 2 3 2 2" xfId="27505" xr:uid="{00000000-0005-0000-0000-00001B740000}"/>
    <cellStyle name="Total 2 2 3 2 2 2" xfId="32096" xr:uid="{8CE9766B-FA3B-4102-B5BE-30685C1CC1CD}"/>
    <cellStyle name="Total 2 2 3 2 3" xfId="28553" xr:uid="{00000000-0005-0000-0000-00001C740000}"/>
    <cellStyle name="Total 2 2 3 2 3 2" xfId="33111" xr:uid="{37691D6E-4DD6-4C7E-92A2-AE1758642F79}"/>
    <cellStyle name="Total 2 2 3 2 4" xfId="26870" xr:uid="{00000000-0005-0000-0000-00001D740000}"/>
    <cellStyle name="Total 2 2 3 2 4 2" xfId="31631" xr:uid="{6C431A3A-870E-4ED3-BF7D-6D7051A71B19}"/>
    <cellStyle name="Total 2 2 3 2 5" xfId="30101" xr:uid="{00000000-0005-0000-0000-00001E740000}"/>
    <cellStyle name="Total 2 2 3 2 6" xfId="30509" xr:uid="{66047F43-BEBF-438A-A05F-357736EC2D0D}"/>
    <cellStyle name="Total 2 2 3 3" xfId="25601" xr:uid="{00000000-0005-0000-0000-00001F740000}"/>
    <cellStyle name="Total 2 2 3 3 2" xfId="27754" xr:uid="{00000000-0005-0000-0000-000020740000}"/>
    <cellStyle name="Total 2 2 3 3 2 2" xfId="32341" xr:uid="{4999E069-6BA1-4A3A-8B1D-0FD10F73517D}"/>
    <cellStyle name="Total 2 2 3 3 3" xfId="28554" xr:uid="{00000000-0005-0000-0000-000021740000}"/>
    <cellStyle name="Total 2 2 3 3 3 2" xfId="33112" xr:uid="{41B8A705-C68E-4DA0-A881-C6F9435FED47}"/>
    <cellStyle name="Total 2 2 3 3 4" xfId="26210" xr:uid="{00000000-0005-0000-0000-000022740000}"/>
    <cellStyle name="Total 2 2 3 3 4 2" xfId="30998" xr:uid="{5E132638-CBA1-4F5F-B625-E673A40A5889}"/>
    <cellStyle name="Total 2 2 3 3 5" xfId="30102" xr:uid="{00000000-0005-0000-0000-000023740000}"/>
    <cellStyle name="Total 2 2 3 3 6" xfId="30642" xr:uid="{21BC435D-8F8C-4718-91A3-E710F323BBE2}"/>
    <cellStyle name="Total 2 2 3 4" xfId="27227" xr:uid="{00000000-0005-0000-0000-000024740000}"/>
    <cellStyle name="Total 2 2 3 4 2" xfId="31863" xr:uid="{E84DC1B8-0F3C-461C-BF2D-41B18709A888}"/>
    <cellStyle name="Total 2 2 3 5" xfId="28552" xr:uid="{00000000-0005-0000-0000-000025740000}"/>
    <cellStyle name="Total 2 2 3 5 2" xfId="33110" xr:uid="{A9C3FC89-54DB-42AF-B554-1F053361BB99}"/>
    <cellStyle name="Total 2 2 3 6" xfId="26116" xr:uid="{00000000-0005-0000-0000-000026740000}"/>
    <cellStyle name="Total 2 2 3 6 2" xfId="30906" xr:uid="{3A269408-99D0-4BFD-B4A1-946D74B34F16}"/>
    <cellStyle name="Total 2 2 3 7" xfId="30100" xr:uid="{00000000-0005-0000-0000-000027740000}"/>
    <cellStyle name="Total 2 2 3 8" xfId="30303" xr:uid="{F7BBF354-E48E-481E-866B-F82FE1BD56AD}"/>
    <cellStyle name="Total 2 2 4" xfId="25139" xr:uid="{00000000-0005-0000-0000-000028740000}"/>
    <cellStyle name="Total 2 2 4 2" xfId="25422" xr:uid="{00000000-0005-0000-0000-000029740000}"/>
    <cellStyle name="Total 2 2 4 2 2" xfId="27576" xr:uid="{00000000-0005-0000-0000-00002A740000}"/>
    <cellStyle name="Total 2 2 4 2 2 2" xfId="32167" xr:uid="{F9B4F9C9-065F-442E-9131-25D6ACDF9486}"/>
    <cellStyle name="Total 2 2 4 2 3" xfId="28556" xr:uid="{00000000-0005-0000-0000-00002B740000}"/>
    <cellStyle name="Total 2 2 4 2 3 2" xfId="33114" xr:uid="{4DB5294B-F1B1-4949-B746-75FE3950104E}"/>
    <cellStyle name="Total 2 2 4 2 4" xfId="26737" xr:uid="{00000000-0005-0000-0000-00002C740000}"/>
    <cellStyle name="Total 2 2 4 2 4 2" xfId="31498" xr:uid="{A2DAAEB7-22D5-456E-9D4C-B31B5546C4EA}"/>
    <cellStyle name="Total 2 2 4 2 5" xfId="30104" xr:uid="{00000000-0005-0000-0000-00002D740000}"/>
    <cellStyle name="Total 2 2 4 2 6" xfId="30580" xr:uid="{056D6584-37B5-4993-B029-E86C1EFF9795}"/>
    <cellStyle name="Total 2 2 4 3" xfId="25736" xr:uid="{00000000-0005-0000-0000-00002E740000}"/>
    <cellStyle name="Total 2 2 4 3 2" xfId="27889" xr:uid="{00000000-0005-0000-0000-00002F740000}"/>
    <cellStyle name="Total 2 2 4 3 2 2" xfId="32476" xr:uid="{96345B05-03C4-475C-A748-7C0BE7E43064}"/>
    <cellStyle name="Total 2 2 4 3 3" xfId="28557" xr:uid="{00000000-0005-0000-0000-000030740000}"/>
    <cellStyle name="Total 2 2 4 3 3 2" xfId="33115" xr:uid="{7DA5D0EF-88CD-482F-8ADC-844AFF54633D}"/>
    <cellStyle name="Total 2 2 4 3 4" xfId="29258" xr:uid="{00000000-0005-0000-0000-000031740000}"/>
    <cellStyle name="Total 2 2 4 3 4 2" xfId="33240" xr:uid="{C47144C2-9CAE-44E0-A55E-794DA78DEC61}"/>
    <cellStyle name="Total 2 2 4 3 5" xfId="30105" xr:uid="{00000000-0005-0000-0000-000032740000}"/>
    <cellStyle name="Total 2 2 4 3 6" xfId="30730" xr:uid="{9DBCDA8A-FC7D-4AFC-BA5D-F6EC10DA1393}"/>
    <cellStyle name="Total 2 2 4 4" xfId="27423" xr:uid="{00000000-0005-0000-0000-000033740000}"/>
    <cellStyle name="Total 2 2 4 4 2" xfId="32021" xr:uid="{D0680DF0-A2A1-4C08-ACC4-2CD95E941120}"/>
    <cellStyle name="Total 2 2 4 5" xfId="28555" xr:uid="{00000000-0005-0000-0000-000034740000}"/>
    <cellStyle name="Total 2 2 4 5 2" xfId="33113" xr:uid="{EA5F274C-232A-42C0-B983-4A80478F2735}"/>
    <cellStyle name="Total 2 2 4 6" xfId="26941" xr:uid="{00000000-0005-0000-0000-000035740000}"/>
    <cellStyle name="Total 2 2 4 6 2" xfId="31702" xr:uid="{9E7AA0C8-C283-45AF-B706-BB146DAA2ACD}"/>
    <cellStyle name="Total 2 2 4 7" xfId="30103" xr:uid="{00000000-0005-0000-0000-000036740000}"/>
    <cellStyle name="Total 2 2 4 8" xfId="30438" xr:uid="{43DF1FEB-B7BD-4927-BE6C-8354B6B55455}"/>
    <cellStyle name="Total 2 3" xfId="13681" xr:uid="{00000000-0005-0000-0000-000037740000}"/>
    <cellStyle name="Total 2 4" xfId="24278" xr:uid="{00000000-0005-0000-0000-000038740000}"/>
    <cellStyle name="Total 2 4 2" xfId="25310" xr:uid="{00000000-0005-0000-0000-000039740000}"/>
    <cellStyle name="Total 2 4 2 2" xfId="27464" xr:uid="{00000000-0005-0000-0000-00003A740000}"/>
    <cellStyle name="Total 2 4 2 2 2" xfId="32056" xr:uid="{03F5C887-76CE-4993-9466-C641BF5BB254}"/>
    <cellStyle name="Total 2 4 2 3" xfId="28559" xr:uid="{00000000-0005-0000-0000-00003B740000}"/>
    <cellStyle name="Total 2 4 2 3 2" xfId="33117" xr:uid="{B75D1382-9045-465A-9195-285CC700B6FA}"/>
    <cellStyle name="Total 2 4 2 4" xfId="26951" xr:uid="{00000000-0005-0000-0000-00003C740000}"/>
    <cellStyle name="Total 2 4 2 4 2" xfId="31712" xr:uid="{C7848FA9-6DAC-482C-A883-56DA5C8D9AA7}"/>
    <cellStyle name="Total 2 4 2 5" xfId="30107" xr:uid="{00000000-0005-0000-0000-00003D740000}"/>
    <cellStyle name="Total 2 4 2 6" xfId="30469" xr:uid="{6D9C7339-1642-4E97-A734-58778A07D5A7}"/>
    <cellStyle name="Total 2 4 3" xfId="25591" xr:uid="{00000000-0005-0000-0000-00003E740000}"/>
    <cellStyle name="Total 2 4 3 2" xfId="27744" xr:uid="{00000000-0005-0000-0000-00003F740000}"/>
    <cellStyle name="Total 2 4 3 2 2" xfId="32331" xr:uid="{9BB08DDE-080D-4DC0-B10F-79263354C82F}"/>
    <cellStyle name="Total 2 4 3 3" xfId="28560" xr:uid="{00000000-0005-0000-0000-000040740000}"/>
    <cellStyle name="Total 2 4 3 3 2" xfId="33118" xr:uid="{8BE39DB1-FA93-450D-92B6-F7A7396F09E7}"/>
    <cellStyle name="Total 2 4 3 4" xfId="26333" xr:uid="{00000000-0005-0000-0000-000041740000}"/>
    <cellStyle name="Total 2 4 3 4 2" xfId="31121" xr:uid="{0BCAB065-DF40-4C2F-A5B1-32CE93710DEF}"/>
    <cellStyle name="Total 2 4 3 5" xfId="30108" xr:uid="{00000000-0005-0000-0000-000042740000}"/>
    <cellStyle name="Total 2 4 3 6" xfId="30632" xr:uid="{401B59A7-E822-4AE8-A985-FB9E80E66F05}"/>
    <cellStyle name="Total 2 4 4" xfId="27128" xr:uid="{00000000-0005-0000-0000-000043740000}"/>
    <cellStyle name="Total 2 4 4 2" xfId="31842" xr:uid="{433FFB42-A782-4AC9-970D-FFCFD7F553A5}"/>
    <cellStyle name="Total 2 4 5" xfId="28558" xr:uid="{00000000-0005-0000-0000-000044740000}"/>
    <cellStyle name="Total 2 4 5 2" xfId="33116" xr:uid="{EEE379A3-1B84-466C-81E1-E711F43C6523}"/>
    <cellStyle name="Total 2 4 6" xfId="26672" xr:uid="{00000000-0005-0000-0000-000045740000}"/>
    <cellStyle name="Total 2 4 6 2" xfId="31440" xr:uid="{5BE4EEEB-C8E3-428A-9404-F4CB154E2CEB}"/>
    <cellStyle name="Total 2 4 7" xfId="30106" xr:uid="{00000000-0005-0000-0000-000046740000}"/>
    <cellStyle name="Total 2 4 8" xfId="30293" xr:uid="{ED9E4BE2-6C6A-4EB4-9399-9C307C62DECA}"/>
    <cellStyle name="Total 2 5" xfId="24634" xr:uid="{00000000-0005-0000-0000-000047740000}"/>
    <cellStyle name="Total 2 5 2" xfId="25452" xr:uid="{00000000-0005-0000-0000-000048740000}"/>
    <cellStyle name="Total 2 5 2 2" xfId="27606" xr:uid="{00000000-0005-0000-0000-000049740000}"/>
    <cellStyle name="Total 2 5 2 2 2" xfId="32197" xr:uid="{0F29F80F-D7B2-41A5-8C8F-8E29FCADA158}"/>
    <cellStyle name="Total 2 5 2 3" xfId="28562" xr:uid="{00000000-0005-0000-0000-00004A740000}"/>
    <cellStyle name="Total 2 5 2 3 2" xfId="33120" xr:uid="{7FDE34CF-B069-40A9-A659-2199E86D2E70}"/>
    <cellStyle name="Total 2 5 2 4" xfId="26849" xr:uid="{00000000-0005-0000-0000-00004B740000}"/>
    <cellStyle name="Total 2 5 2 4 2" xfId="31610" xr:uid="{8ED164CA-52F5-44A0-B5E3-0D5AAF63E137}"/>
    <cellStyle name="Total 2 5 2 5" xfId="30110" xr:uid="{00000000-0005-0000-0000-00004C740000}"/>
    <cellStyle name="Total 2 5 2 6" xfId="30610" xr:uid="{3363A8E9-A061-4946-9450-F6D81FF76262}"/>
    <cellStyle name="Total 2 5 3" xfId="25602" xr:uid="{00000000-0005-0000-0000-00004D740000}"/>
    <cellStyle name="Total 2 5 3 2" xfId="27755" xr:uid="{00000000-0005-0000-0000-00004E740000}"/>
    <cellStyle name="Total 2 5 3 2 2" xfId="32342" xr:uid="{885EAF7E-09B2-405F-9861-BC64C9255ABC}"/>
    <cellStyle name="Total 2 5 3 3" xfId="28563" xr:uid="{00000000-0005-0000-0000-00004F740000}"/>
    <cellStyle name="Total 2 5 3 3 2" xfId="33121" xr:uid="{F2973C02-BE19-4E11-80B8-3465E5030BD2}"/>
    <cellStyle name="Total 2 5 3 4" xfId="26095" xr:uid="{00000000-0005-0000-0000-000050740000}"/>
    <cellStyle name="Total 2 5 3 4 2" xfId="30885" xr:uid="{5ACDE122-9DEF-4C0E-9E74-3FECC75EA94F}"/>
    <cellStyle name="Total 2 5 3 5" xfId="30111" xr:uid="{00000000-0005-0000-0000-000051740000}"/>
    <cellStyle name="Total 2 5 3 6" xfId="30643" xr:uid="{1C4566A9-F474-47D4-A093-DEDDCAC01134}"/>
    <cellStyle name="Total 2 5 4" xfId="27228" xr:uid="{00000000-0005-0000-0000-000052740000}"/>
    <cellStyle name="Total 2 5 4 2" xfId="31864" xr:uid="{E56FA133-FC66-455A-887A-09CE1755A737}"/>
    <cellStyle name="Total 2 5 5" xfId="28561" xr:uid="{00000000-0005-0000-0000-000053740000}"/>
    <cellStyle name="Total 2 5 5 2" xfId="33119" xr:uid="{C5714789-7AFD-41DC-A9E8-7AE849ABF029}"/>
    <cellStyle name="Total 2 5 6" xfId="26698" xr:uid="{00000000-0005-0000-0000-000054740000}"/>
    <cellStyle name="Total 2 5 6 2" xfId="31460" xr:uid="{13278DD0-2269-4D28-A109-FA6257B16C8D}"/>
    <cellStyle name="Total 2 5 7" xfId="30109" xr:uid="{00000000-0005-0000-0000-000055740000}"/>
    <cellStyle name="Total 2 5 8" xfId="30304" xr:uid="{5B0D063A-660A-4B00-9E50-C49A8411D7E4}"/>
    <cellStyle name="Total 2 6" xfId="25138" xr:uid="{00000000-0005-0000-0000-000056740000}"/>
    <cellStyle name="Total 2 6 2" xfId="25318" xr:uid="{00000000-0005-0000-0000-000057740000}"/>
    <cellStyle name="Total 2 6 2 2" xfId="27472" xr:uid="{00000000-0005-0000-0000-000058740000}"/>
    <cellStyle name="Total 2 6 2 2 2" xfId="32063" xr:uid="{58B035EB-303F-47DE-B3C3-0542415EF7E1}"/>
    <cellStyle name="Total 2 6 2 3" xfId="28565" xr:uid="{00000000-0005-0000-0000-000059740000}"/>
    <cellStyle name="Total 2 6 2 3 2" xfId="33123" xr:uid="{F0DEB96A-4045-4D03-9DFB-616A35F7D55B}"/>
    <cellStyle name="Total 2 6 2 4" xfId="26865" xr:uid="{00000000-0005-0000-0000-00005A740000}"/>
    <cellStyle name="Total 2 6 2 4 2" xfId="31626" xr:uid="{36713479-7827-493F-911A-333B0EEFEEAA}"/>
    <cellStyle name="Total 2 6 2 5" xfId="30113" xr:uid="{00000000-0005-0000-0000-00005B740000}"/>
    <cellStyle name="Total 2 6 2 6" xfId="30476" xr:uid="{3F7F02EA-F975-4789-BFD1-E030C6A5F965}"/>
    <cellStyle name="Total 2 6 3" xfId="25735" xr:uid="{00000000-0005-0000-0000-00005C740000}"/>
    <cellStyle name="Total 2 6 3 2" xfId="27888" xr:uid="{00000000-0005-0000-0000-00005D740000}"/>
    <cellStyle name="Total 2 6 3 2 2" xfId="32475" xr:uid="{AE556F90-C752-4782-94A2-6DEB72BE58B8}"/>
    <cellStyle name="Total 2 6 3 3" xfId="28566" xr:uid="{00000000-0005-0000-0000-00005E740000}"/>
    <cellStyle name="Total 2 6 3 3 2" xfId="33124" xr:uid="{44C4BC4A-3B2E-4F9B-91E3-EB79CCAC2AD5}"/>
    <cellStyle name="Total 2 6 3 4" xfId="26963" xr:uid="{00000000-0005-0000-0000-00005F740000}"/>
    <cellStyle name="Total 2 6 3 4 2" xfId="31724" xr:uid="{F66DD7EC-FD6D-4CAE-99DB-189DD484ACBB}"/>
    <cellStyle name="Total 2 6 3 5" xfId="30114" xr:uid="{00000000-0005-0000-0000-000060740000}"/>
    <cellStyle name="Total 2 6 3 6" xfId="30729" xr:uid="{5899EE3C-87ED-4965-A6D1-E429D4768DA0}"/>
    <cellStyle name="Total 2 6 4" xfId="27422" xr:uid="{00000000-0005-0000-0000-000061740000}"/>
    <cellStyle name="Total 2 6 4 2" xfId="32020" xr:uid="{CF2C2147-A49F-4CBE-93AC-F228ED8FBA0B}"/>
    <cellStyle name="Total 2 6 5" xfId="28564" xr:uid="{00000000-0005-0000-0000-000062740000}"/>
    <cellStyle name="Total 2 6 5 2" xfId="33122" xr:uid="{6629F2E5-E241-43F9-A01D-B55CE3ACF3C3}"/>
    <cellStyle name="Total 2 6 6" xfId="26334" xr:uid="{00000000-0005-0000-0000-000063740000}"/>
    <cellStyle name="Total 2 6 6 2" xfId="31122" xr:uid="{A4C0409F-E108-48BE-AB20-86C5B9744D7A}"/>
    <cellStyle name="Total 2 6 7" xfId="30112" xr:uid="{00000000-0005-0000-0000-000064740000}"/>
    <cellStyle name="Total 2 6 8" xfId="30437" xr:uid="{E4B59085-5DAF-4BE6-B1FA-83CF159D6D56}"/>
    <cellStyle name="Total 20" xfId="3487" xr:uid="{00000000-0005-0000-0000-000065740000}"/>
    <cellStyle name="Total 21" xfId="3488" xr:uid="{00000000-0005-0000-0000-000066740000}"/>
    <cellStyle name="Total 22" xfId="3489" xr:uid="{00000000-0005-0000-0000-000067740000}"/>
    <cellStyle name="Total 23" xfId="3490" xr:uid="{00000000-0005-0000-0000-000068740000}"/>
    <cellStyle name="Total 24" xfId="3491" xr:uid="{00000000-0005-0000-0000-000069740000}"/>
    <cellStyle name="Total 25" xfId="3492" xr:uid="{00000000-0005-0000-0000-00006A740000}"/>
    <cellStyle name="Total 26" xfId="3493" xr:uid="{00000000-0005-0000-0000-00006B740000}"/>
    <cellStyle name="Total 27" xfId="3494" xr:uid="{00000000-0005-0000-0000-00006C740000}"/>
    <cellStyle name="Total 28" xfId="3495" xr:uid="{00000000-0005-0000-0000-00006D740000}"/>
    <cellStyle name="Total 29" xfId="3496" xr:uid="{00000000-0005-0000-0000-00006E740000}"/>
    <cellStyle name="Total 3" xfId="3497" xr:uid="{00000000-0005-0000-0000-00006F740000}"/>
    <cellStyle name="Total 3 2" xfId="24281" xr:uid="{00000000-0005-0000-0000-000070740000}"/>
    <cellStyle name="Total 3 2 10" xfId="30296" xr:uid="{385E2AD9-841E-475A-A9B0-FBE4F1F5DE11}"/>
    <cellStyle name="Total 3 2 2" xfId="24631" xr:uid="{00000000-0005-0000-0000-000071740000}"/>
    <cellStyle name="Total 3 2 2 2" xfId="25334" xr:uid="{00000000-0005-0000-0000-000072740000}"/>
    <cellStyle name="Total 3 2 2 2 2" xfId="27488" xr:uid="{00000000-0005-0000-0000-000073740000}"/>
    <cellStyle name="Total 3 2 2 2 2 2" xfId="32079" xr:uid="{59DA73F7-1617-4740-81AB-4E2B53A7A73C}"/>
    <cellStyle name="Total 3 2 2 2 3" xfId="28572" xr:uid="{00000000-0005-0000-0000-000074740000}"/>
    <cellStyle name="Total 3 2 2 2 3 2" xfId="33130" xr:uid="{9889E3BB-2D4A-4E7D-BEA9-EED552A85663}"/>
    <cellStyle name="Total 3 2 2 2 4" xfId="26240" xr:uid="{00000000-0005-0000-0000-000075740000}"/>
    <cellStyle name="Total 3 2 2 2 4 2" xfId="31028" xr:uid="{9AAD0F01-4BC3-4587-97B6-C8749DB3B9F7}"/>
    <cellStyle name="Total 3 2 2 2 5" xfId="30117" xr:uid="{00000000-0005-0000-0000-000076740000}"/>
    <cellStyle name="Total 3 2 2 2 6" xfId="30492" xr:uid="{A6244883-4348-4D6B-B193-F21480213BDF}"/>
    <cellStyle name="Total 3 2 2 3" xfId="25599" xr:uid="{00000000-0005-0000-0000-000077740000}"/>
    <cellStyle name="Total 3 2 2 3 2" xfId="27752" xr:uid="{00000000-0005-0000-0000-000078740000}"/>
    <cellStyle name="Total 3 2 2 3 2 2" xfId="32339" xr:uid="{21AA8AE0-067C-4CCE-A45B-7B88A70F4583}"/>
    <cellStyle name="Total 3 2 2 3 3" xfId="28573" xr:uid="{00000000-0005-0000-0000-000079740000}"/>
    <cellStyle name="Total 3 2 2 3 3 2" xfId="33131" xr:uid="{932DF98C-50C0-4B2A-81BF-55DD0E469881}"/>
    <cellStyle name="Total 3 2 2 3 4" xfId="26294" xr:uid="{00000000-0005-0000-0000-00007A740000}"/>
    <cellStyle name="Total 3 2 2 3 4 2" xfId="31082" xr:uid="{968053EE-0A4C-4EFC-8568-6A77DAA0CC3A}"/>
    <cellStyle name="Total 3 2 2 3 5" xfId="30118" xr:uid="{00000000-0005-0000-0000-00007B740000}"/>
    <cellStyle name="Total 3 2 2 3 6" xfId="30640" xr:uid="{A656EE7B-1A51-4D43-8491-203272F4DC8B}"/>
    <cellStyle name="Total 3 2 2 4" xfId="27225" xr:uid="{00000000-0005-0000-0000-00007C740000}"/>
    <cellStyle name="Total 3 2 2 4 2" xfId="31861" xr:uid="{7C687B4E-3C4D-41C1-99F8-20496200970D}"/>
    <cellStyle name="Total 3 2 2 5" xfId="28571" xr:uid="{00000000-0005-0000-0000-00007D740000}"/>
    <cellStyle name="Total 3 2 2 5 2" xfId="33129" xr:uid="{6E4D43D8-CEA0-41FA-A915-B80FFB9DB486}"/>
    <cellStyle name="Total 3 2 2 6" xfId="26546" xr:uid="{00000000-0005-0000-0000-00007E740000}"/>
    <cellStyle name="Total 3 2 2 6 2" xfId="31333" xr:uid="{9B1C10EC-8EE4-4B6D-8AD8-4C8974A0AC5E}"/>
    <cellStyle name="Total 3 2 2 7" xfId="30116" xr:uid="{00000000-0005-0000-0000-00007F740000}"/>
    <cellStyle name="Total 3 2 2 8" xfId="30301" xr:uid="{9A3DAA71-1F8D-407D-B6EB-4FCEAF061A73}"/>
    <cellStyle name="Total 3 2 3" xfId="25141" xr:uid="{00000000-0005-0000-0000-000080740000}"/>
    <cellStyle name="Total 3 2 3 2" xfId="25436" xr:uid="{00000000-0005-0000-0000-000081740000}"/>
    <cellStyle name="Total 3 2 3 2 2" xfId="27590" xr:uid="{00000000-0005-0000-0000-000082740000}"/>
    <cellStyle name="Total 3 2 3 2 2 2" xfId="32181" xr:uid="{87FCEA46-A21E-40FB-AA21-24E7F7226370}"/>
    <cellStyle name="Total 3 2 3 2 3" xfId="28575" xr:uid="{00000000-0005-0000-0000-000083740000}"/>
    <cellStyle name="Total 3 2 3 2 3 2" xfId="33133" xr:uid="{A9A8045C-C8DD-4CB3-97C9-E1A66853327D}"/>
    <cellStyle name="Total 3 2 3 2 4" xfId="27044" xr:uid="{00000000-0005-0000-0000-000084740000}"/>
    <cellStyle name="Total 3 2 3 2 4 2" xfId="31792" xr:uid="{7E7C5CC4-6B06-49C2-9530-B36FA28014F6}"/>
    <cellStyle name="Total 3 2 3 2 5" xfId="30120" xr:uid="{00000000-0005-0000-0000-000085740000}"/>
    <cellStyle name="Total 3 2 3 2 6" xfId="30594" xr:uid="{0CF27471-32EE-40A6-A2FC-19F7D0A5CF3A}"/>
    <cellStyle name="Total 3 2 3 3" xfId="25738" xr:uid="{00000000-0005-0000-0000-000086740000}"/>
    <cellStyle name="Total 3 2 3 3 2" xfId="27891" xr:uid="{00000000-0005-0000-0000-000087740000}"/>
    <cellStyle name="Total 3 2 3 3 2 2" xfId="32478" xr:uid="{6F73D233-CFD9-4FEC-BCCB-74DB26BB1DD0}"/>
    <cellStyle name="Total 3 2 3 3 3" xfId="28576" xr:uid="{00000000-0005-0000-0000-000088740000}"/>
    <cellStyle name="Total 3 2 3 3 3 2" xfId="33134" xr:uid="{6CFC6D8C-FC42-4836-AE96-887967098842}"/>
    <cellStyle name="Total 3 2 3 3 4" xfId="29260" xr:uid="{00000000-0005-0000-0000-000089740000}"/>
    <cellStyle name="Total 3 2 3 3 4 2" xfId="33242" xr:uid="{31855C4D-AF09-44D6-9AA5-33D911E180BA}"/>
    <cellStyle name="Total 3 2 3 3 5" xfId="30121" xr:uid="{00000000-0005-0000-0000-00008A740000}"/>
    <cellStyle name="Total 3 2 3 3 6" xfId="30732" xr:uid="{4E9B4EB9-B82E-41DA-AF36-BEC1600B575A}"/>
    <cellStyle name="Total 3 2 3 4" xfId="27425" xr:uid="{00000000-0005-0000-0000-00008B740000}"/>
    <cellStyle name="Total 3 2 3 4 2" xfId="32023" xr:uid="{12BA33AF-16B2-499C-ACAE-69F781C3F78E}"/>
    <cellStyle name="Total 3 2 3 5" xfId="28574" xr:uid="{00000000-0005-0000-0000-00008C740000}"/>
    <cellStyle name="Total 3 2 3 5 2" xfId="33132" xr:uid="{9375B9B2-3863-4F43-899E-B274A240608F}"/>
    <cellStyle name="Total 3 2 3 6" xfId="26808" xr:uid="{00000000-0005-0000-0000-00008D740000}"/>
    <cellStyle name="Total 3 2 3 6 2" xfId="31569" xr:uid="{0C55BE48-ABF4-482C-AA08-C452AA64105B}"/>
    <cellStyle name="Total 3 2 3 7" xfId="30119" xr:uid="{00000000-0005-0000-0000-00008E740000}"/>
    <cellStyle name="Total 3 2 3 8" xfId="30440" xr:uid="{28DA7D18-07C8-4DD9-BB11-0E68365B1620}"/>
    <cellStyle name="Total 3 2 4" xfId="25426" xr:uid="{00000000-0005-0000-0000-00008F740000}"/>
    <cellStyle name="Total 3 2 4 2" xfId="27580" xr:uid="{00000000-0005-0000-0000-000090740000}"/>
    <cellStyle name="Total 3 2 4 2 2" xfId="32171" xr:uid="{FDD1E658-E151-47B2-8869-FC1B79F9A5E8}"/>
    <cellStyle name="Total 3 2 4 3" xfId="28577" xr:uid="{00000000-0005-0000-0000-000091740000}"/>
    <cellStyle name="Total 3 2 4 3 2" xfId="33135" xr:uid="{6E4371A4-873F-41A6-BF26-57CCB69BACDA}"/>
    <cellStyle name="Total 3 2 4 4" xfId="26824" xr:uid="{00000000-0005-0000-0000-000092740000}"/>
    <cellStyle name="Total 3 2 4 4 2" xfId="31585" xr:uid="{7B7C6254-C6DC-4526-A303-FA4B035B005A}"/>
    <cellStyle name="Total 3 2 4 5" xfId="30122" xr:uid="{00000000-0005-0000-0000-000093740000}"/>
    <cellStyle name="Total 3 2 4 6" xfId="30584" xr:uid="{972ACF2D-84D5-484A-9606-7788997CF651}"/>
    <cellStyle name="Total 3 2 5" xfId="25594" xr:uid="{00000000-0005-0000-0000-000094740000}"/>
    <cellStyle name="Total 3 2 5 2" xfId="27747" xr:uid="{00000000-0005-0000-0000-000095740000}"/>
    <cellStyle name="Total 3 2 5 2 2" xfId="32334" xr:uid="{75E9352B-BEBD-42A6-81E2-9B162E62794E}"/>
    <cellStyle name="Total 3 2 5 3" xfId="28578" xr:uid="{00000000-0005-0000-0000-000096740000}"/>
    <cellStyle name="Total 3 2 5 3 2" xfId="33136" xr:uid="{47C14431-BA95-4CA0-943B-A555C8101378}"/>
    <cellStyle name="Total 3 2 5 4" xfId="26807" xr:uid="{00000000-0005-0000-0000-000097740000}"/>
    <cellStyle name="Total 3 2 5 4 2" xfId="31568" xr:uid="{CEC5B46E-CDEE-4C48-B5AF-62B3E99954BF}"/>
    <cellStyle name="Total 3 2 5 5" xfId="30123" xr:uid="{00000000-0005-0000-0000-000098740000}"/>
    <cellStyle name="Total 3 2 5 6" xfId="30635" xr:uid="{DC2ADBC3-EDF7-4CE7-AE0E-219BF32EA32A}"/>
    <cellStyle name="Total 3 2 6" xfId="27131" xr:uid="{00000000-0005-0000-0000-000099740000}"/>
    <cellStyle name="Total 3 2 6 2" xfId="31845" xr:uid="{0CD25318-C880-41B1-BFFB-CCEC29345F48}"/>
    <cellStyle name="Total 3 2 7" xfId="28570" xr:uid="{00000000-0005-0000-0000-00009A740000}"/>
    <cellStyle name="Total 3 2 7 2" xfId="33128" xr:uid="{E95F106D-EB55-43EC-96D2-01EA9571FDD2}"/>
    <cellStyle name="Total 3 2 8" xfId="26917" xr:uid="{00000000-0005-0000-0000-00009B740000}"/>
    <cellStyle name="Total 3 2 8 2" xfId="31678" xr:uid="{A48B4EC0-D660-483A-BDB5-4D1732A78DC4}"/>
    <cellStyle name="Total 3 2 9" xfId="30115" xr:uid="{00000000-0005-0000-0000-00009C740000}"/>
    <cellStyle name="Total 3 3" xfId="24280" xr:uid="{00000000-0005-0000-0000-00009D740000}"/>
    <cellStyle name="Total 3 3 2" xfId="25325" xr:uid="{00000000-0005-0000-0000-00009E740000}"/>
    <cellStyle name="Total 3 3 2 2" xfId="27479" xr:uid="{00000000-0005-0000-0000-00009F740000}"/>
    <cellStyle name="Total 3 3 2 2 2" xfId="32070" xr:uid="{D4385871-11C2-4902-8002-BE751F37473B}"/>
    <cellStyle name="Total 3 3 2 3" xfId="28580" xr:uid="{00000000-0005-0000-0000-0000A0740000}"/>
    <cellStyle name="Total 3 3 2 3 2" xfId="33138" xr:uid="{DE052871-8847-4D23-82D3-FEE8A1109662}"/>
    <cellStyle name="Total 3 3 2 4" xfId="26170" xr:uid="{00000000-0005-0000-0000-0000A1740000}"/>
    <cellStyle name="Total 3 3 2 4 2" xfId="30959" xr:uid="{33CA7F80-6C6D-45C1-AA75-0DACCDDA1A1B}"/>
    <cellStyle name="Total 3 3 2 5" xfId="30125" xr:uid="{00000000-0005-0000-0000-0000A2740000}"/>
    <cellStyle name="Total 3 3 2 6" xfId="30483" xr:uid="{C443BAB3-CB26-46F2-A734-35C235ECC3AB}"/>
    <cellStyle name="Total 3 3 3" xfId="25593" xr:uid="{00000000-0005-0000-0000-0000A3740000}"/>
    <cellStyle name="Total 3 3 3 2" xfId="27746" xr:uid="{00000000-0005-0000-0000-0000A4740000}"/>
    <cellStyle name="Total 3 3 3 2 2" xfId="32333" xr:uid="{25D3C0E6-EAE0-45BC-AF1C-E265B76E9B3F}"/>
    <cellStyle name="Total 3 3 3 3" xfId="28581" xr:uid="{00000000-0005-0000-0000-0000A5740000}"/>
    <cellStyle name="Total 3 3 3 3 2" xfId="33139" xr:uid="{DFF0714C-2B9E-4B3D-85F6-67C045C0473F}"/>
    <cellStyle name="Total 3 3 3 4" xfId="26298" xr:uid="{00000000-0005-0000-0000-0000A6740000}"/>
    <cellStyle name="Total 3 3 3 4 2" xfId="31086" xr:uid="{1A64A809-93A6-48D1-BC39-84A66723CD86}"/>
    <cellStyle name="Total 3 3 3 5" xfId="30126" xr:uid="{00000000-0005-0000-0000-0000A7740000}"/>
    <cellStyle name="Total 3 3 3 6" xfId="30634" xr:uid="{0FFE2D68-50EE-491B-A851-6937403B1C30}"/>
    <cellStyle name="Total 3 3 4" xfId="27130" xr:uid="{00000000-0005-0000-0000-0000A8740000}"/>
    <cellStyle name="Total 3 3 4 2" xfId="31844" xr:uid="{86C2F497-C6A7-44D6-A49C-C5BB694F724F}"/>
    <cellStyle name="Total 3 3 5" xfId="28579" xr:uid="{00000000-0005-0000-0000-0000A9740000}"/>
    <cellStyle name="Total 3 3 5 2" xfId="33137" xr:uid="{9A5E4462-D476-4DD4-8A4E-394EDC107B58}"/>
    <cellStyle name="Total 3 3 6" xfId="26517" xr:uid="{00000000-0005-0000-0000-0000AA740000}"/>
    <cellStyle name="Total 3 3 6 2" xfId="31305" xr:uid="{1D62CE08-AD50-495E-AB2E-3322EC0AD491}"/>
    <cellStyle name="Total 3 3 7" xfId="30124" xr:uid="{00000000-0005-0000-0000-0000AB740000}"/>
    <cellStyle name="Total 3 3 8" xfId="30295" xr:uid="{7E583215-454A-4CCE-8F3E-2CCF039F5FA4}"/>
    <cellStyle name="Total 3 4" xfId="24632" xr:uid="{00000000-0005-0000-0000-0000AC740000}"/>
    <cellStyle name="Total 3 4 2" xfId="25435" xr:uid="{00000000-0005-0000-0000-0000AD740000}"/>
    <cellStyle name="Total 3 4 2 2" xfId="27589" xr:uid="{00000000-0005-0000-0000-0000AE740000}"/>
    <cellStyle name="Total 3 4 2 2 2" xfId="32180" xr:uid="{A2BDB1D8-7DD2-4173-A680-DC1EC64367B1}"/>
    <cellStyle name="Total 3 4 2 3" xfId="28583" xr:uid="{00000000-0005-0000-0000-0000AF740000}"/>
    <cellStyle name="Total 3 4 2 3 2" xfId="33141" xr:uid="{65A6898F-CF4A-4F6F-90FC-F54707BC3756}"/>
    <cellStyle name="Total 3 4 2 4" xfId="26993" xr:uid="{00000000-0005-0000-0000-0000B0740000}"/>
    <cellStyle name="Total 3 4 2 4 2" xfId="31754" xr:uid="{5B604051-A4EA-473B-9F8D-AEC9FC44DFC2}"/>
    <cellStyle name="Total 3 4 2 5" xfId="30128" xr:uid="{00000000-0005-0000-0000-0000B1740000}"/>
    <cellStyle name="Total 3 4 2 6" xfId="30593" xr:uid="{297BF418-CAF9-47A2-B3EF-DD9AAD8FDCDC}"/>
    <cellStyle name="Total 3 4 3" xfId="25600" xr:uid="{00000000-0005-0000-0000-0000B2740000}"/>
    <cellStyle name="Total 3 4 3 2" xfId="27753" xr:uid="{00000000-0005-0000-0000-0000B3740000}"/>
    <cellStyle name="Total 3 4 3 2 2" xfId="32340" xr:uid="{9937F65C-C050-41FF-9E90-A221999BC221}"/>
    <cellStyle name="Total 3 4 3 3" xfId="28584" xr:uid="{00000000-0005-0000-0000-0000B4740000}"/>
    <cellStyle name="Total 3 4 3 3 2" xfId="33142" xr:uid="{61B46CD8-40FB-4ABE-A068-E84356084486}"/>
    <cellStyle name="Total 3 4 3 4" xfId="26225" xr:uid="{00000000-0005-0000-0000-0000B5740000}"/>
    <cellStyle name="Total 3 4 3 4 2" xfId="31013" xr:uid="{D7E14494-F708-48F9-B3FC-4C4E5DDF860F}"/>
    <cellStyle name="Total 3 4 3 5" xfId="30129" xr:uid="{00000000-0005-0000-0000-0000B6740000}"/>
    <cellStyle name="Total 3 4 3 6" xfId="30641" xr:uid="{77B694A4-07D1-4484-B234-3731FC02F60B}"/>
    <cellStyle name="Total 3 4 4" xfId="27226" xr:uid="{00000000-0005-0000-0000-0000B7740000}"/>
    <cellStyle name="Total 3 4 4 2" xfId="31862" xr:uid="{09202994-A834-4AEB-B20A-931CDEA2AFF9}"/>
    <cellStyle name="Total 3 4 5" xfId="28582" xr:uid="{00000000-0005-0000-0000-0000B8740000}"/>
    <cellStyle name="Total 3 4 5 2" xfId="33140" xr:uid="{3A5CE6F9-C6F0-4A83-AE3F-0DED7180AC00}"/>
    <cellStyle name="Total 3 4 6" xfId="26421" xr:uid="{00000000-0005-0000-0000-0000B9740000}"/>
    <cellStyle name="Total 3 4 6 2" xfId="31209" xr:uid="{F514AB7B-36E9-4F4C-97E7-2553075C8CC0}"/>
    <cellStyle name="Total 3 4 7" xfId="30127" xr:uid="{00000000-0005-0000-0000-0000BA740000}"/>
    <cellStyle name="Total 3 4 8" xfId="30302" xr:uid="{DEFD5126-9A94-4AE1-AC42-929B70077E1C}"/>
    <cellStyle name="Total 3 5" xfId="25140" xr:uid="{00000000-0005-0000-0000-0000BB740000}"/>
    <cellStyle name="Total 3 5 2" xfId="25339" xr:uid="{00000000-0005-0000-0000-0000BC740000}"/>
    <cellStyle name="Total 3 5 2 2" xfId="27493" xr:uid="{00000000-0005-0000-0000-0000BD740000}"/>
    <cellStyle name="Total 3 5 2 2 2" xfId="32084" xr:uid="{60532C45-AFD9-4369-B8D3-C86DE7713B19}"/>
    <cellStyle name="Total 3 5 2 3" xfId="28586" xr:uid="{00000000-0005-0000-0000-0000BE740000}"/>
    <cellStyle name="Total 3 5 2 3 2" xfId="33144" xr:uid="{42C3C0B3-5574-4286-A9E7-1FDBE875ECF1}"/>
    <cellStyle name="Total 3 5 2 4" xfId="26339" xr:uid="{00000000-0005-0000-0000-0000BF740000}"/>
    <cellStyle name="Total 3 5 2 4 2" xfId="31127" xr:uid="{617C2EFD-9BD8-4E3D-8110-2967ED77E4DA}"/>
    <cellStyle name="Total 3 5 2 5" xfId="30131" xr:uid="{00000000-0005-0000-0000-0000C0740000}"/>
    <cellStyle name="Total 3 5 2 6" xfId="30497" xr:uid="{8CB14B0D-F9CD-4C73-8408-50AF7E0A485F}"/>
    <cellStyle name="Total 3 5 3" xfId="25737" xr:uid="{00000000-0005-0000-0000-0000C1740000}"/>
    <cellStyle name="Total 3 5 3 2" xfId="27890" xr:uid="{00000000-0005-0000-0000-0000C2740000}"/>
    <cellStyle name="Total 3 5 3 2 2" xfId="32477" xr:uid="{13222091-B404-4799-BAF5-9757ACC67C97}"/>
    <cellStyle name="Total 3 5 3 3" xfId="28587" xr:uid="{00000000-0005-0000-0000-0000C3740000}"/>
    <cellStyle name="Total 3 5 3 3 2" xfId="33145" xr:uid="{56A480DC-415B-4599-840F-1B86A9173F74}"/>
    <cellStyle name="Total 3 5 3 4" xfId="29259" xr:uid="{00000000-0005-0000-0000-0000C4740000}"/>
    <cellStyle name="Total 3 5 3 4 2" xfId="33241" xr:uid="{E9082A5F-C7D7-4375-8B8E-3007D3DF31D4}"/>
    <cellStyle name="Total 3 5 3 5" xfId="30132" xr:uid="{00000000-0005-0000-0000-0000C5740000}"/>
    <cellStyle name="Total 3 5 3 6" xfId="30731" xr:uid="{F3FB0EF9-E15F-4620-84A2-E3879B627515}"/>
    <cellStyle name="Total 3 5 4" xfId="27424" xr:uid="{00000000-0005-0000-0000-0000C6740000}"/>
    <cellStyle name="Total 3 5 4 2" xfId="32022" xr:uid="{9042B7DD-2832-4980-89BF-E90E227D488E}"/>
    <cellStyle name="Total 3 5 5" xfId="28585" xr:uid="{00000000-0005-0000-0000-0000C7740000}"/>
    <cellStyle name="Total 3 5 5 2" xfId="33143" xr:uid="{DBC7BA00-A685-4478-ABF2-84EF78868508}"/>
    <cellStyle name="Total 3 5 6" xfId="26299" xr:uid="{00000000-0005-0000-0000-0000C8740000}"/>
    <cellStyle name="Total 3 5 6 2" xfId="31087" xr:uid="{BEBE9579-1DEF-4EC8-8B97-E248E9586C23}"/>
    <cellStyle name="Total 3 5 7" xfId="30130" xr:uid="{00000000-0005-0000-0000-0000C9740000}"/>
    <cellStyle name="Total 3 5 8" xfId="30439" xr:uid="{298B25C6-2464-4FC2-A047-EE581E9EBB9C}"/>
    <cellStyle name="Total 30" xfId="3498" xr:uid="{00000000-0005-0000-0000-0000CA740000}"/>
    <cellStyle name="Total 31" xfId="3499" xr:uid="{00000000-0005-0000-0000-0000CB740000}"/>
    <cellStyle name="Total 32" xfId="3500" xr:uid="{00000000-0005-0000-0000-0000CC740000}"/>
    <cellStyle name="Total 33" xfId="3501" xr:uid="{00000000-0005-0000-0000-0000CD740000}"/>
    <cellStyle name="Total 34" xfId="3502" xr:uid="{00000000-0005-0000-0000-0000CE740000}"/>
    <cellStyle name="Total 35" xfId="3503" xr:uid="{00000000-0005-0000-0000-0000CF740000}"/>
    <cellStyle name="Total 36" xfId="3504" xr:uid="{00000000-0005-0000-0000-0000D0740000}"/>
    <cellStyle name="Total 37" xfId="3505" xr:uid="{00000000-0005-0000-0000-0000D1740000}"/>
    <cellStyle name="Total 38" xfId="3506" xr:uid="{00000000-0005-0000-0000-0000D2740000}"/>
    <cellStyle name="Total 39" xfId="3507" xr:uid="{00000000-0005-0000-0000-0000D3740000}"/>
    <cellStyle name="Total 4" xfId="3508" xr:uid="{00000000-0005-0000-0000-0000D4740000}"/>
    <cellStyle name="Total 4 2" xfId="24282" xr:uid="{00000000-0005-0000-0000-0000D5740000}"/>
    <cellStyle name="Total 4 2 2" xfId="25342" xr:uid="{00000000-0005-0000-0000-0000D6740000}"/>
    <cellStyle name="Total 4 2 2 2" xfId="27496" xr:uid="{00000000-0005-0000-0000-0000D7740000}"/>
    <cellStyle name="Total 4 2 2 2 2" xfId="32087" xr:uid="{4378C6B3-2DA9-474F-A647-C3CA09AFEC45}"/>
    <cellStyle name="Total 4 2 2 3" xfId="28589" xr:uid="{00000000-0005-0000-0000-0000D8740000}"/>
    <cellStyle name="Total 4 2 2 3 2" xfId="33147" xr:uid="{BB8D41DE-6671-4C6A-B244-D7BDDEA8C537}"/>
    <cellStyle name="Total 4 2 2 4" xfId="26403" xr:uid="{00000000-0005-0000-0000-0000D9740000}"/>
    <cellStyle name="Total 4 2 2 4 2" xfId="31191" xr:uid="{06FA5306-906D-4ACA-ACBA-CF8833D650F0}"/>
    <cellStyle name="Total 4 2 2 5" xfId="30134" xr:uid="{00000000-0005-0000-0000-0000DA740000}"/>
    <cellStyle name="Total 4 2 2 6" xfId="30500" xr:uid="{94C8C99B-1DD9-41F2-99AF-5448E8C931A7}"/>
    <cellStyle name="Total 4 2 3" xfId="25595" xr:uid="{00000000-0005-0000-0000-0000DB740000}"/>
    <cellStyle name="Total 4 2 3 2" xfId="27748" xr:uid="{00000000-0005-0000-0000-0000DC740000}"/>
    <cellStyle name="Total 4 2 3 2 2" xfId="32335" xr:uid="{85C4C2A5-C66F-49A1-BC57-4B2771D10C8B}"/>
    <cellStyle name="Total 4 2 3 3" xfId="28590" xr:uid="{00000000-0005-0000-0000-0000DD740000}"/>
    <cellStyle name="Total 4 2 3 3 2" xfId="33148" xr:uid="{B891C2B4-10D8-41F3-8312-28F63F7F3A20}"/>
    <cellStyle name="Total 4 2 3 4" xfId="26125" xr:uid="{00000000-0005-0000-0000-0000DE740000}"/>
    <cellStyle name="Total 4 2 3 4 2" xfId="30915" xr:uid="{0833D6C1-7CFA-4DF1-9782-8D07003D88E2}"/>
    <cellStyle name="Total 4 2 3 5" xfId="30135" xr:uid="{00000000-0005-0000-0000-0000DF740000}"/>
    <cellStyle name="Total 4 2 3 6" xfId="30636" xr:uid="{633D8663-1054-4EED-A030-814D93776AC8}"/>
    <cellStyle name="Total 4 2 4" xfId="27132" xr:uid="{00000000-0005-0000-0000-0000E0740000}"/>
    <cellStyle name="Total 4 2 4 2" xfId="31846" xr:uid="{7B71D4F2-F41A-4B45-97DE-60010697BFF7}"/>
    <cellStyle name="Total 4 2 5" xfId="28588" xr:uid="{00000000-0005-0000-0000-0000E1740000}"/>
    <cellStyle name="Total 4 2 5 2" xfId="33146" xr:uid="{16A73471-B493-4D5E-93DE-743BB0476318}"/>
    <cellStyle name="Total 4 2 6" xfId="26084" xr:uid="{00000000-0005-0000-0000-0000E2740000}"/>
    <cellStyle name="Total 4 2 6 2" xfId="30874" xr:uid="{CC9A10D6-1D0B-4AC0-A0CE-A52BE0B212FA}"/>
    <cellStyle name="Total 4 2 7" xfId="30133" xr:uid="{00000000-0005-0000-0000-0000E3740000}"/>
    <cellStyle name="Total 4 2 8" xfId="30297" xr:uid="{22AB453E-1F3E-4C84-8EDE-D41A5226AF77}"/>
    <cellStyle name="Total 4 3" xfId="24919" xr:uid="{00000000-0005-0000-0000-0000E4740000}"/>
    <cellStyle name="Total 4 3 2" xfId="25398" xr:uid="{00000000-0005-0000-0000-0000E5740000}"/>
    <cellStyle name="Total 4 3 2 2" xfId="27552" xr:uid="{00000000-0005-0000-0000-0000E6740000}"/>
    <cellStyle name="Total 4 3 2 2 2" xfId="32143" xr:uid="{54D0D36D-D38A-48EA-8F9F-12929664FC29}"/>
    <cellStyle name="Total 4 3 2 3" xfId="28592" xr:uid="{00000000-0005-0000-0000-0000E7740000}"/>
    <cellStyle name="Total 4 3 2 3 2" xfId="33150" xr:uid="{A23ECFBC-7E32-4834-A929-03A01C36286D}"/>
    <cellStyle name="Total 4 3 2 4" xfId="26267" xr:uid="{00000000-0005-0000-0000-0000E8740000}"/>
    <cellStyle name="Total 4 3 2 4 2" xfId="31055" xr:uid="{E620B1FD-F492-4409-96F2-9F0FCC8A5754}"/>
    <cellStyle name="Total 4 3 2 5" xfId="30137" xr:uid="{00000000-0005-0000-0000-0000E9740000}"/>
    <cellStyle name="Total 4 3 2 6" xfId="30556" xr:uid="{274C8E83-2BAF-42F9-9960-12767F2A3B03}"/>
    <cellStyle name="Total 4 3 3" xfId="25666" xr:uid="{00000000-0005-0000-0000-0000EA740000}"/>
    <cellStyle name="Total 4 3 3 2" xfId="27819" xr:uid="{00000000-0005-0000-0000-0000EB740000}"/>
    <cellStyle name="Total 4 3 3 2 2" xfId="32406" xr:uid="{65D3F2E4-7BB4-4281-ACA6-E60E12B1D4DB}"/>
    <cellStyle name="Total 4 3 3 3" xfId="28593" xr:uid="{00000000-0005-0000-0000-0000EC740000}"/>
    <cellStyle name="Total 4 3 3 3 2" xfId="33151" xr:uid="{4E0E1F52-E922-4562-B145-9D61CE70DF1F}"/>
    <cellStyle name="Total 4 3 3 4" xfId="26388" xr:uid="{00000000-0005-0000-0000-0000ED740000}"/>
    <cellStyle name="Total 4 3 3 4 2" xfId="31176" xr:uid="{3CAB2FCC-F2E0-4BDB-A841-12D9D04BAF9F}"/>
    <cellStyle name="Total 4 3 3 5" xfId="30138" xr:uid="{00000000-0005-0000-0000-0000EE740000}"/>
    <cellStyle name="Total 4 3 3 6" xfId="30660" xr:uid="{790C6D1E-DF37-4DCD-9EC8-900A78DCE377}"/>
    <cellStyle name="Total 4 3 4" xfId="27328" xr:uid="{00000000-0005-0000-0000-0000EF740000}"/>
    <cellStyle name="Total 4 3 4 2" xfId="31944" xr:uid="{98248B7B-8F55-4195-AA4F-E85B2CA4FEE5}"/>
    <cellStyle name="Total 4 3 5" xfId="28591" xr:uid="{00000000-0005-0000-0000-0000F0740000}"/>
    <cellStyle name="Total 4 3 5 2" xfId="33149" xr:uid="{719FC50C-2925-4713-9C24-ECA6FA9D3B66}"/>
    <cellStyle name="Total 4 3 6" xfId="26486" xr:uid="{00000000-0005-0000-0000-0000F1740000}"/>
    <cellStyle name="Total 4 3 6 2" xfId="31274" xr:uid="{9E428137-BA87-4A98-B509-36FC34EACE8A}"/>
    <cellStyle name="Total 4 3 7" xfId="30136" xr:uid="{00000000-0005-0000-0000-0000F2740000}"/>
    <cellStyle name="Total 4 3 8" xfId="30368" xr:uid="{4B374924-25EA-483F-8E15-64CC10DA2880}"/>
    <cellStyle name="Total 4 4" xfId="25142" xr:uid="{00000000-0005-0000-0000-0000F3740000}"/>
    <cellStyle name="Total 4 4 2" xfId="25353" xr:uid="{00000000-0005-0000-0000-0000F4740000}"/>
    <cellStyle name="Total 4 4 2 2" xfId="27507" xr:uid="{00000000-0005-0000-0000-0000F5740000}"/>
    <cellStyle name="Total 4 4 2 2 2" xfId="32098" xr:uid="{48E2DFAC-9E19-46B6-A672-AA24C70FD3F4}"/>
    <cellStyle name="Total 4 4 2 3" xfId="28595" xr:uid="{00000000-0005-0000-0000-0000F6740000}"/>
    <cellStyle name="Total 4 4 2 3 2" xfId="33153" xr:uid="{2BD78EBB-DF9A-4B00-B320-34FD1A0C67C2}"/>
    <cellStyle name="Total 4 4 2 4" xfId="26361" xr:uid="{00000000-0005-0000-0000-0000F7740000}"/>
    <cellStyle name="Total 4 4 2 4 2" xfId="31149" xr:uid="{9DDD0831-4314-47DA-AD44-61B64DD6E563}"/>
    <cellStyle name="Total 4 4 2 5" xfId="30140" xr:uid="{00000000-0005-0000-0000-0000F8740000}"/>
    <cellStyle name="Total 4 4 2 6" xfId="30511" xr:uid="{54DB8FF2-E2DC-4873-822C-DE6A7A7A6DBF}"/>
    <cellStyle name="Total 4 4 3" xfId="25739" xr:uid="{00000000-0005-0000-0000-0000F9740000}"/>
    <cellStyle name="Total 4 4 3 2" xfId="27892" xr:uid="{00000000-0005-0000-0000-0000FA740000}"/>
    <cellStyle name="Total 4 4 3 2 2" xfId="32479" xr:uid="{6F7AA709-90E0-4E39-94DB-9A06C4DC19BD}"/>
    <cellStyle name="Total 4 4 3 3" xfId="28596" xr:uid="{00000000-0005-0000-0000-0000FB740000}"/>
    <cellStyle name="Total 4 4 3 3 2" xfId="33154" xr:uid="{63508A8A-AA8E-4271-A08F-6E8229F49EE4}"/>
    <cellStyle name="Total 4 4 3 4" xfId="29261" xr:uid="{00000000-0005-0000-0000-0000FC740000}"/>
    <cellStyle name="Total 4 4 3 4 2" xfId="33243" xr:uid="{223558E1-C7F3-4532-B769-B31B96400F07}"/>
    <cellStyle name="Total 4 4 3 5" xfId="30141" xr:uid="{00000000-0005-0000-0000-0000FD740000}"/>
    <cellStyle name="Total 4 4 3 6" xfId="30733" xr:uid="{86F6F288-E04E-4796-9995-7EF0A0200931}"/>
    <cellStyle name="Total 4 4 4" xfId="27426" xr:uid="{00000000-0005-0000-0000-0000FE740000}"/>
    <cellStyle name="Total 4 4 4 2" xfId="32024" xr:uid="{9EAC94FF-9547-4198-A634-ED1886989857}"/>
    <cellStyle name="Total 4 4 5" xfId="28594" xr:uid="{00000000-0005-0000-0000-0000FF740000}"/>
    <cellStyle name="Total 4 4 5 2" xfId="33152" xr:uid="{CB6FE6EE-EFF1-4214-97C2-6D3C099ABB87}"/>
    <cellStyle name="Total 4 4 6" xfId="26140" xr:uid="{00000000-0005-0000-0000-000000750000}"/>
    <cellStyle name="Total 4 4 6 2" xfId="30930" xr:uid="{BE8099BB-5C21-44A0-9E6D-608F862F7BA3}"/>
    <cellStyle name="Total 4 4 7" xfId="30139" xr:uid="{00000000-0005-0000-0000-000001750000}"/>
    <cellStyle name="Total 4 4 8" xfId="30441" xr:uid="{571703F0-F760-4DEB-834D-F8CC05FDB234}"/>
    <cellStyle name="Total 40" xfId="3509" xr:uid="{00000000-0005-0000-0000-000002750000}"/>
    <cellStyle name="Total 41" xfId="3510" xr:uid="{00000000-0005-0000-0000-000003750000}"/>
    <cellStyle name="Total 42" xfId="3511" xr:uid="{00000000-0005-0000-0000-000004750000}"/>
    <cellStyle name="Total 43" xfId="3512" xr:uid="{00000000-0005-0000-0000-000005750000}"/>
    <cellStyle name="Total 44" xfId="3513" xr:uid="{00000000-0005-0000-0000-000006750000}"/>
    <cellStyle name="Total 45" xfId="3514" xr:uid="{00000000-0005-0000-0000-000007750000}"/>
    <cellStyle name="Total 46" xfId="3515" xr:uid="{00000000-0005-0000-0000-000008750000}"/>
    <cellStyle name="Total 47" xfId="3516" xr:uid="{00000000-0005-0000-0000-000009750000}"/>
    <cellStyle name="Total 48" xfId="3517" xr:uid="{00000000-0005-0000-0000-00000A750000}"/>
    <cellStyle name="Total 49" xfId="3518" xr:uid="{00000000-0005-0000-0000-00000B750000}"/>
    <cellStyle name="Total 5" xfId="3519" xr:uid="{00000000-0005-0000-0000-00000C750000}"/>
    <cellStyle name="Total 5 2" xfId="24283" xr:uid="{00000000-0005-0000-0000-00000D750000}"/>
    <cellStyle name="Total 5 2 2" xfId="25443" xr:uid="{00000000-0005-0000-0000-00000E750000}"/>
    <cellStyle name="Total 5 2 2 2" xfId="27597" xr:uid="{00000000-0005-0000-0000-00000F750000}"/>
    <cellStyle name="Total 5 2 2 2 2" xfId="32188" xr:uid="{1A01EE37-E5FB-4D5F-B501-61FCBC1B5FC1}"/>
    <cellStyle name="Total 5 2 2 3" xfId="28598" xr:uid="{00000000-0005-0000-0000-000010750000}"/>
    <cellStyle name="Total 5 2 2 3 2" xfId="33156" xr:uid="{FAEED872-5722-49A8-B50C-6D623D92AACB}"/>
    <cellStyle name="Total 5 2 2 4" xfId="26811" xr:uid="{00000000-0005-0000-0000-000011750000}"/>
    <cellStyle name="Total 5 2 2 4 2" xfId="31572" xr:uid="{85056974-46FB-4BD2-9997-A72E569750F2}"/>
    <cellStyle name="Total 5 2 2 5" xfId="30143" xr:uid="{00000000-0005-0000-0000-000012750000}"/>
    <cellStyle name="Total 5 2 2 6" xfId="30601" xr:uid="{0E6F7E58-40F1-4547-9584-A423349B45FD}"/>
    <cellStyle name="Total 5 2 3" xfId="25596" xr:uid="{00000000-0005-0000-0000-000013750000}"/>
    <cellStyle name="Total 5 2 3 2" xfId="27749" xr:uid="{00000000-0005-0000-0000-000014750000}"/>
    <cellStyle name="Total 5 2 3 2 2" xfId="32336" xr:uid="{E4BB1665-5941-405A-92B1-7623F824D543}"/>
    <cellStyle name="Total 5 2 3 3" xfId="28599" xr:uid="{00000000-0005-0000-0000-000015750000}"/>
    <cellStyle name="Total 5 2 3 3 2" xfId="33157" xr:uid="{0B7F333A-09FB-4988-9956-925D5D7A87EA}"/>
    <cellStyle name="Total 5 2 3 4" xfId="26072" xr:uid="{00000000-0005-0000-0000-000016750000}"/>
    <cellStyle name="Total 5 2 3 4 2" xfId="30862" xr:uid="{E033AB36-09E1-46FA-AE2C-4A7B1C24EC53}"/>
    <cellStyle name="Total 5 2 3 5" xfId="30144" xr:uid="{00000000-0005-0000-0000-000017750000}"/>
    <cellStyle name="Total 5 2 3 6" xfId="30637" xr:uid="{76ACCD91-D6E0-4875-8BBD-0A2C4B297263}"/>
    <cellStyle name="Total 5 2 4" xfId="27133" xr:uid="{00000000-0005-0000-0000-000018750000}"/>
    <cellStyle name="Total 5 2 4 2" xfId="31847" xr:uid="{F21D570B-EB8C-4CD4-94DA-9A1EBA8F5904}"/>
    <cellStyle name="Total 5 2 5" xfId="28597" xr:uid="{00000000-0005-0000-0000-000019750000}"/>
    <cellStyle name="Total 5 2 5 2" xfId="33155" xr:uid="{F1DB78CE-759B-4265-A60F-E10226159B3C}"/>
    <cellStyle name="Total 5 2 6" xfId="26931" xr:uid="{00000000-0005-0000-0000-00001A750000}"/>
    <cellStyle name="Total 5 2 6 2" xfId="31692" xr:uid="{123F0A2A-567E-4F1F-A89D-E7C951991C9D}"/>
    <cellStyle name="Total 5 2 7" xfId="30142" xr:uid="{00000000-0005-0000-0000-00001B750000}"/>
    <cellStyle name="Total 5 2 8" xfId="30298" xr:uid="{5F65EC68-8286-45EE-A89E-0C21A3079FAB}"/>
    <cellStyle name="Total 5 3" xfId="24920" xr:uid="{00000000-0005-0000-0000-00001C750000}"/>
    <cellStyle name="Total 5 3 2" xfId="25306" xr:uid="{00000000-0005-0000-0000-00001D750000}"/>
    <cellStyle name="Total 5 3 2 2" xfId="27460" xr:uid="{00000000-0005-0000-0000-00001E750000}"/>
    <cellStyle name="Total 5 3 2 2 2" xfId="32052" xr:uid="{CF4FB559-6B06-4D86-9F52-4081997E7A2D}"/>
    <cellStyle name="Total 5 3 2 3" xfId="28601" xr:uid="{00000000-0005-0000-0000-00001F750000}"/>
    <cellStyle name="Total 5 3 2 3 2" xfId="33159" xr:uid="{4C6A5994-8188-40CD-97CE-F157044AB362}"/>
    <cellStyle name="Total 5 3 2 4" xfId="27300" xr:uid="{00000000-0005-0000-0000-000020750000}"/>
    <cellStyle name="Total 5 3 2 4 2" xfId="31929" xr:uid="{EC9E496B-C1B7-433F-B501-7281817D5566}"/>
    <cellStyle name="Total 5 3 2 5" xfId="30146" xr:uid="{00000000-0005-0000-0000-000021750000}"/>
    <cellStyle name="Total 5 3 2 6" xfId="30465" xr:uid="{21EAE05D-F815-4308-8C74-68FFAA9511AB}"/>
    <cellStyle name="Total 5 3 3" xfId="25667" xr:uid="{00000000-0005-0000-0000-000022750000}"/>
    <cellStyle name="Total 5 3 3 2" xfId="27820" xr:uid="{00000000-0005-0000-0000-000023750000}"/>
    <cellStyle name="Total 5 3 3 2 2" xfId="32407" xr:uid="{9474D353-DE2F-4581-B8B8-3603CFAFDEA1}"/>
    <cellStyle name="Total 5 3 3 3" xfId="28602" xr:uid="{00000000-0005-0000-0000-000024750000}"/>
    <cellStyle name="Total 5 3 3 3 2" xfId="33160" xr:uid="{5C47D7FD-0052-4F73-845A-DE60E448E2E0}"/>
    <cellStyle name="Total 5 3 3 4" xfId="26154" xr:uid="{00000000-0005-0000-0000-000025750000}"/>
    <cellStyle name="Total 5 3 3 4 2" xfId="30943" xr:uid="{E1D73A66-2E7C-4EF2-A995-A3EB03087788}"/>
    <cellStyle name="Total 5 3 3 5" xfId="30147" xr:uid="{00000000-0005-0000-0000-000026750000}"/>
    <cellStyle name="Total 5 3 3 6" xfId="30661" xr:uid="{EC622344-C1E2-4C46-A0BB-3449E4C0DA9F}"/>
    <cellStyle name="Total 5 3 4" xfId="27329" xr:uid="{00000000-0005-0000-0000-000027750000}"/>
    <cellStyle name="Total 5 3 4 2" xfId="31945" xr:uid="{939B9C63-19BB-4437-B801-11B491A6BA9A}"/>
    <cellStyle name="Total 5 3 5" xfId="28600" xr:uid="{00000000-0005-0000-0000-000028750000}"/>
    <cellStyle name="Total 5 3 5 2" xfId="33158" xr:uid="{D982A6EF-C445-4861-AEEA-769905690067}"/>
    <cellStyle name="Total 5 3 6" xfId="26506" xr:uid="{00000000-0005-0000-0000-000029750000}"/>
    <cellStyle name="Total 5 3 6 2" xfId="31294" xr:uid="{B61A439A-4AE3-4E86-A6F9-DB221DA44F24}"/>
    <cellStyle name="Total 5 3 7" xfId="30145" xr:uid="{00000000-0005-0000-0000-00002A750000}"/>
    <cellStyle name="Total 5 3 8" xfId="30369" xr:uid="{A21F8164-8F15-4AA3-8340-904BD57D9AE3}"/>
    <cellStyle name="Total 5 4" xfId="25143" xr:uid="{00000000-0005-0000-0000-00002B750000}"/>
    <cellStyle name="Total 5 4 2" xfId="25387" xr:uid="{00000000-0005-0000-0000-00002C750000}"/>
    <cellStyle name="Total 5 4 2 2" xfId="27541" xr:uid="{00000000-0005-0000-0000-00002D750000}"/>
    <cellStyle name="Total 5 4 2 2 2" xfId="32132" xr:uid="{C09A800A-9F4B-4F15-B088-673EA64C0818}"/>
    <cellStyle name="Total 5 4 2 3" xfId="28604" xr:uid="{00000000-0005-0000-0000-00002E750000}"/>
    <cellStyle name="Total 5 4 2 3 2" xfId="33162" xr:uid="{5CC72DBA-655D-4417-BA0C-00A0AC5704E0}"/>
    <cellStyle name="Total 5 4 2 4" xfId="26946" xr:uid="{00000000-0005-0000-0000-00002F750000}"/>
    <cellStyle name="Total 5 4 2 4 2" xfId="31707" xr:uid="{B27BEE8D-3D5F-405A-AC8C-2FB611591DD3}"/>
    <cellStyle name="Total 5 4 2 5" xfId="30149" xr:uid="{00000000-0005-0000-0000-000030750000}"/>
    <cellStyle name="Total 5 4 2 6" xfId="30545" xr:uid="{AB83CD1D-3767-49BD-90E8-FDED0C653E28}"/>
    <cellStyle name="Total 5 4 3" xfId="25740" xr:uid="{00000000-0005-0000-0000-000031750000}"/>
    <cellStyle name="Total 5 4 3 2" xfId="27893" xr:uid="{00000000-0005-0000-0000-000032750000}"/>
    <cellStyle name="Total 5 4 3 2 2" xfId="32480" xr:uid="{70D1F87F-92C2-4634-9950-15391789CD5C}"/>
    <cellStyle name="Total 5 4 3 3" xfId="28605" xr:uid="{00000000-0005-0000-0000-000033750000}"/>
    <cellStyle name="Total 5 4 3 3 2" xfId="33163" xr:uid="{1592B783-BA75-4FFD-8345-F22111F870AF}"/>
    <cellStyle name="Total 5 4 3 4" xfId="29262" xr:uid="{00000000-0005-0000-0000-000034750000}"/>
    <cellStyle name="Total 5 4 3 4 2" xfId="33244" xr:uid="{D27FBA5E-96B8-45AF-8329-5312102AE377}"/>
    <cellStyle name="Total 5 4 3 5" xfId="30150" xr:uid="{00000000-0005-0000-0000-000035750000}"/>
    <cellStyle name="Total 5 4 3 6" xfId="30734" xr:uid="{F2B97EC6-FE1B-42C0-A0D1-EF201A6CC8D7}"/>
    <cellStyle name="Total 5 4 4" xfId="27427" xr:uid="{00000000-0005-0000-0000-000036750000}"/>
    <cellStyle name="Total 5 4 4 2" xfId="32025" xr:uid="{6D38578B-548C-42A8-8C39-834BA18D03AC}"/>
    <cellStyle name="Total 5 4 5" xfId="28603" xr:uid="{00000000-0005-0000-0000-000037750000}"/>
    <cellStyle name="Total 5 4 5 2" xfId="33161" xr:uid="{76046E16-1B43-40D5-A231-BF5B9483B287}"/>
    <cellStyle name="Total 5 4 6" xfId="26500" xr:uid="{00000000-0005-0000-0000-000038750000}"/>
    <cellStyle name="Total 5 4 6 2" xfId="31288" xr:uid="{EB843CE7-4408-42DC-A1FF-58F1A1BDA695}"/>
    <cellStyle name="Total 5 4 7" xfId="30148" xr:uid="{00000000-0005-0000-0000-000039750000}"/>
    <cellStyle name="Total 5 4 8" xfId="30442" xr:uid="{58C69EA8-9FA2-4BC2-80F8-63264066A1D4}"/>
    <cellStyle name="Total 50" xfId="3520" xr:uid="{00000000-0005-0000-0000-00003A750000}"/>
    <cellStyle name="Total 51" xfId="3521" xr:uid="{00000000-0005-0000-0000-00003B750000}"/>
    <cellStyle name="Total 52" xfId="3522" xr:uid="{00000000-0005-0000-0000-00003C750000}"/>
    <cellStyle name="Total 53" xfId="3523" xr:uid="{00000000-0005-0000-0000-00003D750000}"/>
    <cellStyle name="Total 54" xfId="3524" xr:uid="{00000000-0005-0000-0000-00003E750000}"/>
    <cellStyle name="Total 55" xfId="3525" xr:uid="{00000000-0005-0000-0000-00003F750000}"/>
    <cellStyle name="Total 56" xfId="3526" xr:uid="{00000000-0005-0000-0000-000040750000}"/>
    <cellStyle name="Total 57" xfId="3527" xr:uid="{00000000-0005-0000-0000-000041750000}"/>
    <cellStyle name="Total 58" xfId="3528" xr:uid="{00000000-0005-0000-0000-000042750000}"/>
    <cellStyle name="Total 59" xfId="3529" xr:uid="{00000000-0005-0000-0000-000043750000}"/>
    <cellStyle name="Total 6" xfId="3530" xr:uid="{00000000-0005-0000-0000-000044750000}"/>
    <cellStyle name="Total 60" xfId="3531" xr:uid="{00000000-0005-0000-0000-000045750000}"/>
    <cellStyle name="Total 61" xfId="3532" xr:uid="{00000000-0005-0000-0000-000046750000}"/>
    <cellStyle name="Total 62" xfId="3533" xr:uid="{00000000-0005-0000-0000-000047750000}"/>
    <cellStyle name="Total 63" xfId="3534" xr:uid="{00000000-0005-0000-0000-000048750000}"/>
    <cellStyle name="Total 64" xfId="3535" xr:uid="{00000000-0005-0000-0000-000049750000}"/>
    <cellStyle name="Total 65" xfId="3536" xr:uid="{00000000-0005-0000-0000-00004A750000}"/>
    <cellStyle name="Total 66" xfId="3537" xr:uid="{00000000-0005-0000-0000-00004B750000}"/>
    <cellStyle name="Total 67" xfId="3538" xr:uid="{00000000-0005-0000-0000-00004C750000}"/>
    <cellStyle name="Total 68" xfId="3539" xr:uid="{00000000-0005-0000-0000-00004D750000}"/>
    <cellStyle name="Total 69" xfId="3540" xr:uid="{00000000-0005-0000-0000-00004E750000}"/>
    <cellStyle name="Total 7" xfId="3541" xr:uid="{00000000-0005-0000-0000-00004F750000}"/>
    <cellStyle name="Total 70" xfId="3542" xr:uid="{00000000-0005-0000-0000-000050750000}"/>
    <cellStyle name="Total 71" xfId="3543" xr:uid="{00000000-0005-0000-0000-000051750000}"/>
    <cellStyle name="Total 72" xfId="3544" xr:uid="{00000000-0005-0000-0000-000052750000}"/>
    <cellStyle name="Total 73" xfId="23927" xr:uid="{00000000-0005-0000-0000-000053750000}"/>
    <cellStyle name="Total 73 2" xfId="27041" xr:uid="{00000000-0005-0000-0000-000054750000}"/>
    <cellStyle name="Total 8" xfId="3545" xr:uid="{00000000-0005-0000-0000-000055750000}"/>
    <cellStyle name="Total 9" xfId="3546" xr:uid="{00000000-0005-0000-0000-000056750000}"/>
    <cellStyle name="Total2 - Style2" xfId="158" xr:uid="{00000000-0005-0000-0000-000057750000}"/>
    <cellStyle name="TRANSMISSION RELIABILITY PORTION OF PROJECT" xfId="159" xr:uid="{00000000-0005-0000-0000-000058750000}"/>
    <cellStyle name="Underl - Style4" xfId="160" xr:uid="{00000000-0005-0000-0000-000059750000}"/>
    <cellStyle name="Underl - Style4 2" xfId="30151" xr:uid="{00000000-0005-0000-0000-00005A750000}"/>
    <cellStyle name="Underl - Style4 2 2" xfId="33353" xr:uid="{0F704DC6-C2B6-487A-B63B-F599903011A2}"/>
    <cellStyle name="UNLocked" xfId="628" xr:uid="{00000000-0005-0000-0000-00005B750000}"/>
    <cellStyle name="UNLocked 2" xfId="24284" xr:uid="{00000000-0005-0000-0000-00005C750000}"/>
    <cellStyle name="Unprot" xfId="161" xr:uid="{00000000-0005-0000-0000-00005D750000}"/>
    <cellStyle name="Unprot$" xfId="162" xr:uid="{00000000-0005-0000-0000-00005E750000}"/>
    <cellStyle name="Unprotect" xfId="163" xr:uid="{00000000-0005-0000-0000-00005F750000}"/>
    <cellStyle name="UploadThisRowValue" xfId="3547" xr:uid="{00000000-0005-0000-0000-000060750000}"/>
    <cellStyle name="Warning Text 10" xfId="3548" xr:uid="{00000000-0005-0000-0000-000061750000}"/>
    <cellStyle name="Warning Text 11" xfId="3549" xr:uid="{00000000-0005-0000-0000-000062750000}"/>
    <cellStyle name="Warning Text 12" xfId="3550" xr:uid="{00000000-0005-0000-0000-000063750000}"/>
    <cellStyle name="Warning Text 13" xfId="3551" xr:uid="{00000000-0005-0000-0000-000064750000}"/>
    <cellStyle name="Warning Text 14" xfId="3552" xr:uid="{00000000-0005-0000-0000-000065750000}"/>
    <cellStyle name="Warning Text 15" xfId="3553" xr:uid="{00000000-0005-0000-0000-000066750000}"/>
    <cellStyle name="Warning Text 16" xfId="3554" xr:uid="{00000000-0005-0000-0000-000067750000}"/>
    <cellStyle name="Warning Text 17" xfId="3555" xr:uid="{00000000-0005-0000-0000-000068750000}"/>
    <cellStyle name="Warning Text 18" xfId="3556" xr:uid="{00000000-0005-0000-0000-000069750000}"/>
    <cellStyle name="Warning Text 19" xfId="3557" xr:uid="{00000000-0005-0000-0000-00006A750000}"/>
    <cellStyle name="Warning Text 2" xfId="3558" xr:uid="{00000000-0005-0000-0000-00006B750000}"/>
    <cellStyle name="Warning Text 2 2" xfId="24287" xr:uid="{00000000-0005-0000-0000-00006C750000}"/>
    <cellStyle name="Warning Text 2 3" xfId="24286" xr:uid="{00000000-0005-0000-0000-00006D750000}"/>
    <cellStyle name="Warning Text 20" xfId="3559" xr:uid="{00000000-0005-0000-0000-00006E750000}"/>
    <cellStyle name="Warning Text 21" xfId="3560" xr:uid="{00000000-0005-0000-0000-00006F750000}"/>
    <cellStyle name="Warning Text 22" xfId="3561" xr:uid="{00000000-0005-0000-0000-000070750000}"/>
    <cellStyle name="Warning Text 23" xfId="3562" xr:uid="{00000000-0005-0000-0000-000071750000}"/>
    <cellStyle name="Warning Text 24" xfId="3563" xr:uid="{00000000-0005-0000-0000-000072750000}"/>
    <cellStyle name="Warning Text 25" xfId="3564" xr:uid="{00000000-0005-0000-0000-000073750000}"/>
    <cellStyle name="Warning Text 26" xfId="3565" xr:uid="{00000000-0005-0000-0000-000074750000}"/>
    <cellStyle name="Warning Text 27" xfId="3566" xr:uid="{00000000-0005-0000-0000-000075750000}"/>
    <cellStyle name="Warning Text 28" xfId="3567" xr:uid="{00000000-0005-0000-0000-000076750000}"/>
    <cellStyle name="Warning Text 29" xfId="3568" xr:uid="{00000000-0005-0000-0000-000077750000}"/>
    <cellStyle name="Warning Text 3" xfId="3569" xr:uid="{00000000-0005-0000-0000-000078750000}"/>
    <cellStyle name="Warning Text 3 2" xfId="24289" xr:uid="{00000000-0005-0000-0000-000079750000}"/>
    <cellStyle name="Warning Text 3 3" xfId="24288" xr:uid="{00000000-0005-0000-0000-00007A750000}"/>
    <cellStyle name="Warning Text 30" xfId="3570" xr:uid="{00000000-0005-0000-0000-00007B750000}"/>
    <cellStyle name="Warning Text 31" xfId="3571" xr:uid="{00000000-0005-0000-0000-00007C750000}"/>
    <cellStyle name="Warning Text 32" xfId="3572" xr:uid="{00000000-0005-0000-0000-00007D750000}"/>
    <cellStyle name="Warning Text 33" xfId="3573" xr:uid="{00000000-0005-0000-0000-00007E750000}"/>
    <cellStyle name="Warning Text 34" xfId="3574" xr:uid="{00000000-0005-0000-0000-00007F750000}"/>
    <cellStyle name="Warning Text 35" xfId="3575" xr:uid="{00000000-0005-0000-0000-000080750000}"/>
    <cellStyle name="Warning Text 36" xfId="3576" xr:uid="{00000000-0005-0000-0000-000081750000}"/>
    <cellStyle name="Warning Text 37" xfId="3577" xr:uid="{00000000-0005-0000-0000-000082750000}"/>
    <cellStyle name="Warning Text 38" xfId="3578" xr:uid="{00000000-0005-0000-0000-000083750000}"/>
    <cellStyle name="Warning Text 39" xfId="3579" xr:uid="{00000000-0005-0000-0000-000084750000}"/>
    <cellStyle name="Warning Text 4" xfId="3580" xr:uid="{00000000-0005-0000-0000-000085750000}"/>
    <cellStyle name="Warning Text 4 2" xfId="24290" xr:uid="{00000000-0005-0000-0000-000086750000}"/>
    <cellStyle name="Warning Text 40" xfId="3581" xr:uid="{00000000-0005-0000-0000-000087750000}"/>
    <cellStyle name="Warning Text 41" xfId="3582" xr:uid="{00000000-0005-0000-0000-000088750000}"/>
    <cellStyle name="Warning Text 42" xfId="3583" xr:uid="{00000000-0005-0000-0000-000089750000}"/>
    <cellStyle name="Warning Text 43" xfId="3584" xr:uid="{00000000-0005-0000-0000-00008A750000}"/>
    <cellStyle name="Warning Text 44" xfId="3585" xr:uid="{00000000-0005-0000-0000-00008B750000}"/>
    <cellStyle name="Warning Text 45" xfId="3586" xr:uid="{00000000-0005-0000-0000-00008C750000}"/>
    <cellStyle name="Warning Text 46" xfId="3587" xr:uid="{00000000-0005-0000-0000-00008D750000}"/>
    <cellStyle name="Warning Text 47" xfId="3588" xr:uid="{00000000-0005-0000-0000-00008E750000}"/>
    <cellStyle name="Warning Text 48" xfId="3589" xr:uid="{00000000-0005-0000-0000-00008F750000}"/>
    <cellStyle name="Warning Text 49" xfId="3590" xr:uid="{00000000-0005-0000-0000-000090750000}"/>
    <cellStyle name="Warning Text 5" xfId="3591" xr:uid="{00000000-0005-0000-0000-000091750000}"/>
    <cellStyle name="Warning Text 5 2" xfId="24291" xr:uid="{00000000-0005-0000-0000-000092750000}"/>
    <cellStyle name="Warning Text 50" xfId="3592" xr:uid="{00000000-0005-0000-0000-000093750000}"/>
    <cellStyle name="Warning Text 51" xfId="3593" xr:uid="{00000000-0005-0000-0000-000094750000}"/>
    <cellStyle name="Warning Text 52" xfId="3594" xr:uid="{00000000-0005-0000-0000-000095750000}"/>
    <cellStyle name="Warning Text 53" xfId="3595" xr:uid="{00000000-0005-0000-0000-000096750000}"/>
    <cellStyle name="Warning Text 54" xfId="3596" xr:uid="{00000000-0005-0000-0000-000097750000}"/>
    <cellStyle name="Warning Text 55" xfId="3597" xr:uid="{00000000-0005-0000-0000-000098750000}"/>
    <cellStyle name="Warning Text 56" xfId="3598" xr:uid="{00000000-0005-0000-0000-000099750000}"/>
    <cellStyle name="Warning Text 57" xfId="3599" xr:uid="{00000000-0005-0000-0000-00009A750000}"/>
    <cellStyle name="Warning Text 58" xfId="3600" xr:uid="{00000000-0005-0000-0000-00009B750000}"/>
    <cellStyle name="Warning Text 59" xfId="3601" xr:uid="{00000000-0005-0000-0000-00009C750000}"/>
    <cellStyle name="Warning Text 6" xfId="3602" xr:uid="{00000000-0005-0000-0000-00009D750000}"/>
    <cellStyle name="Warning Text 60" xfId="3603" xr:uid="{00000000-0005-0000-0000-00009E750000}"/>
    <cellStyle name="Warning Text 61" xfId="3604" xr:uid="{00000000-0005-0000-0000-00009F750000}"/>
    <cellStyle name="Warning Text 62" xfId="3605" xr:uid="{00000000-0005-0000-0000-0000A0750000}"/>
    <cellStyle name="Warning Text 63" xfId="3606" xr:uid="{00000000-0005-0000-0000-0000A1750000}"/>
    <cellStyle name="Warning Text 64" xfId="3607" xr:uid="{00000000-0005-0000-0000-0000A2750000}"/>
    <cellStyle name="Warning Text 65" xfId="3608" xr:uid="{00000000-0005-0000-0000-0000A3750000}"/>
    <cellStyle name="Warning Text 66" xfId="3609" xr:uid="{00000000-0005-0000-0000-0000A4750000}"/>
    <cellStyle name="Warning Text 67" xfId="3610" xr:uid="{00000000-0005-0000-0000-0000A5750000}"/>
    <cellStyle name="Warning Text 68" xfId="3611" xr:uid="{00000000-0005-0000-0000-0000A6750000}"/>
    <cellStyle name="Warning Text 69" xfId="3612" xr:uid="{00000000-0005-0000-0000-0000A7750000}"/>
    <cellStyle name="Warning Text 7" xfId="3613" xr:uid="{00000000-0005-0000-0000-0000A8750000}"/>
    <cellStyle name="Warning Text 70" xfId="3614" xr:uid="{00000000-0005-0000-0000-0000A9750000}"/>
    <cellStyle name="Warning Text 71" xfId="3615" xr:uid="{00000000-0005-0000-0000-0000AA750000}"/>
    <cellStyle name="Warning Text 72" xfId="3616" xr:uid="{00000000-0005-0000-0000-0000AB750000}"/>
    <cellStyle name="Warning Text 8" xfId="3617" xr:uid="{00000000-0005-0000-0000-0000AC750000}"/>
    <cellStyle name="Warning Text 9" xfId="3618" xr:uid="{00000000-0005-0000-0000-0000AD750000}"/>
    <cellStyle name="WhitePattern" xfId="629" xr:uid="{00000000-0005-0000-0000-0000AE750000}"/>
    <cellStyle name="WhitePattern1" xfId="630" xr:uid="{00000000-0005-0000-0000-0000AF750000}"/>
    <cellStyle name="WhitePattern1 2" xfId="24526" xr:uid="{00000000-0005-0000-0000-0000B0750000}"/>
    <cellStyle name="WhitePattern1 2 2" xfId="25335" xr:uid="{00000000-0005-0000-0000-0000B1750000}"/>
    <cellStyle name="WhitePattern1 2 2 2" xfId="27489" xr:uid="{00000000-0005-0000-0000-0000B2750000}"/>
    <cellStyle name="WhitePattern1 2 2 2 2" xfId="32080" xr:uid="{3D7F4097-1613-4242-9EB3-38E8E0B0D100}"/>
    <cellStyle name="WhitePattern1 2 2 3" xfId="28607" xr:uid="{00000000-0005-0000-0000-0000B3750000}"/>
    <cellStyle name="WhitePattern1 2 2 4" xfId="29194" xr:uid="{00000000-0005-0000-0000-0000B4750000}"/>
    <cellStyle name="WhitePattern1 2 2 4 2" xfId="33177" xr:uid="{987C6AE6-E2DD-4418-8E04-302731C07A72}"/>
    <cellStyle name="WhitePattern1 2 2 5" xfId="26548" xr:uid="{00000000-0005-0000-0000-0000B5750000}"/>
    <cellStyle name="WhitePattern1 2 2 5 2" xfId="31335" xr:uid="{8211B196-BB97-4FA9-A6A3-4CD24162809B}"/>
    <cellStyle name="WhitePattern1 2 2 6" xfId="30493" xr:uid="{9E93F7AB-2649-4819-BE1D-4E50729CED18}"/>
    <cellStyle name="WhitePattern1 2 3" xfId="25597" xr:uid="{00000000-0005-0000-0000-0000B6750000}"/>
    <cellStyle name="WhitePattern1 2 3 2" xfId="27750" xr:uid="{00000000-0005-0000-0000-0000B7750000}"/>
    <cellStyle name="WhitePattern1 2 3 2 2" xfId="32337" xr:uid="{A66D0E0A-2CA6-4FF8-89BB-C84C17B6F8E7}"/>
    <cellStyle name="WhitePattern1 2 3 3" xfId="28608" xr:uid="{00000000-0005-0000-0000-0000B8750000}"/>
    <cellStyle name="WhitePattern1 2 3 4" xfId="29233" xr:uid="{00000000-0005-0000-0000-0000B9750000}"/>
    <cellStyle name="WhitePattern1 2 3 4 2" xfId="33216" xr:uid="{1A0DAAC5-6B55-472A-853A-8C6E4F897558}"/>
    <cellStyle name="WhitePattern1 2 3 5" xfId="27026" xr:uid="{00000000-0005-0000-0000-0000BA750000}"/>
    <cellStyle name="WhitePattern1 2 3 5 2" xfId="31786" xr:uid="{06BC4E06-0171-4472-A0CF-069DA41E695D}"/>
    <cellStyle name="WhitePattern1 2 3 6" xfId="30638" xr:uid="{371C4DE1-05A7-48C3-9A1D-B86F84C4BD78}"/>
    <cellStyle name="WhitePattern1 2 4" xfId="27206" xr:uid="{00000000-0005-0000-0000-0000BB750000}"/>
    <cellStyle name="WhitePattern1 2 4 2" xfId="31857" xr:uid="{E9ADB847-31CD-443E-AA95-7AA671B227CD}"/>
    <cellStyle name="WhitePattern1 2 5" xfId="28606" xr:uid="{00000000-0005-0000-0000-0000BC750000}"/>
    <cellStyle name="WhitePattern1 2 6" xfId="25813" xr:uid="{00000000-0005-0000-0000-0000BD750000}"/>
    <cellStyle name="WhitePattern1 2 6 2" xfId="30735" xr:uid="{8F4CD6E2-A2AD-4359-A907-72F9D9D90E1A}"/>
    <cellStyle name="WhitePattern1 2 7" xfId="27322" xr:uid="{00000000-0005-0000-0000-0000BE750000}"/>
    <cellStyle name="WhitePattern1 2 7 2" xfId="31941" xr:uid="{64893512-7A36-483D-B9E6-E77C10839FF0}"/>
    <cellStyle name="WhitePattern1 2 8" xfId="30299" xr:uid="{28B441C0-B556-4105-BE08-54B9621BE9DC}"/>
    <cellStyle name="WhitePattern1 3" xfId="24769" xr:uid="{00000000-0005-0000-0000-0000BF750000}"/>
    <cellStyle name="WhitePattern1 3 2" xfId="25286" xr:uid="{00000000-0005-0000-0000-0000C0750000}"/>
    <cellStyle name="WhitePattern1 3 2 2" xfId="27441" xr:uid="{00000000-0005-0000-0000-0000C1750000}"/>
    <cellStyle name="WhitePattern1 3 2 2 2" xfId="32036" xr:uid="{C6CE3513-29F6-4FDB-9D57-1729BB92C432}"/>
    <cellStyle name="WhitePattern1 3 2 3" xfId="28610" xr:uid="{00000000-0005-0000-0000-0000C2750000}"/>
    <cellStyle name="WhitePattern1 3 2 4" xfId="29188" xr:uid="{00000000-0005-0000-0000-0000C3750000}"/>
    <cellStyle name="WhitePattern1 3 2 4 2" xfId="33171" xr:uid="{0B94CD2E-41B2-44F1-9623-4B5BF85E69EC}"/>
    <cellStyle name="WhitePattern1 3 2 5" xfId="26187" xr:uid="{00000000-0005-0000-0000-0000C4750000}"/>
    <cellStyle name="WhitePattern1 3 2 5 2" xfId="30975" xr:uid="{8D53C3B0-45C8-4525-82F2-F5352406E767}"/>
    <cellStyle name="WhitePattern1 3 2 6" xfId="30449" xr:uid="{6ECED2A9-EFFE-4828-8000-6BCC2FC33046}"/>
    <cellStyle name="WhitePattern1 3 3" xfId="25665" xr:uid="{00000000-0005-0000-0000-0000C5750000}"/>
    <cellStyle name="WhitePattern1 3 3 2" xfId="27818" xr:uid="{00000000-0005-0000-0000-0000C6750000}"/>
    <cellStyle name="WhitePattern1 3 3 2 2" xfId="32405" xr:uid="{AF3E3D5D-0E06-4C65-9354-AF80E12493CE}"/>
    <cellStyle name="WhitePattern1 3 3 3" xfId="28611" xr:uid="{00000000-0005-0000-0000-0000C7750000}"/>
    <cellStyle name="WhitePattern1 3 3 4" xfId="29245" xr:uid="{00000000-0005-0000-0000-0000C8750000}"/>
    <cellStyle name="WhitePattern1 3 3 4 2" xfId="33227" xr:uid="{F4A4B164-C3D6-4BDD-A45F-DD2A6BF9496D}"/>
    <cellStyle name="WhitePattern1 3 3 5" xfId="26092" xr:uid="{00000000-0005-0000-0000-0000C9750000}"/>
    <cellStyle name="WhitePattern1 3 3 5 2" xfId="30882" xr:uid="{64215532-3F6A-480D-96EF-4984DFB0DCD6}"/>
    <cellStyle name="WhitePattern1 3 3 6" xfId="30659" xr:uid="{3720EFBA-7F7F-44F2-B225-40EE135C6323}"/>
    <cellStyle name="WhitePattern1 3 4" xfId="27311" xr:uid="{00000000-0005-0000-0000-0000CA750000}"/>
    <cellStyle name="WhitePattern1 3 4 2" xfId="31934" xr:uid="{9267BEF5-6B1E-4DC3-9403-0A643820597D}"/>
    <cellStyle name="WhitePattern1 3 5" xfId="28609" xr:uid="{00000000-0005-0000-0000-0000CB750000}"/>
    <cellStyle name="WhitePattern1 3 6" xfId="27315" xr:uid="{00000000-0005-0000-0000-0000CC750000}"/>
    <cellStyle name="WhitePattern1 3 6 2" xfId="31935" xr:uid="{A06184E5-0197-463D-B461-695BDED431E6}"/>
    <cellStyle name="WhitePattern1 3 7" xfId="26477" xr:uid="{00000000-0005-0000-0000-0000CD750000}"/>
    <cellStyle name="WhitePattern1 3 7 2" xfId="31265" xr:uid="{358A1C1A-007F-4290-9D0F-EF38D2905B17}"/>
    <cellStyle name="WhitePattern1 3 8" xfId="30367" xr:uid="{E87AC47D-952D-49F6-9FF4-B2C968B208A8}"/>
    <cellStyle name="WhiteText" xfId="631" xr:uid="{00000000-0005-0000-0000-0000CE750000}"/>
    <cellStyle name="Year" xfId="632" xr:uid="{00000000-0005-0000-0000-0000CF75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62007B99-6EB4-4836-8121-452C079416D9}"/>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670E8306-3901-430E-B898-341FD99E0E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8B6210A-6B2F-4FDC-94E3-15497A7FB6D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001AEC1A-C535-4F97-A70A-C590DFC3B17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EB72D9B-0249-4FF6-9366-76533E5897E8}"/>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977BC14-3F8D-4CF3-89A0-6B02C7BF0578}"/>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99ECF856-C69F-4D91-B047-7350963717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FB27F938-DDE7-4F3F-8F73-8DDB0CB32181}"/>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30C4A68C-A43B-4568-B4DB-13B433775D2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1943AD16-8C60-4FC6-970D-11B5F30786D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C385197-6F39-47C6-AB17-C7F2249C04A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15E5B4C-BBB1-4322-8D82-ACC6B13B6F9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4</xdr:row>
      <xdr:rowOff>19050</xdr:rowOff>
    </xdr:from>
    <xdr:ext cx="3086099" cy="2076450"/>
    <xdr:sp macro="" textlink="">
      <xdr:nvSpPr>
        <xdr:cNvPr id="2" name="TextBox 1">
          <a:extLst>
            <a:ext uri="{FF2B5EF4-FFF2-40B4-BE49-F238E27FC236}">
              <a16:creationId xmlns:a16="http://schemas.microsoft.com/office/drawing/2014/main" id="{EA5D2200-BF6B-47B1-95D2-265091D55FA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oneCellAnchor>
    <xdr:from>
      <xdr:col>0</xdr:col>
      <xdr:colOff>1</xdr:colOff>
      <xdr:row>4</xdr:row>
      <xdr:rowOff>19050</xdr:rowOff>
    </xdr:from>
    <xdr:ext cx="3086099" cy="2076450"/>
    <xdr:sp macro="" textlink="">
      <xdr:nvSpPr>
        <xdr:cNvPr id="5" name="TextBox 4">
          <a:extLst>
            <a:ext uri="{FF2B5EF4-FFF2-40B4-BE49-F238E27FC236}">
              <a16:creationId xmlns:a16="http://schemas.microsoft.com/office/drawing/2014/main" id="{1867BEC0-A683-4F9B-A115-C0D4BA2ECE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6" name="Straight Connector 5">
          <a:extLst>
            <a:ext uri="{FF2B5EF4-FFF2-40B4-BE49-F238E27FC236}">
              <a16:creationId xmlns:a16="http://schemas.microsoft.com/office/drawing/2014/main" id="{01940E48-460C-453A-83D7-7FFDDF1865C9}"/>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7" name="Straight Connector 6">
          <a:extLst>
            <a:ext uri="{FF2B5EF4-FFF2-40B4-BE49-F238E27FC236}">
              <a16:creationId xmlns:a16="http://schemas.microsoft.com/office/drawing/2014/main" id="{72D4C4BD-4EA0-4D51-B791-F3619F9EAFEE}"/>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v.%20Requirement%20Back-Up/CNG%202020%20Approved%20Budget%20by%20Stat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0 Budget by State -w- FERC"/>
      <sheetName val="2020 Budget by State"/>
      <sheetName val="Sheet1"/>
    </sheetNames>
    <sheetDataSet>
      <sheetData sheetId="0">
        <row r="4">
          <cell r="E4" t="str">
            <v>FP-101413</v>
          </cell>
          <cell r="F4" t="str">
            <v>GP BUILDINGS - WALLAWALLA</v>
          </cell>
        </row>
        <row r="5">
          <cell r="E5" t="str">
            <v>FP-101416</v>
          </cell>
          <cell r="F5" t="str">
            <v>GP TOOLS - WALLAWALLA</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36"/>
  <sheetViews>
    <sheetView workbookViewId="0">
      <selection activeCell="B29" sqref="B29"/>
    </sheetView>
  </sheetViews>
  <sheetFormatPr defaultRowHeight="15.75"/>
  <cols>
    <col min="1" max="1" width="98.7109375" style="4" customWidth="1"/>
    <col min="2" max="2" width="29.42578125" style="4" customWidth="1"/>
    <col min="3" max="16384" width="9.140625" style="4"/>
  </cols>
  <sheetData>
    <row r="1" spans="1:7">
      <c r="A1" s="15" t="s">
        <v>2486</v>
      </c>
    </row>
    <row r="2" spans="1:7">
      <c r="A2" s="15" t="s">
        <v>2487</v>
      </c>
    </row>
    <row r="3" spans="1:7">
      <c r="A3" s="15" t="s">
        <v>1843</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1284</v>
      </c>
    </row>
    <row r="22" spans="1:1">
      <c r="A22" s="18"/>
    </row>
    <row r="23" spans="1:1">
      <c r="A23" s="18"/>
    </row>
    <row r="24" spans="1:1">
      <c r="A24" s="19" t="s">
        <v>2488</v>
      </c>
    </row>
    <row r="25" spans="1:1">
      <c r="A25" s="18"/>
    </row>
    <row r="26" spans="1:1">
      <c r="A26" s="18"/>
    </row>
    <row r="27" spans="1:1">
      <c r="A27" s="18"/>
    </row>
    <row r="28" spans="1:1">
      <c r="A28" s="18"/>
    </row>
    <row r="29" spans="1:1">
      <c r="A29" s="18"/>
    </row>
    <row r="30" spans="1:1">
      <c r="A30" s="350" t="s">
        <v>2481</v>
      </c>
    </row>
    <row r="31" spans="1:1">
      <c r="A31" s="31"/>
    </row>
    <row r="32" spans="1:1">
      <c r="A32" s="14"/>
    </row>
    <row r="33" spans="1:1">
      <c r="A33" s="14"/>
    </row>
    <row r="34" spans="1:1">
      <c r="A34" s="14"/>
    </row>
    <row r="35" spans="1:1">
      <c r="A35" s="14"/>
    </row>
    <row r="36" spans="1:1">
      <c r="A36" s="14"/>
    </row>
  </sheetData>
  <printOptions horizontalCentered="1"/>
  <pageMargins left="0.5" right="0.5" top="1" bottom="1" header="0.3" footer="0.3"/>
  <pageSetup scale="80" orientation="portrait" r:id="rId1"/>
  <headerFooter differentFirst="1" scaleWithDoc="0" alignWithMargins="0">
    <oddHeader>&amp;RDocket No. UG-170929
Exhibit _____ (MPP-8)
Page 1 o f 1</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Q224"/>
  <sheetViews>
    <sheetView zoomScale="70" zoomScaleNormal="70" workbookViewId="0">
      <selection activeCell="C15" sqref="C15"/>
    </sheetView>
  </sheetViews>
  <sheetFormatPr defaultRowHeight="15.75"/>
  <cols>
    <col min="1" max="1" width="9.140625" style="26"/>
    <col min="2" max="2" width="14.140625" style="24" bestFit="1" customWidth="1"/>
    <col min="3" max="3" width="48.42578125" style="24" bestFit="1" customWidth="1"/>
    <col min="4" max="4" width="17.28515625" style="24" bestFit="1" customWidth="1"/>
    <col min="5" max="5" width="18.85546875" style="24" bestFit="1" customWidth="1"/>
    <col min="6" max="6" width="9.85546875" style="24" bestFit="1" customWidth="1"/>
    <col min="7" max="7" width="22.140625" style="24" bestFit="1" customWidth="1"/>
    <col min="8" max="8" width="18" style="24" bestFit="1" customWidth="1"/>
    <col min="9" max="9" width="12.28515625" style="24" bestFit="1" customWidth="1"/>
    <col min="10" max="10" width="16" style="409" bestFit="1" customWidth="1"/>
    <col min="11" max="11" width="14.5703125" style="24" bestFit="1" customWidth="1"/>
    <col min="12" max="13" width="9.140625" style="24"/>
    <col min="14" max="14" width="16.42578125" style="24" bestFit="1" customWidth="1"/>
    <col min="15" max="15" width="15.28515625" style="24" bestFit="1" customWidth="1"/>
    <col min="16" max="16" width="16.42578125" style="24" bestFit="1" customWidth="1"/>
    <col min="17" max="17" width="15" style="24" bestFit="1" customWidth="1"/>
    <col min="18" max="19" width="9.140625" style="24"/>
    <col min="20" max="20" width="12.42578125" style="24" bestFit="1" customWidth="1"/>
    <col min="21" max="16384" width="9.140625" style="24"/>
  </cols>
  <sheetData>
    <row r="1" spans="1:14">
      <c r="C1" s="905" t="s">
        <v>783</v>
      </c>
      <c r="D1" s="905"/>
      <c r="E1" s="905"/>
      <c r="F1" s="905"/>
      <c r="G1" s="905"/>
      <c r="H1" s="905"/>
      <c r="I1" s="905"/>
    </row>
    <row r="2" spans="1:14">
      <c r="C2" s="905" t="s">
        <v>1828</v>
      </c>
      <c r="D2" s="905"/>
      <c r="E2" s="905"/>
      <c r="F2" s="905"/>
      <c r="G2" s="905"/>
      <c r="H2" s="905"/>
      <c r="I2" s="905"/>
    </row>
    <row r="3" spans="1:14">
      <c r="C3" s="905" t="s">
        <v>1987</v>
      </c>
      <c r="D3" s="905"/>
      <c r="E3" s="905"/>
      <c r="F3" s="905"/>
      <c r="G3" s="905"/>
      <c r="H3" s="905"/>
      <c r="I3" s="905"/>
    </row>
    <row r="4" spans="1:14">
      <c r="C4" s="906"/>
      <c r="D4" s="906"/>
      <c r="E4" s="906"/>
      <c r="F4" s="906"/>
      <c r="G4" s="906"/>
      <c r="H4" s="906"/>
      <c r="I4" s="906"/>
    </row>
    <row r="6" spans="1:14" s="26" customFormat="1">
      <c r="B6" s="26" t="s">
        <v>1833</v>
      </c>
      <c r="C6" s="26" t="s">
        <v>1834</v>
      </c>
      <c r="D6" s="26" t="s">
        <v>1835</v>
      </c>
      <c r="E6" s="26" t="s">
        <v>1836</v>
      </c>
      <c r="F6" s="682" t="s">
        <v>1837</v>
      </c>
      <c r="G6" s="26" t="s">
        <v>1838</v>
      </c>
      <c r="H6" s="26" t="s">
        <v>1839</v>
      </c>
      <c r="I6" s="26" t="s">
        <v>1840</v>
      </c>
      <c r="J6" s="851" t="s">
        <v>1841</v>
      </c>
    </row>
    <row r="7" spans="1:14" ht="146.25" customHeight="1">
      <c r="A7" s="408" t="s">
        <v>662</v>
      </c>
      <c r="B7" s="852" t="s">
        <v>1829</v>
      </c>
      <c r="C7" s="852" t="s">
        <v>1830</v>
      </c>
      <c r="D7" s="180" t="s">
        <v>1831</v>
      </c>
      <c r="E7" s="793" t="s">
        <v>2455</v>
      </c>
      <c r="F7" s="852" t="s">
        <v>761</v>
      </c>
      <c r="G7" s="852" t="s">
        <v>1832</v>
      </c>
      <c r="H7" s="852" t="s">
        <v>762</v>
      </c>
      <c r="I7" s="852" t="s">
        <v>763</v>
      </c>
      <c r="J7" s="853" t="s">
        <v>1464</v>
      </c>
    </row>
    <row r="8" spans="1:14">
      <c r="A8" s="26">
        <v>1</v>
      </c>
      <c r="B8" s="183" t="s">
        <v>764</v>
      </c>
      <c r="C8" s="183" t="s">
        <v>1991</v>
      </c>
      <c r="D8" s="181">
        <v>303</v>
      </c>
      <c r="E8" s="185">
        <f>205921.33</f>
        <v>205921.33</v>
      </c>
      <c r="F8" s="410"/>
      <c r="G8" s="182">
        <f>+E8</f>
        <v>205921.33</v>
      </c>
      <c r="H8" s="182"/>
      <c r="I8" s="344"/>
      <c r="J8" s="411">
        <v>44196</v>
      </c>
      <c r="K8" s="293"/>
    </row>
    <row r="9" spans="1:14">
      <c r="A9" s="26">
        <v>2</v>
      </c>
      <c r="B9" s="183" t="s">
        <v>764</v>
      </c>
      <c r="C9" s="183" t="s">
        <v>2302</v>
      </c>
      <c r="D9" s="181">
        <v>303</v>
      </c>
      <c r="E9" s="185">
        <v>87032.79</v>
      </c>
      <c r="F9" s="410">
        <f>+'State Allocation Formulas'!C21</f>
        <v>0.75170000000000003</v>
      </c>
      <c r="G9" s="182">
        <f>+E9*F9</f>
        <v>65422.548242999997</v>
      </c>
      <c r="H9" s="182"/>
      <c r="I9" s="344"/>
      <c r="J9" s="411">
        <v>44166</v>
      </c>
      <c r="K9" s="293"/>
    </row>
    <row r="10" spans="1:14">
      <c r="A10" s="26">
        <v>3</v>
      </c>
      <c r="B10" s="183" t="s">
        <v>764</v>
      </c>
      <c r="C10" s="183" t="s">
        <v>1992</v>
      </c>
      <c r="D10" s="181">
        <v>303</v>
      </c>
      <c r="E10" s="185">
        <v>5648475</v>
      </c>
      <c r="F10" s="410"/>
      <c r="G10" s="182">
        <f>+E10</f>
        <v>5648475</v>
      </c>
      <c r="H10" s="182">
        <f>+G10</f>
        <v>5648475</v>
      </c>
      <c r="I10" s="344">
        <v>2</v>
      </c>
      <c r="J10" s="409">
        <v>44074</v>
      </c>
    </row>
    <row r="11" spans="1:14">
      <c r="A11" s="26">
        <v>4</v>
      </c>
      <c r="B11" s="183" t="s">
        <v>764</v>
      </c>
      <c r="C11" s="183" t="s">
        <v>1993</v>
      </c>
      <c r="D11" s="181">
        <v>303</v>
      </c>
      <c r="E11" s="185">
        <f>42365.2+8565.23</f>
        <v>50930.429999999993</v>
      </c>
      <c r="F11" s="410">
        <f>+'State Allocation Formulas'!$C$21</f>
        <v>0.75170000000000003</v>
      </c>
      <c r="G11" s="182">
        <f>+E11*F11</f>
        <v>38284.404230999993</v>
      </c>
      <c r="H11" s="182"/>
      <c r="I11" s="344"/>
      <c r="J11" s="409">
        <v>44196</v>
      </c>
    </row>
    <row r="12" spans="1:14">
      <c r="A12" s="26">
        <v>5</v>
      </c>
      <c r="B12" s="183" t="s">
        <v>764</v>
      </c>
      <c r="C12" s="183" t="s">
        <v>1994</v>
      </c>
      <c r="D12" s="181">
        <v>303</v>
      </c>
      <c r="E12" s="185">
        <v>746233</v>
      </c>
      <c r="F12" s="410"/>
      <c r="G12" s="182">
        <f>+E12</f>
        <v>746233</v>
      </c>
      <c r="H12" s="182">
        <f>+G12</f>
        <v>746233</v>
      </c>
      <c r="I12" s="344">
        <v>4</v>
      </c>
      <c r="J12" s="409">
        <v>44155</v>
      </c>
      <c r="N12" s="293"/>
    </row>
    <row r="13" spans="1:14">
      <c r="A13" s="26">
        <v>6</v>
      </c>
      <c r="B13" s="183" t="s">
        <v>764</v>
      </c>
      <c r="C13" s="183" t="s">
        <v>1995</v>
      </c>
      <c r="D13" s="181">
        <v>303</v>
      </c>
      <c r="E13" s="185">
        <f>93793.04+253064.68</f>
        <v>346857.72</v>
      </c>
      <c r="F13" s="410">
        <f>+'State Allocation Formulas'!$C$21</f>
        <v>0.75170000000000003</v>
      </c>
      <c r="G13" s="182">
        <f>+E13*F13</f>
        <v>260732.94812399999</v>
      </c>
      <c r="H13" s="182"/>
      <c r="I13" s="344"/>
      <c r="J13" s="409">
        <v>44926</v>
      </c>
    </row>
    <row r="14" spans="1:14">
      <c r="A14" s="26">
        <v>7</v>
      </c>
      <c r="B14" s="183" t="s">
        <v>764</v>
      </c>
      <c r="C14" s="183" t="s">
        <v>1996</v>
      </c>
      <c r="D14" s="181">
        <v>303</v>
      </c>
      <c r="E14" s="185">
        <v>35994.870000000003</v>
      </c>
      <c r="F14" s="410">
        <f>+'State Allocation Formulas'!$C$21</f>
        <v>0.75170000000000003</v>
      </c>
      <c r="G14" s="182">
        <f>+E14*F14</f>
        <v>27057.343779000003</v>
      </c>
      <c r="H14" s="182"/>
      <c r="I14" s="344"/>
      <c r="J14" s="409">
        <v>43876</v>
      </c>
    </row>
    <row r="15" spans="1:14">
      <c r="A15" s="26">
        <v>8</v>
      </c>
      <c r="B15" s="183" t="s">
        <v>764</v>
      </c>
      <c r="C15" s="183" t="s">
        <v>2304</v>
      </c>
      <c r="D15" s="181">
        <v>303</v>
      </c>
      <c r="E15" s="185">
        <v>158747.54</v>
      </c>
      <c r="F15" s="410">
        <f>+'State Allocation Formulas'!C21</f>
        <v>0.75170000000000003</v>
      </c>
      <c r="G15" s="182">
        <f>+E15*F15</f>
        <v>119330.52581800001</v>
      </c>
      <c r="H15" s="182"/>
      <c r="I15" s="344"/>
      <c r="J15" s="409">
        <v>44012</v>
      </c>
    </row>
    <row r="16" spans="1:14">
      <c r="A16" s="26">
        <v>9</v>
      </c>
      <c r="B16" s="183" t="s">
        <v>764</v>
      </c>
      <c r="C16" s="183" t="s">
        <v>1997</v>
      </c>
      <c r="D16" s="181">
        <v>303</v>
      </c>
      <c r="E16" s="185">
        <v>670450.44000000006</v>
      </c>
      <c r="F16" s="410">
        <f>+'State Allocation Formulas'!$C$21</f>
        <v>0.75170000000000003</v>
      </c>
      <c r="G16" s="182">
        <f>+E16*F16</f>
        <v>503977.59574800008</v>
      </c>
      <c r="H16" s="182"/>
      <c r="I16" s="344"/>
      <c r="J16" s="409">
        <v>43496</v>
      </c>
    </row>
    <row r="17" spans="1:17">
      <c r="A17" s="26">
        <v>10</v>
      </c>
      <c r="B17" s="183" t="s">
        <v>764</v>
      </c>
      <c r="C17" s="183" t="s">
        <v>1998</v>
      </c>
      <c r="D17" s="181">
        <v>303</v>
      </c>
      <c r="E17" s="185">
        <v>21082.9</v>
      </c>
      <c r="F17" s="410"/>
      <c r="G17" s="182">
        <f>+E17</f>
        <v>21082.9</v>
      </c>
      <c r="H17" s="182"/>
      <c r="I17" s="344"/>
      <c r="J17" s="409">
        <v>44073</v>
      </c>
    </row>
    <row r="18" spans="1:17">
      <c r="A18" s="26">
        <v>11</v>
      </c>
      <c r="B18" s="183" t="s">
        <v>764</v>
      </c>
      <c r="C18" s="183" t="s">
        <v>2303</v>
      </c>
      <c r="D18" s="181">
        <v>303</v>
      </c>
      <c r="E18" s="185">
        <v>155972.76</v>
      </c>
      <c r="F18" s="410">
        <f>+'State Allocation Formulas'!C21</f>
        <v>0.75170000000000003</v>
      </c>
      <c r="G18" s="182">
        <f>+E18*F18</f>
        <v>117244.72369200001</v>
      </c>
      <c r="H18" s="182"/>
      <c r="I18" s="344"/>
      <c r="J18" s="409">
        <v>44196</v>
      </c>
    </row>
    <row r="19" spans="1:17">
      <c r="A19" s="26">
        <v>12</v>
      </c>
      <c r="B19" s="183" t="s">
        <v>764</v>
      </c>
      <c r="C19" s="183" t="s">
        <v>1999</v>
      </c>
      <c r="D19" s="181">
        <v>303</v>
      </c>
      <c r="E19" s="185">
        <v>-450.01</v>
      </c>
      <c r="F19" s="410"/>
      <c r="G19" s="182">
        <f>+E19</f>
        <v>-450.01</v>
      </c>
      <c r="H19" s="182"/>
      <c r="I19" s="344"/>
      <c r="J19" s="409">
        <v>43951</v>
      </c>
    </row>
    <row r="20" spans="1:17">
      <c r="A20" s="26">
        <v>13</v>
      </c>
      <c r="B20" s="183" t="s">
        <v>764</v>
      </c>
      <c r="C20" s="183" t="s">
        <v>2000</v>
      </c>
      <c r="D20" s="181">
        <v>303</v>
      </c>
      <c r="E20" s="185">
        <f>64704.93+4518.12</f>
        <v>69223.05</v>
      </c>
      <c r="F20" s="410">
        <f>+'State Allocation Formulas'!$C$21</f>
        <v>0.75170000000000003</v>
      </c>
      <c r="G20" s="182">
        <f>+E20*F20</f>
        <v>52034.966685000007</v>
      </c>
      <c r="H20" s="182"/>
      <c r="I20" s="344"/>
      <c r="J20" s="409">
        <v>45291</v>
      </c>
    </row>
    <row r="21" spans="1:17">
      <c r="A21" s="26">
        <v>14</v>
      </c>
      <c r="B21" s="183" t="s">
        <v>764</v>
      </c>
      <c r="C21" s="183" t="s">
        <v>2001</v>
      </c>
      <c r="D21" s="181">
        <v>303</v>
      </c>
      <c r="E21" s="185">
        <v>15422.61</v>
      </c>
      <c r="F21" s="410"/>
      <c r="G21" s="182">
        <f>+E21</f>
        <v>15422.61</v>
      </c>
      <c r="H21" s="182"/>
      <c r="I21" s="344"/>
      <c r="J21" s="409">
        <v>43951</v>
      </c>
    </row>
    <row r="22" spans="1:17">
      <c r="A22" s="26">
        <v>15</v>
      </c>
      <c r="B22" s="183" t="s">
        <v>764</v>
      </c>
      <c r="C22" s="183" t="s">
        <v>2305</v>
      </c>
      <c r="D22" s="181">
        <v>303</v>
      </c>
      <c r="E22" s="185">
        <v>63738.720000000001</v>
      </c>
      <c r="F22" s="410">
        <f>+'State Allocation Formulas'!C21</f>
        <v>0.75170000000000003</v>
      </c>
      <c r="G22" s="182">
        <f>+E22*F22</f>
        <v>47912.395824000007</v>
      </c>
      <c r="H22" s="182"/>
      <c r="I22" s="344"/>
      <c r="J22" s="409">
        <v>44104</v>
      </c>
    </row>
    <row r="23" spans="1:17">
      <c r="A23" s="26">
        <v>16</v>
      </c>
      <c r="B23" s="183" t="s">
        <v>764</v>
      </c>
      <c r="C23" s="183" t="s">
        <v>2002</v>
      </c>
      <c r="D23" s="181">
        <v>303</v>
      </c>
      <c r="E23" s="185">
        <v>882417.45</v>
      </c>
      <c r="F23" s="410"/>
      <c r="G23" s="182">
        <f>+E23</f>
        <v>882417.45</v>
      </c>
      <c r="H23" s="182">
        <f>+G23</f>
        <v>882417.45</v>
      </c>
      <c r="I23" s="344">
        <v>11</v>
      </c>
      <c r="J23" s="409">
        <v>44012</v>
      </c>
    </row>
    <row r="24" spans="1:17">
      <c r="A24" s="26">
        <v>17</v>
      </c>
      <c r="B24" s="183" t="s">
        <v>764</v>
      </c>
      <c r="C24" s="183" t="s">
        <v>2003</v>
      </c>
      <c r="D24" s="181">
        <v>303</v>
      </c>
      <c r="E24" s="185">
        <v>8476.31</v>
      </c>
      <c r="F24" s="410">
        <f>+'State Allocation Formulas'!$C$21</f>
        <v>0.75170000000000003</v>
      </c>
      <c r="G24" s="182">
        <f>+E24*F24</f>
        <v>6371.6422270000003</v>
      </c>
      <c r="H24" s="182"/>
      <c r="I24" s="344"/>
      <c r="J24" s="409">
        <v>43842</v>
      </c>
    </row>
    <row r="25" spans="1:17">
      <c r="A25" s="26">
        <v>18</v>
      </c>
      <c r="B25" s="183" t="s">
        <v>764</v>
      </c>
      <c r="C25" s="183" t="s">
        <v>2004</v>
      </c>
      <c r="D25" s="181">
        <v>303</v>
      </c>
      <c r="E25" s="185">
        <v>858122</v>
      </c>
      <c r="F25" s="410"/>
      <c r="G25" s="182">
        <f>+E25</f>
        <v>858122</v>
      </c>
      <c r="H25" s="182">
        <f>+G25</f>
        <v>858122</v>
      </c>
      <c r="I25" s="344">
        <v>21</v>
      </c>
      <c r="J25" s="409">
        <v>44165</v>
      </c>
      <c r="Q25" s="302"/>
    </row>
    <row r="26" spans="1:17">
      <c r="A26" s="26">
        <v>19</v>
      </c>
      <c r="B26" s="183" t="s">
        <v>764</v>
      </c>
      <c r="C26" s="183" t="s">
        <v>2005</v>
      </c>
      <c r="D26" s="181">
        <v>303</v>
      </c>
      <c r="E26" s="185">
        <f>131375.72+5492.14</f>
        <v>136867.86000000002</v>
      </c>
      <c r="F26" s="410"/>
      <c r="G26" s="182">
        <f>+E26</f>
        <v>136867.86000000002</v>
      </c>
      <c r="H26" s="182"/>
      <c r="I26" s="344"/>
      <c r="J26" s="409">
        <v>43982</v>
      </c>
    </row>
    <row r="27" spans="1:17">
      <c r="A27" s="26">
        <v>20</v>
      </c>
      <c r="B27" s="183" t="s">
        <v>764</v>
      </c>
      <c r="C27" s="183" t="s">
        <v>2306</v>
      </c>
      <c r="D27" s="181">
        <v>303</v>
      </c>
      <c r="E27" s="185">
        <v>26509.599999999999</v>
      </c>
      <c r="F27" s="410">
        <f>+'State Allocation Formulas'!C21</f>
        <v>0.75170000000000003</v>
      </c>
      <c r="G27" s="182">
        <f>+E27*F27</f>
        <v>19927.266319999999</v>
      </c>
      <c r="H27" s="182"/>
      <c r="I27" s="344"/>
      <c r="J27" s="409">
        <v>43952</v>
      </c>
    </row>
    <row r="28" spans="1:17">
      <c r="A28" s="26">
        <v>21</v>
      </c>
      <c r="B28" s="183" t="s">
        <v>764</v>
      </c>
      <c r="C28" s="183" t="s">
        <v>2307</v>
      </c>
      <c r="D28" s="181">
        <v>303</v>
      </c>
      <c r="E28" s="185">
        <v>27529.200000000001</v>
      </c>
      <c r="F28" s="410">
        <f>+'State Allocation Formulas'!C21</f>
        <v>0.75170000000000003</v>
      </c>
      <c r="G28" s="182">
        <f>+E28*F28</f>
        <v>20693.699640000003</v>
      </c>
      <c r="H28" s="182"/>
      <c r="I28" s="344"/>
      <c r="J28" s="409">
        <v>44119</v>
      </c>
    </row>
    <row r="29" spans="1:17">
      <c r="A29" s="26">
        <v>22</v>
      </c>
      <c r="B29" s="183" t="s">
        <v>764</v>
      </c>
      <c r="C29" s="183" t="s">
        <v>2006</v>
      </c>
      <c r="D29" s="181">
        <v>303</v>
      </c>
      <c r="E29" s="185">
        <v>4731395</v>
      </c>
      <c r="F29" s="410"/>
      <c r="G29" s="182">
        <f>+E29</f>
        <v>4731395</v>
      </c>
      <c r="H29" s="182">
        <f>+G29</f>
        <v>4731395</v>
      </c>
      <c r="I29" s="344">
        <v>23</v>
      </c>
      <c r="J29" s="409">
        <v>44165</v>
      </c>
      <c r="Q29" s="302"/>
    </row>
    <row r="30" spans="1:17">
      <c r="A30" s="26">
        <v>23</v>
      </c>
      <c r="B30" s="412"/>
      <c r="C30" s="413" t="s">
        <v>765</v>
      </c>
      <c r="D30" s="186"/>
      <c r="E30" s="414">
        <f>SUM(E8:E29)</f>
        <v>14946950.569999998</v>
      </c>
      <c r="F30" s="412"/>
      <c r="G30" s="415">
        <f>SUM(G8:G29)</f>
        <v>14524477.200330999</v>
      </c>
      <c r="H30" s="415">
        <f>SUM(H8:H29)</f>
        <v>12866642.449999999</v>
      </c>
      <c r="I30" s="416"/>
      <c r="J30" s="845"/>
    </row>
    <row r="31" spans="1:17">
      <c r="A31" s="26">
        <v>24</v>
      </c>
      <c r="B31" s="412" t="s">
        <v>786</v>
      </c>
      <c r="C31" s="412"/>
      <c r="D31" s="184"/>
      <c r="E31" s="185"/>
      <c r="F31" s="412"/>
      <c r="G31" s="417"/>
      <c r="H31" s="412"/>
      <c r="I31" s="416"/>
      <c r="J31" s="846"/>
    </row>
    <row r="32" spans="1:17">
      <c r="A32" s="26">
        <v>25</v>
      </c>
      <c r="B32" s="183" t="s">
        <v>766</v>
      </c>
      <c r="C32" s="412" t="s">
        <v>2439</v>
      </c>
      <c r="D32" s="184">
        <v>396</v>
      </c>
      <c r="E32" s="185">
        <v>481087.24</v>
      </c>
      <c r="F32" s="854">
        <f>+'State Allocation Formulas'!C21</f>
        <v>0.75170000000000003</v>
      </c>
      <c r="G32" s="417">
        <f>+E32*F32</f>
        <v>361633.27830800001</v>
      </c>
      <c r="H32" s="412"/>
      <c r="I32" s="416"/>
      <c r="J32" s="846">
        <v>44196</v>
      </c>
    </row>
    <row r="33" spans="1:10">
      <c r="A33" s="26">
        <v>26</v>
      </c>
      <c r="B33" s="183" t="s">
        <v>766</v>
      </c>
      <c r="C33" s="412" t="s">
        <v>2440</v>
      </c>
      <c r="D33" s="184">
        <v>397</v>
      </c>
      <c r="E33" s="185">
        <v>290586.03999999998</v>
      </c>
      <c r="F33" s="854">
        <f>+'State Allocation Formulas'!C21</f>
        <v>0.75170000000000003</v>
      </c>
      <c r="G33" s="417">
        <f>+E33*F33</f>
        <v>218433.52626799999</v>
      </c>
      <c r="H33" s="412"/>
      <c r="I33" s="416"/>
      <c r="J33" s="846">
        <v>44196</v>
      </c>
    </row>
    <row r="34" spans="1:10">
      <c r="A34" s="26">
        <v>27</v>
      </c>
      <c r="B34" s="183" t="s">
        <v>766</v>
      </c>
      <c r="C34" s="183" t="s">
        <v>2397</v>
      </c>
      <c r="D34" s="181">
        <v>376</v>
      </c>
      <c r="E34" s="185">
        <v>36096.400000000001</v>
      </c>
      <c r="F34" s="183"/>
      <c r="G34" s="182">
        <f t="shared" ref="G34:G50" si="0">+E34</f>
        <v>36096.400000000001</v>
      </c>
      <c r="H34" s="182"/>
      <c r="I34" s="344"/>
      <c r="J34" s="661">
        <v>43946</v>
      </c>
    </row>
    <row r="35" spans="1:10">
      <c r="A35" s="26">
        <v>28</v>
      </c>
      <c r="B35" s="183" t="s">
        <v>766</v>
      </c>
      <c r="C35" s="183" t="s">
        <v>767</v>
      </c>
      <c r="D35" s="181">
        <v>376</v>
      </c>
      <c r="E35" s="185">
        <v>55032.54</v>
      </c>
      <c r="F35" s="183"/>
      <c r="G35" s="182">
        <f t="shared" si="0"/>
        <v>55032.54</v>
      </c>
      <c r="H35" s="182"/>
      <c r="I35" s="344"/>
      <c r="J35" s="661">
        <v>44075</v>
      </c>
    </row>
    <row r="36" spans="1:10">
      <c r="A36" s="26">
        <v>29</v>
      </c>
      <c r="B36" s="183" t="s">
        <v>766</v>
      </c>
      <c r="C36" s="183" t="s">
        <v>2398</v>
      </c>
      <c r="D36" s="181">
        <v>378</v>
      </c>
      <c r="E36" s="185">
        <v>611717</v>
      </c>
      <c r="F36" s="183"/>
      <c r="G36" s="182">
        <f>+E36</f>
        <v>611717</v>
      </c>
      <c r="H36" s="182">
        <f>+G36</f>
        <v>611717</v>
      </c>
      <c r="I36" s="344">
        <v>27</v>
      </c>
      <c r="J36" s="661">
        <v>44196</v>
      </c>
    </row>
    <row r="37" spans="1:10">
      <c r="A37" s="26">
        <v>30</v>
      </c>
      <c r="B37" s="183" t="s">
        <v>766</v>
      </c>
      <c r="C37" s="183" t="s">
        <v>768</v>
      </c>
      <c r="D37" s="181">
        <v>378</v>
      </c>
      <c r="E37" s="185">
        <f>95413.54+555120</f>
        <v>650533.54</v>
      </c>
      <c r="F37" s="183"/>
      <c r="G37" s="182">
        <f t="shared" si="0"/>
        <v>650533.54</v>
      </c>
      <c r="H37" s="182"/>
      <c r="I37" s="344"/>
      <c r="J37" s="661">
        <v>44119</v>
      </c>
    </row>
    <row r="38" spans="1:10">
      <c r="A38" s="26">
        <v>31</v>
      </c>
      <c r="B38" s="183" t="s">
        <v>766</v>
      </c>
      <c r="C38" s="183" t="s">
        <v>769</v>
      </c>
      <c r="D38" s="181">
        <v>380</v>
      </c>
      <c r="E38" s="185">
        <v>62.76</v>
      </c>
      <c r="F38" s="183"/>
      <c r="G38" s="182">
        <f t="shared" si="0"/>
        <v>62.76</v>
      </c>
      <c r="H38" s="182"/>
      <c r="I38" s="344"/>
      <c r="J38" s="661">
        <v>44136</v>
      </c>
    </row>
    <row r="39" spans="1:10">
      <c r="A39" s="26">
        <v>32</v>
      </c>
      <c r="B39" s="183" t="s">
        <v>766</v>
      </c>
      <c r="C39" s="183" t="s">
        <v>770</v>
      </c>
      <c r="D39" s="184">
        <v>385</v>
      </c>
      <c r="E39" s="185">
        <v>40010.83</v>
      </c>
      <c r="F39" s="183"/>
      <c r="G39" s="596">
        <f t="shared" si="0"/>
        <v>40010.83</v>
      </c>
      <c r="H39" s="596"/>
      <c r="I39" s="344"/>
      <c r="J39" s="661">
        <v>44181</v>
      </c>
    </row>
    <row r="40" spans="1:10">
      <c r="A40" s="26">
        <v>33</v>
      </c>
      <c r="B40" s="183" t="s">
        <v>766</v>
      </c>
      <c r="C40" s="183" t="s">
        <v>771</v>
      </c>
      <c r="D40" s="181">
        <v>385</v>
      </c>
      <c r="E40" s="185">
        <v>21467.7</v>
      </c>
      <c r="F40" s="183"/>
      <c r="G40" s="182">
        <f t="shared" si="0"/>
        <v>21467.7</v>
      </c>
      <c r="H40" s="182"/>
      <c r="I40" s="344"/>
      <c r="J40" s="661">
        <v>43981</v>
      </c>
    </row>
    <row r="41" spans="1:10">
      <c r="A41" s="26">
        <v>34</v>
      </c>
      <c r="B41" s="183" t="s">
        <v>766</v>
      </c>
      <c r="C41" s="183" t="s">
        <v>2441</v>
      </c>
      <c r="D41" s="856">
        <v>381</v>
      </c>
      <c r="E41" s="857">
        <v>3919185.28</v>
      </c>
      <c r="F41" s="410">
        <f>+'State Allocation Formulas'!C21</f>
        <v>0.75170000000000003</v>
      </c>
      <c r="G41" s="182">
        <f>+E41*F41</f>
        <v>2946051.574976</v>
      </c>
      <c r="H41" s="182">
        <f>+G41</f>
        <v>2946051.574976</v>
      </c>
      <c r="I41" s="344">
        <v>28</v>
      </c>
      <c r="J41" s="661">
        <v>44196</v>
      </c>
    </row>
    <row r="42" spans="1:10">
      <c r="A42" s="26">
        <v>35</v>
      </c>
      <c r="B42" s="183" t="s">
        <v>766</v>
      </c>
      <c r="C42" s="183" t="s">
        <v>2442</v>
      </c>
      <c r="D42" s="856">
        <v>392</v>
      </c>
      <c r="E42" s="857">
        <v>2180374.04</v>
      </c>
      <c r="F42" s="410">
        <f>+'State Allocation Formulas'!C21</f>
        <v>0.75170000000000003</v>
      </c>
      <c r="G42" s="182">
        <f t="shared" ref="G42:G43" si="1">+E42*F42</f>
        <v>1638987.1658680001</v>
      </c>
      <c r="H42" s="182"/>
      <c r="I42" s="344"/>
      <c r="J42" s="661">
        <v>44196</v>
      </c>
    </row>
    <row r="43" spans="1:10">
      <c r="A43" s="26">
        <v>36</v>
      </c>
      <c r="B43" s="183" t="s">
        <v>766</v>
      </c>
      <c r="C43" s="183" t="s">
        <v>2443</v>
      </c>
      <c r="D43" s="856">
        <v>383</v>
      </c>
      <c r="E43" s="857">
        <v>1320143.48</v>
      </c>
      <c r="F43" s="410">
        <f>+'State Allocation Formulas'!C21</f>
        <v>0.75170000000000003</v>
      </c>
      <c r="G43" s="182">
        <f t="shared" si="1"/>
        <v>992351.85391599999</v>
      </c>
      <c r="H43" s="182"/>
      <c r="I43" s="344"/>
      <c r="J43" s="661">
        <v>44196</v>
      </c>
    </row>
    <row r="44" spans="1:10">
      <c r="A44" s="26">
        <v>37</v>
      </c>
      <c r="B44" s="183" t="s">
        <v>766</v>
      </c>
      <c r="C44" s="183" t="s">
        <v>772</v>
      </c>
      <c r="D44" s="181">
        <v>380</v>
      </c>
      <c r="E44" s="185">
        <v>31924.36</v>
      </c>
      <c r="F44" s="183"/>
      <c r="G44" s="182">
        <f t="shared" si="0"/>
        <v>31924.36</v>
      </c>
      <c r="H44" s="182"/>
      <c r="I44" s="344"/>
      <c r="J44" s="661">
        <v>44136</v>
      </c>
    </row>
    <row r="45" spans="1:10">
      <c r="A45" s="26">
        <v>38</v>
      </c>
      <c r="B45" s="183" t="s">
        <v>766</v>
      </c>
      <c r="C45" s="183" t="str">
        <f>_xlfn.CONCAT('[2]2020 Budget by State -w- FERC'!$E$4,'[2]2020 Budget by State -w- FERC'!$F$4)</f>
        <v>FP-101413GP BUILDINGS - WALLAWALLA</v>
      </c>
      <c r="D45" s="181">
        <v>390</v>
      </c>
      <c r="E45" s="185">
        <v>124289.24</v>
      </c>
      <c r="F45" s="183"/>
      <c r="G45" s="182">
        <f t="shared" si="0"/>
        <v>124289.24</v>
      </c>
      <c r="H45" s="182"/>
      <c r="I45" s="344"/>
      <c r="J45" s="661">
        <v>44196</v>
      </c>
    </row>
    <row r="46" spans="1:10">
      <c r="A46" s="26">
        <v>39</v>
      </c>
      <c r="B46" s="183" t="s">
        <v>766</v>
      </c>
      <c r="C46" s="183" t="str">
        <f>_xlfn.CONCAT('[2]2020 Budget by State -w- FERC'!$E$5,'[2]2020 Budget by State -w- FERC'!$F$5)</f>
        <v>FP-101416GP TOOLS - WALLAWALLA</v>
      </c>
      <c r="D46" s="181">
        <v>394</v>
      </c>
      <c r="E46" s="185">
        <v>4282.32</v>
      </c>
      <c r="F46" s="183"/>
      <c r="G46" s="182">
        <f t="shared" si="0"/>
        <v>4282.32</v>
      </c>
      <c r="H46" s="182"/>
      <c r="I46" s="344"/>
      <c r="J46" s="661">
        <v>44196</v>
      </c>
    </row>
    <row r="47" spans="1:10">
      <c r="A47" s="26">
        <v>40</v>
      </c>
      <c r="B47" s="183" t="s">
        <v>766</v>
      </c>
      <c r="C47" s="183" t="s">
        <v>2017</v>
      </c>
      <c r="D47" s="181">
        <v>367</v>
      </c>
      <c r="E47" s="185">
        <v>7616.94</v>
      </c>
      <c r="F47" s="183"/>
      <c r="G47" s="182">
        <f t="shared" si="0"/>
        <v>7616.94</v>
      </c>
      <c r="H47" s="183"/>
      <c r="I47" s="344"/>
      <c r="J47" s="661">
        <v>44196</v>
      </c>
    </row>
    <row r="48" spans="1:10">
      <c r="A48" s="26">
        <v>41</v>
      </c>
      <c r="B48" s="183" t="s">
        <v>766</v>
      </c>
      <c r="C48" s="183" t="s">
        <v>2444</v>
      </c>
      <c r="D48" s="181">
        <v>391</v>
      </c>
      <c r="E48" s="185">
        <v>54854.48</v>
      </c>
      <c r="F48" s="410">
        <f>+'State Allocation Formulas'!C21</f>
        <v>0.75170000000000003</v>
      </c>
      <c r="G48" s="182">
        <f>+E48*F48</f>
        <v>41234.112616000006</v>
      </c>
      <c r="H48" s="183"/>
      <c r="I48" s="344"/>
      <c r="J48" s="661">
        <v>44196</v>
      </c>
    </row>
    <row r="49" spans="1:17">
      <c r="A49" s="26">
        <v>42</v>
      </c>
      <c r="B49" s="183" t="s">
        <v>766</v>
      </c>
      <c r="C49" s="183" t="s">
        <v>1293</v>
      </c>
      <c r="D49" s="181">
        <v>376</v>
      </c>
      <c r="E49" s="185">
        <v>2757265.26</v>
      </c>
      <c r="F49" s="183"/>
      <c r="G49" s="182">
        <f t="shared" si="0"/>
        <v>2757265.26</v>
      </c>
      <c r="H49" s="182">
        <f>+G49</f>
        <v>2757265.26</v>
      </c>
      <c r="I49" s="344">
        <v>1</v>
      </c>
      <c r="J49" s="661">
        <v>44012</v>
      </c>
      <c r="N49" s="302"/>
    </row>
    <row r="50" spans="1:17">
      <c r="A50" s="26">
        <v>43</v>
      </c>
      <c r="B50" s="183" t="s">
        <v>766</v>
      </c>
      <c r="C50" s="183" t="s">
        <v>773</v>
      </c>
      <c r="D50" s="181">
        <v>376</v>
      </c>
      <c r="E50" s="185">
        <f>37762.19+709879.16</f>
        <v>747641.35000000009</v>
      </c>
      <c r="F50" s="183"/>
      <c r="G50" s="182">
        <f t="shared" si="0"/>
        <v>747641.35000000009</v>
      </c>
      <c r="H50" s="182"/>
      <c r="I50" s="344"/>
      <c r="J50" s="661">
        <v>43891</v>
      </c>
    </row>
    <row r="51" spans="1:17">
      <c r="A51" s="26">
        <v>45</v>
      </c>
      <c r="B51" s="183" t="s">
        <v>766</v>
      </c>
      <c r="C51" s="183" t="s">
        <v>2331</v>
      </c>
      <c r="D51" s="181">
        <v>381</v>
      </c>
      <c r="E51" s="185">
        <v>363466.8</v>
      </c>
      <c r="F51" s="410">
        <f>+'State Allocation Formulas'!C21</f>
        <v>0.75170000000000003</v>
      </c>
      <c r="G51" s="182">
        <f>+E51*F51</f>
        <v>273217.99356000003</v>
      </c>
      <c r="H51" s="182"/>
      <c r="I51" s="344"/>
      <c r="J51" s="409">
        <v>44196</v>
      </c>
    </row>
    <row r="52" spans="1:17">
      <c r="A52" s="26">
        <v>46</v>
      </c>
      <c r="B52" s="183" t="s">
        <v>766</v>
      </c>
      <c r="C52" s="183" t="s">
        <v>2394</v>
      </c>
      <c r="D52" s="181">
        <v>376</v>
      </c>
      <c r="E52" s="185">
        <v>3360413</v>
      </c>
      <c r="F52" s="183"/>
      <c r="G52" s="182">
        <f t="shared" ref="G52:G72" si="2">+E52</f>
        <v>3360413</v>
      </c>
      <c r="H52" s="182">
        <f>+G52</f>
        <v>3360413</v>
      </c>
      <c r="I52" s="344">
        <v>3</v>
      </c>
      <c r="J52" s="661">
        <v>44165</v>
      </c>
      <c r="N52" s="302"/>
      <c r="Q52" s="302"/>
    </row>
    <row r="53" spans="1:17">
      <c r="A53" s="26">
        <v>47</v>
      </c>
      <c r="B53" s="183" t="s">
        <v>766</v>
      </c>
      <c r="C53" s="24" t="s">
        <v>2018</v>
      </c>
      <c r="D53" s="181">
        <v>367</v>
      </c>
      <c r="E53" s="185">
        <v>2363557.25</v>
      </c>
      <c r="F53" s="183"/>
      <c r="G53" s="182">
        <f t="shared" si="2"/>
        <v>2363557.25</v>
      </c>
      <c r="H53" s="182"/>
      <c r="I53" s="344"/>
      <c r="J53" s="661">
        <v>44895</v>
      </c>
    </row>
    <row r="54" spans="1:17">
      <c r="A54" s="26">
        <v>48</v>
      </c>
      <c r="B54" s="183" t="s">
        <v>766</v>
      </c>
      <c r="C54" s="183" t="s">
        <v>2007</v>
      </c>
      <c r="D54" s="181">
        <v>378</v>
      </c>
      <c r="E54" s="185">
        <v>20008.89</v>
      </c>
      <c r="F54" s="183"/>
      <c r="G54" s="182">
        <f t="shared" si="2"/>
        <v>20008.89</v>
      </c>
      <c r="H54" s="182"/>
      <c r="I54" s="344"/>
      <c r="J54" s="661">
        <v>43861</v>
      </c>
    </row>
    <row r="55" spans="1:17">
      <c r="A55" s="26">
        <v>49</v>
      </c>
      <c r="B55" s="183" t="s">
        <v>766</v>
      </c>
      <c r="C55" s="183" t="s">
        <v>2332</v>
      </c>
      <c r="D55" s="181">
        <v>376</v>
      </c>
      <c r="E55" s="185">
        <v>179168.59</v>
      </c>
      <c r="F55" s="183"/>
      <c r="G55" s="182">
        <f t="shared" si="2"/>
        <v>179168.59</v>
      </c>
      <c r="H55" s="182"/>
      <c r="I55" s="344" t="s">
        <v>802</v>
      </c>
      <c r="J55" s="661">
        <v>44196</v>
      </c>
    </row>
    <row r="56" spans="1:17">
      <c r="A56" s="26">
        <v>50</v>
      </c>
      <c r="B56" s="183" t="s">
        <v>766</v>
      </c>
      <c r="C56" s="183" t="s">
        <v>2333</v>
      </c>
      <c r="D56" s="181">
        <v>376</v>
      </c>
      <c r="E56" s="185">
        <v>239545.87</v>
      </c>
      <c r="F56" s="183"/>
      <c r="G56" s="182">
        <f t="shared" si="2"/>
        <v>239545.87</v>
      </c>
      <c r="H56" s="182"/>
      <c r="I56" s="344" t="s">
        <v>802</v>
      </c>
      <c r="J56" s="661">
        <v>44196</v>
      </c>
    </row>
    <row r="57" spans="1:17">
      <c r="A57" s="26">
        <v>51</v>
      </c>
      <c r="B57" s="183" t="s">
        <v>766</v>
      </c>
      <c r="C57" s="183" t="s">
        <v>2008</v>
      </c>
      <c r="D57" s="181">
        <v>376</v>
      </c>
      <c r="E57" s="185">
        <v>112657.85</v>
      </c>
      <c r="F57" s="183"/>
      <c r="G57" s="182">
        <f t="shared" si="2"/>
        <v>112657.85</v>
      </c>
      <c r="H57" s="182"/>
      <c r="I57" s="344"/>
      <c r="J57" s="661">
        <v>44165</v>
      </c>
    </row>
    <row r="58" spans="1:17">
      <c r="A58" s="26">
        <v>52</v>
      </c>
      <c r="B58" s="183" t="s">
        <v>766</v>
      </c>
      <c r="C58" s="183" t="s">
        <v>2334</v>
      </c>
      <c r="D58" s="181">
        <v>376</v>
      </c>
      <c r="E58" s="185">
        <v>1321132.3500000001</v>
      </c>
      <c r="F58" s="183"/>
      <c r="G58" s="182">
        <f t="shared" si="2"/>
        <v>1321132.3500000001</v>
      </c>
      <c r="H58" s="182"/>
      <c r="I58" s="344" t="s">
        <v>802</v>
      </c>
      <c r="J58" s="661">
        <v>44196</v>
      </c>
    </row>
    <row r="59" spans="1:17">
      <c r="A59" s="26">
        <v>53</v>
      </c>
      <c r="B59" s="183" t="s">
        <v>766</v>
      </c>
      <c r="C59" s="183" t="s">
        <v>2335</v>
      </c>
      <c r="D59" s="181">
        <v>376</v>
      </c>
      <c r="E59" s="185">
        <v>588710.21</v>
      </c>
      <c r="F59" s="183"/>
      <c r="G59" s="182">
        <f t="shared" si="2"/>
        <v>588710.21</v>
      </c>
      <c r="H59" s="182"/>
      <c r="I59" s="344"/>
      <c r="J59" s="661">
        <v>44166</v>
      </c>
    </row>
    <row r="60" spans="1:17">
      <c r="A60" s="26">
        <v>54</v>
      </c>
      <c r="B60" s="183" t="s">
        <v>766</v>
      </c>
      <c r="C60" s="183" t="s">
        <v>2336</v>
      </c>
      <c r="D60" s="181">
        <v>376</v>
      </c>
      <c r="E60" s="185">
        <v>1714110.95</v>
      </c>
      <c r="F60" s="183"/>
      <c r="G60" s="182">
        <f t="shared" si="2"/>
        <v>1714110.95</v>
      </c>
      <c r="H60" s="182"/>
      <c r="I60" s="344" t="s">
        <v>802</v>
      </c>
      <c r="J60" s="661">
        <v>44196</v>
      </c>
    </row>
    <row r="61" spans="1:17">
      <c r="A61" s="26">
        <v>55</v>
      </c>
      <c r="B61" s="183" t="s">
        <v>766</v>
      </c>
      <c r="C61" s="183" t="s">
        <v>2009</v>
      </c>
      <c r="D61" s="181">
        <v>376</v>
      </c>
      <c r="E61" s="185">
        <f>244987.08+245475.4</f>
        <v>490462.48</v>
      </c>
      <c r="F61" s="183"/>
      <c r="G61" s="182">
        <f t="shared" si="2"/>
        <v>490462.48</v>
      </c>
      <c r="H61" s="182"/>
      <c r="I61" s="344"/>
      <c r="J61" s="661">
        <v>44042</v>
      </c>
    </row>
    <row r="62" spans="1:17">
      <c r="A62" s="26">
        <v>56</v>
      </c>
      <c r="B62" s="183" t="s">
        <v>766</v>
      </c>
      <c r="C62" s="183" t="s">
        <v>2019</v>
      </c>
      <c r="D62" s="181">
        <v>378</v>
      </c>
      <c r="E62" s="185">
        <v>17894.23</v>
      </c>
      <c r="F62" s="410"/>
      <c r="G62" s="182">
        <f t="shared" si="2"/>
        <v>17894.23</v>
      </c>
      <c r="H62" s="182"/>
      <c r="I62" s="344"/>
      <c r="J62" s="661">
        <v>43951</v>
      </c>
    </row>
    <row r="63" spans="1:17">
      <c r="A63" s="26">
        <v>57</v>
      </c>
      <c r="B63" s="183" t="s">
        <v>766</v>
      </c>
      <c r="C63" s="183" t="s">
        <v>2337</v>
      </c>
      <c r="D63" s="181">
        <v>376</v>
      </c>
      <c r="E63" s="185">
        <v>517249.44</v>
      </c>
      <c r="F63" s="410"/>
      <c r="G63" s="182">
        <f t="shared" si="2"/>
        <v>517249.44</v>
      </c>
      <c r="H63" s="182"/>
      <c r="I63" s="344" t="s">
        <v>802</v>
      </c>
      <c r="J63" s="661">
        <v>44166</v>
      </c>
    </row>
    <row r="64" spans="1:17">
      <c r="A64" s="26">
        <v>58</v>
      </c>
      <c r="B64" s="183" t="s">
        <v>766</v>
      </c>
      <c r="C64" s="183" t="s">
        <v>1294</v>
      </c>
      <c r="D64" s="181">
        <v>376</v>
      </c>
      <c r="E64" s="185">
        <v>4257740</v>
      </c>
      <c r="F64" s="183"/>
      <c r="G64" s="182">
        <f t="shared" si="2"/>
        <v>4257740</v>
      </c>
      <c r="H64" s="182">
        <f>+G64</f>
        <v>4257740</v>
      </c>
      <c r="I64" s="344">
        <v>5</v>
      </c>
      <c r="J64" s="409">
        <v>44042</v>
      </c>
    </row>
    <row r="65" spans="1:17">
      <c r="A65" s="26">
        <v>59</v>
      </c>
      <c r="B65" s="183" t="s">
        <v>766</v>
      </c>
      <c r="C65" s="183" t="s">
        <v>2338</v>
      </c>
      <c r="D65" s="181">
        <v>376</v>
      </c>
      <c r="E65" s="185">
        <v>3462856.75</v>
      </c>
      <c r="F65" s="183"/>
      <c r="G65" s="182">
        <f t="shared" si="2"/>
        <v>3462856.75</v>
      </c>
      <c r="H65" s="182"/>
      <c r="I65" s="344" t="s">
        <v>802</v>
      </c>
      <c r="J65" s="409">
        <v>44165</v>
      </c>
    </row>
    <row r="66" spans="1:17">
      <c r="A66" s="26">
        <v>60</v>
      </c>
      <c r="B66" s="183" t="s">
        <v>766</v>
      </c>
      <c r="C66" s="183" t="s">
        <v>2339</v>
      </c>
      <c r="D66" s="181">
        <v>376</v>
      </c>
      <c r="E66" s="185">
        <v>1079817.45</v>
      </c>
      <c r="F66" s="183"/>
      <c r="G66" s="182">
        <f t="shared" si="2"/>
        <v>1079817.45</v>
      </c>
      <c r="H66" s="182"/>
      <c r="I66" s="344" t="s">
        <v>802</v>
      </c>
      <c r="J66" s="409">
        <v>44196</v>
      </c>
    </row>
    <row r="67" spans="1:17">
      <c r="A67" s="26">
        <v>61</v>
      </c>
      <c r="B67" s="183" t="s">
        <v>766</v>
      </c>
      <c r="C67" s="183" t="s">
        <v>2014</v>
      </c>
      <c r="D67" s="181">
        <v>378</v>
      </c>
      <c r="E67" s="185">
        <v>1015615.47</v>
      </c>
      <c r="F67" s="183"/>
      <c r="G67" s="182">
        <f t="shared" si="2"/>
        <v>1015615.47</v>
      </c>
      <c r="H67" s="182">
        <f>+G67</f>
        <v>1015615.47</v>
      </c>
      <c r="I67" s="344">
        <v>6</v>
      </c>
      <c r="J67" s="409">
        <v>44012</v>
      </c>
      <c r="O67" s="293"/>
    </row>
    <row r="68" spans="1:17">
      <c r="A68" s="26">
        <v>62</v>
      </c>
      <c r="B68" s="183" t="s">
        <v>766</v>
      </c>
      <c r="C68" s="183" t="s">
        <v>2013</v>
      </c>
      <c r="D68" s="181">
        <v>378</v>
      </c>
      <c r="E68" s="185">
        <v>1308260.44</v>
      </c>
      <c r="F68" s="183"/>
      <c r="G68" s="182">
        <f t="shared" si="2"/>
        <v>1308260.44</v>
      </c>
      <c r="H68" s="182">
        <f>+G68</f>
        <v>1308260.44</v>
      </c>
      <c r="I68" s="344">
        <v>7</v>
      </c>
      <c r="J68" s="409">
        <v>44074</v>
      </c>
      <c r="Q68" s="302"/>
    </row>
    <row r="69" spans="1:17">
      <c r="A69" s="26">
        <v>63</v>
      </c>
      <c r="B69" s="183" t="s">
        <v>766</v>
      </c>
      <c r="C69" s="183" t="s">
        <v>2020</v>
      </c>
      <c r="D69" s="181">
        <v>376</v>
      </c>
      <c r="E69" s="185">
        <v>1160244.8899999999</v>
      </c>
      <c r="F69" s="183"/>
      <c r="G69" s="182">
        <f t="shared" si="2"/>
        <v>1160244.8899999999</v>
      </c>
      <c r="H69" s="182">
        <f>+G69</f>
        <v>1160244.8899999999</v>
      </c>
      <c r="I69" s="344">
        <v>8</v>
      </c>
      <c r="J69" s="661">
        <v>44165</v>
      </c>
      <c r="P69" s="302"/>
    </row>
    <row r="70" spans="1:17">
      <c r="A70" s="26">
        <v>64</v>
      </c>
      <c r="B70" s="183" t="s">
        <v>766</v>
      </c>
      <c r="C70" s="183" t="s">
        <v>1295</v>
      </c>
      <c r="D70" s="181">
        <v>376</v>
      </c>
      <c r="E70" s="185">
        <v>9795152</v>
      </c>
      <c r="F70" s="183"/>
      <c r="G70" s="182">
        <f t="shared" si="2"/>
        <v>9795152</v>
      </c>
      <c r="H70" s="182">
        <f>+G70</f>
        <v>9795152</v>
      </c>
      <c r="I70" s="344">
        <v>9</v>
      </c>
      <c r="J70" s="409">
        <v>44074</v>
      </c>
    </row>
    <row r="71" spans="1:17">
      <c r="A71" s="26">
        <v>65</v>
      </c>
      <c r="B71" s="183" t="s">
        <v>766</v>
      </c>
      <c r="C71" s="183" t="s">
        <v>2012</v>
      </c>
      <c r="D71" s="181">
        <v>378</v>
      </c>
      <c r="E71" s="185">
        <v>77932.33</v>
      </c>
      <c r="F71" s="183"/>
      <c r="G71" s="182">
        <f t="shared" si="2"/>
        <v>77932.33</v>
      </c>
      <c r="H71" s="182"/>
      <c r="I71" s="344"/>
      <c r="J71" s="661">
        <v>43860</v>
      </c>
      <c r="P71" s="302"/>
    </row>
    <row r="72" spans="1:17">
      <c r="A72" s="26">
        <v>66</v>
      </c>
      <c r="B72" s="183" t="s">
        <v>766</v>
      </c>
      <c r="C72" s="183" t="s">
        <v>2011</v>
      </c>
      <c r="D72" s="181">
        <v>378</v>
      </c>
      <c r="E72" s="185">
        <v>77959.740000000005</v>
      </c>
      <c r="F72" s="183"/>
      <c r="G72" s="182">
        <f t="shared" si="2"/>
        <v>77959.740000000005</v>
      </c>
      <c r="H72" s="182"/>
      <c r="I72" s="344"/>
      <c r="J72" s="661">
        <v>43860</v>
      </c>
    </row>
    <row r="73" spans="1:17">
      <c r="A73" s="26">
        <v>67</v>
      </c>
      <c r="B73" s="183" t="s">
        <v>766</v>
      </c>
      <c r="C73" s="24" t="s">
        <v>2393</v>
      </c>
      <c r="D73" s="181">
        <v>367</v>
      </c>
      <c r="E73" s="185">
        <f>75261.08+2363375.85</f>
        <v>2438636.9300000002</v>
      </c>
      <c r="F73" s="183"/>
      <c r="G73" s="182">
        <f>+E73</f>
        <v>2438636.9300000002</v>
      </c>
      <c r="H73" s="182"/>
      <c r="I73" s="344" t="s">
        <v>802</v>
      </c>
      <c r="J73" s="661">
        <v>44165</v>
      </c>
    </row>
    <row r="74" spans="1:17">
      <c r="A74" s="26">
        <v>68</v>
      </c>
      <c r="B74" s="183" t="s">
        <v>766</v>
      </c>
      <c r="C74" s="24" t="s">
        <v>2010</v>
      </c>
      <c r="D74" s="181">
        <v>376</v>
      </c>
      <c r="E74" s="185">
        <v>1526471.05</v>
      </c>
      <c r="F74" s="183"/>
      <c r="G74" s="182">
        <f t="shared" ref="G74:G145" si="3">+E74</f>
        <v>1526471.05</v>
      </c>
      <c r="H74" s="182">
        <f t="shared" ref="H74" si="4">+G74</f>
        <v>1526471.05</v>
      </c>
      <c r="I74" s="344">
        <v>10</v>
      </c>
      <c r="J74" s="409">
        <v>43850</v>
      </c>
    </row>
    <row r="75" spans="1:17">
      <c r="A75" s="26">
        <v>69</v>
      </c>
      <c r="B75" s="183" t="s">
        <v>766</v>
      </c>
      <c r="C75" s="24" t="s">
        <v>2021</v>
      </c>
      <c r="D75" s="181">
        <v>376</v>
      </c>
      <c r="E75" s="185">
        <v>441993.69</v>
      </c>
      <c r="F75" s="183"/>
      <c r="G75" s="182">
        <f t="shared" si="3"/>
        <v>441993.69</v>
      </c>
      <c r="H75" s="182"/>
      <c r="I75" s="344" t="s">
        <v>802</v>
      </c>
      <c r="J75" s="409">
        <v>43920</v>
      </c>
    </row>
    <row r="76" spans="1:17">
      <c r="A76" s="26">
        <v>70</v>
      </c>
      <c r="B76" s="183" t="s">
        <v>766</v>
      </c>
      <c r="C76" s="24" t="s">
        <v>2022</v>
      </c>
      <c r="D76" s="181">
        <v>380</v>
      </c>
      <c r="E76" s="185">
        <v>100949.38</v>
      </c>
      <c r="F76" s="183"/>
      <c r="G76" s="182">
        <f t="shared" si="3"/>
        <v>100949.38</v>
      </c>
      <c r="H76" s="182"/>
      <c r="I76" s="344" t="s">
        <v>802</v>
      </c>
      <c r="J76" s="409">
        <v>43920</v>
      </c>
    </row>
    <row r="77" spans="1:17">
      <c r="A77" s="26">
        <v>71</v>
      </c>
      <c r="B77" s="183" t="s">
        <v>766</v>
      </c>
      <c r="C77" s="24" t="s">
        <v>2023</v>
      </c>
      <c r="D77" s="181">
        <v>378</v>
      </c>
      <c r="E77" s="185">
        <v>136928</v>
      </c>
      <c r="F77" s="183"/>
      <c r="G77" s="182">
        <f t="shared" si="3"/>
        <v>136928</v>
      </c>
      <c r="H77" s="182">
        <f>+G77</f>
        <v>136928</v>
      </c>
      <c r="I77" s="344">
        <v>12</v>
      </c>
      <c r="J77" s="409">
        <v>44074</v>
      </c>
    </row>
    <row r="78" spans="1:17">
      <c r="A78" s="26">
        <v>72</v>
      </c>
      <c r="B78" s="183" t="s">
        <v>766</v>
      </c>
      <c r="C78" s="24" t="s">
        <v>2024</v>
      </c>
      <c r="D78" s="181">
        <v>378</v>
      </c>
      <c r="E78" s="185">
        <v>324.69</v>
      </c>
      <c r="F78" s="183"/>
      <c r="G78" s="182">
        <f t="shared" si="3"/>
        <v>324.69</v>
      </c>
      <c r="H78" s="182"/>
      <c r="I78" s="344"/>
      <c r="J78" s="409">
        <v>44012</v>
      </c>
    </row>
    <row r="79" spans="1:17">
      <c r="A79" s="26">
        <v>73</v>
      </c>
      <c r="B79" s="183" t="s">
        <v>766</v>
      </c>
      <c r="C79" s="24" t="s">
        <v>2399</v>
      </c>
      <c r="D79" s="181">
        <v>376</v>
      </c>
      <c r="E79" s="185">
        <v>639913.04</v>
      </c>
      <c r="F79" s="183"/>
      <c r="G79" s="182">
        <f t="shared" si="3"/>
        <v>639913.04</v>
      </c>
      <c r="H79" s="182">
        <f>+G79</f>
        <v>639913.04</v>
      </c>
      <c r="I79" s="344">
        <v>27</v>
      </c>
      <c r="J79" s="409">
        <v>44196</v>
      </c>
    </row>
    <row r="80" spans="1:17">
      <c r="A80" s="26">
        <v>74</v>
      </c>
      <c r="B80" s="183" t="s">
        <v>766</v>
      </c>
      <c r="C80" s="24" t="s">
        <v>2400</v>
      </c>
      <c r="D80" s="181">
        <v>376</v>
      </c>
      <c r="E80" s="185">
        <v>122698.76</v>
      </c>
      <c r="F80" s="183"/>
      <c r="G80" s="182">
        <f t="shared" si="3"/>
        <v>122698.76</v>
      </c>
      <c r="H80" s="182"/>
      <c r="I80" s="344"/>
      <c r="J80" s="409">
        <v>44196</v>
      </c>
    </row>
    <row r="81" spans="1:10">
      <c r="A81" s="26">
        <v>75</v>
      </c>
      <c r="B81" s="183" t="s">
        <v>766</v>
      </c>
      <c r="C81" s="24" t="s">
        <v>2401</v>
      </c>
      <c r="D81" s="181">
        <v>380</v>
      </c>
      <c r="E81" s="185">
        <v>951862.52</v>
      </c>
      <c r="F81" s="183"/>
      <c r="G81" s="182">
        <f t="shared" si="3"/>
        <v>951862.52</v>
      </c>
      <c r="H81" s="182">
        <f>+G81</f>
        <v>951862.52</v>
      </c>
      <c r="I81" s="344">
        <v>27</v>
      </c>
      <c r="J81" s="409">
        <v>44196</v>
      </c>
    </row>
    <row r="82" spans="1:10">
      <c r="A82" s="26">
        <v>76</v>
      </c>
      <c r="B82" s="183" t="s">
        <v>766</v>
      </c>
      <c r="C82" s="24" t="s">
        <v>2402</v>
      </c>
      <c r="D82" s="181">
        <v>380</v>
      </c>
      <c r="E82" s="185">
        <v>72198.240000000005</v>
      </c>
      <c r="F82" s="183"/>
      <c r="G82" s="182">
        <f t="shared" si="3"/>
        <v>72198.240000000005</v>
      </c>
      <c r="H82" s="182"/>
      <c r="I82" s="344"/>
      <c r="J82" s="409">
        <v>44196</v>
      </c>
    </row>
    <row r="83" spans="1:10">
      <c r="A83" s="26">
        <v>77</v>
      </c>
      <c r="B83" s="183" t="s">
        <v>766</v>
      </c>
      <c r="C83" s="24" t="s">
        <v>2403</v>
      </c>
      <c r="D83" s="181">
        <v>376</v>
      </c>
      <c r="E83" s="185">
        <v>79311</v>
      </c>
      <c r="F83" s="183"/>
      <c r="G83" s="182">
        <f t="shared" si="3"/>
        <v>79311</v>
      </c>
      <c r="H83" s="182">
        <f>+G83</f>
        <v>79311</v>
      </c>
      <c r="I83" s="344">
        <v>27</v>
      </c>
      <c r="J83" s="409">
        <v>44196</v>
      </c>
    </row>
    <row r="84" spans="1:10">
      <c r="A84" s="26">
        <v>78</v>
      </c>
      <c r="B84" s="183" t="s">
        <v>766</v>
      </c>
      <c r="C84" s="24" t="s">
        <v>2404</v>
      </c>
      <c r="D84" s="181">
        <v>376</v>
      </c>
      <c r="E84" s="185">
        <v>35499.24</v>
      </c>
      <c r="F84" s="183"/>
      <c r="G84" s="182">
        <f t="shared" si="3"/>
        <v>35499.24</v>
      </c>
      <c r="H84" s="182"/>
      <c r="I84" s="344"/>
      <c r="J84" s="409">
        <v>44196</v>
      </c>
    </row>
    <row r="85" spans="1:10">
      <c r="A85" s="26">
        <v>79</v>
      </c>
      <c r="B85" s="183" t="s">
        <v>766</v>
      </c>
      <c r="C85" s="24" t="s">
        <v>2405</v>
      </c>
      <c r="D85" s="181">
        <v>380</v>
      </c>
      <c r="E85" s="185">
        <v>133027.99</v>
      </c>
      <c r="F85" s="183"/>
      <c r="G85" s="182">
        <f t="shared" si="3"/>
        <v>133027.99</v>
      </c>
      <c r="H85" s="182">
        <f>+G85</f>
        <v>133027.99</v>
      </c>
      <c r="I85" s="344">
        <v>27</v>
      </c>
      <c r="J85" s="409">
        <v>44196</v>
      </c>
    </row>
    <row r="86" spans="1:10">
      <c r="A86" s="26">
        <v>80</v>
      </c>
      <c r="B86" s="183" t="s">
        <v>766</v>
      </c>
      <c r="C86" s="24" t="s">
        <v>2406</v>
      </c>
      <c r="D86" s="181">
        <v>380</v>
      </c>
      <c r="E86" s="185">
        <v>75135.570000000007</v>
      </c>
      <c r="F86" s="183"/>
      <c r="G86" s="182">
        <f t="shared" si="3"/>
        <v>75135.570000000007</v>
      </c>
      <c r="H86" s="182"/>
      <c r="I86" s="344"/>
      <c r="J86" s="409">
        <v>44196</v>
      </c>
    </row>
    <row r="87" spans="1:10">
      <c r="A87" s="26">
        <v>81</v>
      </c>
      <c r="B87" s="183" t="s">
        <v>766</v>
      </c>
      <c r="C87" s="24" t="s">
        <v>2407</v>
      </c>
      <c r="D87" s="181">
        <v>376</v>
      </c>
      <c r="E87" s="185">
        <v>800173.4</v>
      </c>
      <c r="F87" s="183"/>
      <c r="G87" s="182">
        <f t="shared" si="3"/>
        <v>800173.4</v>
      </c>
      <c r="H87" s="182">
        <f>+G87</f>
        <v>800173.4</v>
      </c>
      <c r="I87" s="344">
        <v>27</v>
      </c>
      <c r="J87" s="409">
        <v>44196</v>
      </c>
    </row>
    <row r="88" spans="1:10">
      <c r="A88" s="26">
        <v>82</v>
      </c>
      <c r="B88" s="183" t="s">
        <v>766</v>
      </c>
      <c r="C88" s="24" t="s">
        <v>2408</v>
      </c>
      <c r="D88" s="181">
        <v>376</v>
      </c>
      <c r="E88" s="185">
        <v>270033.86</v>
      </c>
      <c r="F88" s="183"/>
      <c r="G88" s="182">
        <f t="shared" si="3"/>
        <v>270033.86</v>
      </c>
      <c r="H88" s="182"/>
      <c r="I88" s="344"/>
      <c r="J88" s="409">
        <v>44196</v>
      </c>
    </row>
    <row r="89" spans="1:10">
      <c r="A89" s="26">
        <v>83</v>
      </c>
      <c r="B89" s="183" t="s">
        <v>766</v>
      </c>
      <c r="C89" s="24" t="s">
        <v>2409</v>
      </c>
      <c r="D89" s="181">
        <v>380</v>
      </c>
      <c r="E89" s="185">
        <v>1330260</v>
      </c>
      <c r="F89" s="183"/>
      <c r="G89" s="182">
        <f t="shared" si="3"/>
        <v>1330260</v>
      </c>
      <c r="H89" s="182">
        <f>+G89</f>
        <v>1330260</v>
      </c>
      <c r="I89" s="344">
        <v>27</v>
      </c>
      <c r="J89" s="409">
        <v>44196</v>
      </c>
    </row>
    <row r="90" spans="1:10">
      <c r="A90" s="26">
        <v>84</v>
      </c>
      <c r="B90" s="183" t="s">
        <v>766</v>
      </c>
      <c r="C90" s="24" t="s">
        <v>2410</v>
      </c>
      <c r="D90" s="181">
        <v>380</v>
      </c>
      <c r="E90" s="185">
        <v>65462.16</v>
      </c>
      <c r="F90" s="183"/>
      <c r="G90" s="182">
        <f t="shared" si="3"/>
        <v>65462.16</v>
      </c>
      <c r="H90" s="182"/>
      <c r="I90" s="344"/>
      <c r="J90" s="409">
        <v>44196</v>
      </c>
    </row>
    <row r="91" spans="1:10">
      <c r="A91" s="26">
        <v>85</v>
      </c>
      <c r="B91" s="183" t="s">
        <v>766</v>
      </c>
      <c r="C91" s="24" t="s">
        <v>2411</v>
      </c>
      <c r="D91" s="181">
        <v>376</v>
      </c>
      <c r="E91" s="185">
        <v>484622.4</v>
      </c>
      <c r="F91" s="183"/>
      <c r="G91" s="182">
        <f t="shared" si="3"/>
        <v>484622.4</v>
      </c>
      <c r="H91" s="182">
        <f>+G91</f>
        <v>484622.4</v>
      </c>
      <c r="I91" s="344">
        <v>27</v>
      </c>
      <c r="J91" s="409">
        <v>44196</v>
      </c>
    </row>
    <row r="92" spans="1:10">
      <c r="A92" s="26">
        <v>86</v>
      </c>
      <c r="B92" s="183" t="s">
        <v>766</v>
      </c>
      <c r="C92" s="24" t="s">
        <v>2412</v>
      </c>
      <c r="D92" s="181">
        <v>376</v>
      </c>
      <c r="E92" s="185">
        <v>149164.20000000001</v>
      </c>
      <c r="F92" s="183"/>
      <c r="G92" s="182">
        <f t="shared" si="3"/>
        <v>149164.20000000001</v>
      </c>
      <c r="H92" s="182"/>
      <c r="I92" s="344"/>
      <c r="J92" s="409">
        <v>44196</v>
      </c>
    </row>
    <row r="93" spans="1:10">
      <c r="A93" s="26">
        <v>87</v>
      </c>
      <c r="B93" s="183" t="s">
        <v>766</v>
      </c>
      <c r="C93" s="24" t="s">
        <v>2413</v>
      </c>
      <c r="D93" s="181">
        <v>380</v>
      </c>
      <c r="E93" s="185">
        <v>447800.6</v>
      </c>
      <c r="F93" s="183"/>
      <c r="G93" s="182">
        <f t="shared" si="3"/>
        <v>447800.6</v>
      </c>
      <c r="H93" s="182">
        <f>+G93</f>
        <v>447800.6</v>
      </c>
      <c r="I93" s="344">
        <v>27</v>
      </c>
      <c r="J93" s="409">
        <v>44196</v>
      </c>
    </row>
    <row r="94" spans="1:10">
      <c r="A94" s="26">
        <v>88</v>
      </c>
      <c r="B94" s="183" t="s">
        <v>766</v>
      </c>
      <c r="C94" s="24" t="s">
        <v>2414</v>
      </c>
      <c r="D94" s="181">
        <v>380</v>
      </c>
      <c r="E94" s="185">
        <v>74578.679999999993</v>
      </c>
      <c r="F94" s="183"/>
      <c r="G94" s="182">
        <f t="shared" si="3"/>
        <v>74578.679999999993</v>
      </c>
      <c r="H94" s="182"/>
      <c r="I94" s="344"/>
      <c r="J94" s="409">
        <v>44196</v>
      </c>
    </row>
    <row r="95" spans="1:10">
      <c r="A95" s="26">
        <v>89</v>
      </c>
      <c r="B95" s="183" t="s">
        <v>766</v>
      </c>
      <c r="C95" s="24" t="s">
        <v>2456</v>
      </c>
      <c r="D95" s="181">
        <v>376</v>
      </c>
      <c r="E95" s="185">
        <f>62.26+1294410.92</f>
        <v>1294473.18</v>
      </c>
      <c r="F95" s="183"/>
      <c r="G95" s="182">
        <f t="shared" si="3"/>
        <v>1294473.18</v>
      </c>
      <c r="H95" s="182">
        <f>+E95</f>
        <v>1294473.18</v>
      </c>
      <c r="I95" s="344">
        <v>27</v>
      </c>
      <c r="J95" s="409">
        <v>44196</v>
      </c>
    </row>
    <row r="96" spans="1:10">
      <c r="A96" s="26">
        <v>90</v>
      </c>
      <c r="B96" s="183" t="s">
        <v>766</v>
      </c>
      <c r="C96" s="24" t="s">
        <v>2415</v>
      </c>
      <c r="D96" s="856">
        <v>376</v>
      </c>
      <c r="E96" s="858">
        <v>126071.52</v>
      </c>
      <c r="F96" s="183"/>
      <c r="G96" s="182">
        <f t="shared" si="3"/>
        <v>126071.52</v>
      </c>
      <c r="H96" s="182"/>
      <c r="I96" s="344"/>
      <c r="J96" s="661">
        <v>44196</v>
      </c>
    </row>
    <row r="97" spans="1:10">
      <c r="A97" s="26">
        <v>91</v>
      </c>
      <c r="B97" s="183" t="s">
        <v>766</v>
      </c>
      <c r="C97" s="24" t="s">
        <v>2416</v>
      </c>
      <c r="D97" s="856">
        <v>380</v>
      </c>
      <c r="E97" s="858">
        <v>1568619.36</v>
      </c>
      <c r="F97" s="183"/>
      <c r="G97" s="182">
        <f t="shared" si="3"/>
        <v>1568619.36</v>
      </c>
      <c r="H97" s="182">
        <f>+E97</f>
        <v>1568619.36</v>
      </c>
      <c r="I97" s="344">
        <v>27</v>
      </c>
      <c r="J97" s="661">
        <v>44196</v>
      </c>
    </row>
    <row r="98" spans="1:10">
      <c r="A98" s="26">
        <v>92</v>
      </c>
      <c r="B98" s="183" t="s">
        <v>766</v>
      </c>
      <c r="C98" s="24" t="s">
        <v>2417</v>
      </c>
      <c r="D98" s="856">
        <v>380</v>
      </c>
      <c r="E98" s="858">
        <v>74578.679999999993</v>
      </c>
      <c r="F98" s="183"/>
      <c r="G98" s="182">
        <f t="shared" si="3"/>
        <v>74578.679999999993</v>
      </c>
      <c r="H98" s="182"/>
      <c r="I98" s="344"/>
      <c r="J98" s="661">
        <v>44196</v>
      </c>
    </row>
    <row r="99" spans="1:10">
      <c r="A99" s="26">
        <v>93</v>
      </c>
      <c r="B99" s="183" t="s">
        <v>766</v>
      </c>
      <c r="C99" s="24" t="s">
        <v>2457</v>
      </c>
      <c r="D99" s="181">
        <v>376</v>
      </c>
      <c r="E99" s="185">
        <f>1976.8+1394533.32</f>
        <v>1396510.12</v>
      </c>
      <c r="F99" s="183"/>
      <c r="G99" s="182">
        <f t="shared" si="3"/>
        <v>1396510.12</v>
      </c>
      <c r="H99" s="182">
        <f>+E99</f>
        <v>1396510.12</v>
      </c>
      <c r="I99" s="344">
        <v>27</v>
      </c>
      <c r="J99" s="409">
        <v>44196</v>
      </c>
    </row>
    <row r="100" spans="1:10">
      <c r="A100" s="26">
        <v>94</v>
      </c>
      <c r="B100" s="183" t="s">
        <v>766</v>
      </c>
      <c r="C100" s="24" t="s">
        <v>2420</v>
      </c>
      <c r="D100" s="181">
        <v>376</v>
      </c>
      <c r="E100" s="185">
        <v>54857.760000000002</v>
      </c>
      <c r="F100" s="183"/>
      <c r="G100" s="182">
        <f t="shared" si="3"/>
        <v>54857.760000000002</v>
      </c>
      <c r="H100" s="182"/>
      <c r="I100" s="344"/>
      <c r="J100" s="409">
        <v>44196</v>
      </c>
    </row>
    <row r="101" spans="1:10">
      <c r="A101" s="26">
        <v>95</v>
      </c>
      <c r="B101" s="183" t="s">
        <v>766</v>
      </c>
      <c r="C101" s="24" t="s">
        <v>2421</v>
      </c>
      <c r="D101" s="181">
        <v>380</v>
      </c>
      <c r="E101" s="185">
        <v>2118035.96</v>
      </c>
      <c r="F101" s="183"/>
      <c r="G101" s="182">
        <f t="shared" si="3"/>
        <v>2118035.96</v>
      </c>
      <c r="H101" s="182">
        <f>+G101</f>
        <v>2118035.96</v>
      </c>
      <c r="I101" s="344">
        <v>27</v>
      </c>
      <c r="J101" s="409">
        <v>44196</v>
      </c>
    </row>
    <row r="102" spans="1:10">
      <c r="A102" s="26">
        <v>96</v>
      </c>
      <c r="B102" s="183" t="s">
        <v>766</v>
      </c>
      <c r="C102" s="24" t="s">
        <v>2422</v>
      </c>
      <c r="D102" s="181">
        <v>380</v>
      </c>
      <c r="E102" s="185">
        <v>74578.679999999993</v>
      </c>
      <c r="F102" s="183"/>
      <c r="G102" s="182">
        <f t="shared" si="3"/>
        <v>74578.679999999993</v>
      </c>
      <c r="H102" s="182"/>
      <c r="I102" s="344"/>
      <c r="J102" s="409">
        <v>44196</v>
      </c>
    </row>
    <row r="103" spans="1:10">
      <c r="A103" s="26">
        <v>97</v>
      </c>
      <c r="B103" s="183" t="s">
        <v>766</v>
      </c>
      <c r="C103" s="24" t="s">
        <v>2423</v>
      </c>
      <c r="D103" s="181">
        <v>376</v>
      </c>
      <c r="E103" s="185">
        <v>255366.68</v>
      </c>
      <c r="F103" s="183"/>
      <c r="G103" s="182">
        <f t="shared" si="3"/>
        <v>255366.68</v>
      </c>
      <c r="H103" s="182">
        <f>+G103</f>
        <v>255366.68</v>
      </c>
      <c r="I103" s="344">
        <v>27</v>
      </c>
      <c r="J103" s="409">
        <v>44196</v>
      </c>
    </row>
    <row r="104" spans="1:10">
      <c r="A104" s="26">
        <v>98</v>
      </c>
      <c r="B104" s="183" t="s">
        <v>766</v>
      </c>
      <c r="C104" s="24" t="s">
        <v>2424</v>
      </c>
      <c r="D104" s="181">
        <v>376</v>
      </c>
      <c r="E104" s="185">
        <v>100812.24</v>
      </c>
      <c r="F104" s="183"/>
      <c r="G104" s="182">
        <f t="shared" si="3"/>
        <v>100812.24</v>
      </c>
      <c r="H104" s="182"/>
      <c r="I104" s="344"/>
      <c r="J104" s="409">
        <v>44196</v>
      </c>
    </row>
    <row r="105" spans="1:10">
      <c r="A105" s="26">
        <v>99</v>
      </c>
      <c r="B105" s="183" t="s">
        <v>766</v>
      </c>
      <c r="C105" s="24" t="s">
        <v>2425</v>
      </c>
      <c r="D105" s="181">
        <v>380</v>
      </c>
      <c r="E105" s="185">
        <v>884722.06</v>
      </c>
      <c r="F105" s="183"/>
      <c r="G105" s="182">
        <f t="shared" si="3"/>
        <v>884722.06</v>
      </c>
      <c r="H105" s="182">
        <f>+G105</f>
        <v>884722.06</v>
      </c>
      <c r="I105" s="344">
        <v>27</v>
      </c>
      <c r="J105" s="409">
        <v>44196</v>
      </c>
    </row>
    <row r="106" spans="1:10">
      <c r="A106" s="26">
        <v>100</v>
      </c>
      <c r="B106" s="183" t="s">
        <v>766</v>
      </c>
      <c r="C106" s="24" t="s">
        <v>2426</v>
      </c>
      <c r="D106" s="181">
        <v>380</v>
      </c>
      <c r="E106" s="185">
        <v>74578.679999999993</v>
      </c>
      <c r="F106" s="183"/>
      <c r="G106" s="182">
        <f t="shared" si="3"/>
        <v>74578.679999999993</v>
      </c>
      <c r="H106" s="182"/>
      <c r="I106" s="344"/>
      <c r="J106" s="409">
        <v>44196</v>
      </c>
    </row>
    <row r="107" spans="1:10">
      <c r="A107" s="26">
        <v>101</v>
      </c>
      <c r="B107" s="183" t="s">
        <v>766</v>
      </c>
      <c r="C107" s="24" t="s">
        <v>2427</v>
      </c>
      <c r="D107" s="181">
        <v>376</v>
      </c>
      <c r="E107" s="185">
        <v>613354.97</v>
      </c>
      <c r="F107" s="183"/>
      <c r="G107" s="182">
        <f t="shared" si="3"/>
        <v>613354.97</v>
      </c>
      <c r="H107" s="182">
        <f>+G107</f>
        <v>613354.97</v>
      </c>
      <c r="I107" s="344">
        <v>27</v>
      </c>
      <c r="J107" s="409">
        <v>44196</v>
      </c>
    </row>
    <row r="108" spans="1:10">
      <c r="A108" s="26">
        <v>102</v>
      </c>
      <c r="B108" s="183" t="s">
        <v>766</v>
      </c>
      <c r="C108" s="24" t="s">
        <v>2428</v>
      </c>
      <c r="D108" s="181">
        <v>376</v>
      </c>
      <c r="E108" s="185">
        <v>97392.48</v>
      </c>
      <c r="F108" s="183"/>
      <c r="G108" s="182">
        <f t="shared" si="3"/>
        <v>97392.48</v>
      </c>
      <c r="H108" s="182"/>
      <c r="I108" s="344"/>
      <c r="J108" s="409">
        <v>44196</v>
      </c>
    </row>
    <row r="109" spans="1:10">
      <c r="A109" s="26">
        <v>103</v>
      </c>
      <c r="B109" s="183" t="s">
        <v>766</v>
      </c>
      <c r="C109" s="24" t="s">
        <v>2429</v>
      </c>
      <c r="D109" s="181">
        <v>380</v>
      </c>
      <c r="E109" s="185">
        <v>1801553.41</v>
      </c>
      <c r="F109" s="183"/>
      <c r="G109" s="182">
        <f t="shared" si="3"/>
        <v>1801553.41</v>
      </c>
      <c r="H109" s="182">
        <f>+G109</f>
        <v>1801553.41</v>
      </c>
      <c r="I109" s="344">
        <v>27</v>
      </c>
      <c r="J109" s="409">
        <v>44196</v>
      </c>
    </row>
    <row r="110" spans="1:10">
      <c r="A110" s="26">
        <v>104</v>
      </c>
      <c r="B110" s="183" t="s">
        <v>766</v>
      </c>
      <c r="C110" s="24" t="s">
        <v>2430</v>
      </c>
      <c r="D110" s="181">
        <v>380</v>
      </c>
      <c r="E110" s="185">
        <v>74578.679999999993</v>
      </c>
      <c r="F110" s="183"/>
      <c r="G110" s="182">
        <f t="shared" si="3"/>
        <v>74578.679999999993</v>
      </c>
      <c r="H110" s="182"/>
      <c r="I110" s="344"/>
      <c r="J110" s="409">
        <v>44196</v>
      </c>
    </row>
    <row r="111" spans="1:10">
      <c r="A111" s="26">
        <v>105</v>
      </c>
      <c r="B111" s="183" t="s">
        <v>766</v>
      </c>
      <c r="C111" s="24" t="s">
        <v>2431</v>
      </c>
      <c r="D111" s="181">
        <v>394</v>
      </c>
      <c r="E111" s="185">
        <v>88997.82</v>
      </c>
      <c r="F111" s="183"/>
      <c r="G111" s="182">
        <f t="shared" si="3"/>
        <v>88997.82</v>
      </c>
      <c r="H111" s="182"/>
      <c r="I111" s="344"/>
      <c r="J111" s="409">
        <v>44196</v>
      </c>
    </row>
    <row r="112" spans="1:10">
      <c r="A112" s="26">
        <v>106</v>
      </c>
      <c r="B112" s="183" t="s">
        <v>766</v>
      </c>
      <c r="C112" s="24" t="s">
        <v>2432</v>
      </c>
      <c r="D112" s="181">
        <v>376</v>
      </c>
      <c r="E112" s="185">
        <v>1417842.72</v>
      </c>
      <c r="F112" s="183"/>
      <c r="G112" s="182">
        <f t="shared" si="3"/>
        <v>1417842.72</v>
      </c>
      <c r="H112" s="182">
        <f>+G112</f>
        <v>1417842.72</v>
      </c>
      <c r="I112" s="344">
        <v>27</v>
      </c>
      <c r="J112" s="409">
        <v>44196</v>
      </c>
    </row>
    <row r="113" spans="1:10">
      <c r="A113" s="26">
        <v>107</v>
      </c>
      <c r="B113" s="183" t="s">
        <v>766</v>
      </c>
      <c r="C113" s="24" t="s">
        <v>2433</v>
      </c>
      <c r="D113" s="181">
        <v>376</v>
      </c>
      <c r="E113" s="185">
        <v>145471.79999999999</v>
      </c>
      <c r="F113" s="183"/>
      <c r="G113" s="182">
        <f t="shared" si="3"/>
        <v>145471.79999999999</v>
      </c>
      <c r="H113" s="182"/>
      <c r="I113" s="344"/>
      <c r="J113" s="409">
        <v>44196</v>
      </c>
    </row>
    <row r="114" spans="1:10">
      <c r="A114" s="26">
        <v>108</v>
      </c>
      <c r="B114" s="183" t="s">
        <v>766</v>
      </c>
      <c r="C114" s="24" t="s">
        <v>2434</v>
      </c>
      <c r="D114" s="181">
        <v>380</v>
      </c>
      <c r="E114" s="185">
        <v>2952964.66</v>
      </c>
      <c r="F114" s="183"/>
      <c r="G114" s="182">
        <f t="shared" si="3"/>
        <v>2952964.66</v>
      </c>
      <c r="H114" s="182">
        <f>+G114</f>
        <v>2952964.66</v>
      </c>
      <c r="I114" s="344">
        <v>27</v>
      </c>
      <c r="J114" s="409">
        <v>44196</v>
      </c>
    </row>
    <row r="115" spans="1:10">
      <c r="A115" s="26">
        <v>109</v>
      </c>
      <c r="B115" s="183" t="s">
        <v>766</v>
      </c>
      <c r="C115" s="24" t="s">
        <v>2435</v>
      </c>
      <c r="D115" s="181">
        <v>380</v>
      </c>
      <c r="E115" s="185">
        <v>72740.759999999995</v>
      </c>
      <c r="F115" s="183"/>
      <c r="G115" s="182">
        <f t="shared" si="3"/>
        <v>72740.759999999995</v>
      </c>
      <c r="H115" s="182"/>
      <c r="I115" s="344"/>
      <c r="J115" s="409">
        <v>44196</v>
      </c>
    </row>
    <row r="116" spans="1:10">
      <c r="A116" s="26">
        <v>110</v>
      </c>
      <c r="B116" s="183" t="s">
        <v>766</v>
      </c>
      <c r="C116" s="24" t="s">
        <v>2436</v>
      </c>
      <c r="D116" s="181">
        <v>376</v>
      </c>
      <c r="E116" s="185">
        <v>296950</v>
      </c>
      <c r="F116" s="183"/>
      <c r="G116" s="182">
        <f t="shared" si="3"/>
        <v>296950</v>
      </c>
      <c r="H116" s="182"/>
      <c r="I116" s="344"/>
      <c r="J116" s="409">
        <v>44196</v>
      </c>
    </row>
    <row r="117" spans="1:10">
      <c r="A117" s="26">
        <v>111</v>
      </c>
      <c r="B117" s="183" t="s">
        <v>766</v>
      </c>
      <c r="C117" s="24" t="s">
        <v>2437</v>
      </c>
      <c r="D117" s="181">
        <v>376</v>
      </c>
      <c r="E117" s="185">
        <v>5004463.92</v>
      </c>
      <c r="F117" s="183"/>
      <c r="G117" s="182">
        <f t="shared" si="3"/>
        <v>5004463.92</v>
      </c>
      <c r="H117" s="182"/>
      <c r="I117" s="344"/>
      <c r="J117" s="409">
        <v>44196</v>
      </c>
    </row>
    <row r="118" spans="1:10">
      <c r="A118" s="26">
        <v>112</v>
      </c>
      <c r="B118" s="183" t="s">
        <v>766</v>
      </c>
      <c r="C118" s="24" t="s">
        <v>2438</v>
      </c>
      <c r="D118" s="181">
        <v>380</v>
      </c>
      <c r="E118" s="185">
        <v>4410563.92</v>
      </c>
      <c r="F118" s="183"/>
      <c r="G118" s="182">
        <f t="shared" si="3"/>
        <v>4410563.92</v>
      </c>
      <c r="H118" s="182"/>
      <c r="I118" s="344"/>
      <c r="J118" s="409">
        <v>44196</v>
      </c>
    </row>
    <row r="119" spans="1:10">
      <c r="A119" s="26">
        <v>113</v>
      </c>
      <c r="B119" s="183" t="s">
        <v>766</v>
      </c>
      <c r="C119" s="24" t="s">
        <v>2025</v>
      </c>
      <c r="D119" s="181">
        <v>380</v>
      </c>
      <c r="E119" s="185">
        <v>71392.820000000007</v>
      </c>
      <c r="F119" s="183"/>
      <c r="G119" s="182">
        <f t="shared" si="3"/>
        <v>71392.820000000007</v>
      </c>
      <c r="H119" s="182"/>
      <c r="I119" s="344" t="s">
        <v>802</v>
      </c>
      <c r="J119" s="409">
        <v>43831</v>
      </c>
    </row>
    <row r="120" spans="1:10">
      <c r="A120" s="26">
        <v>114</v>
      </c>
      <c r="B120" s="183" t="s">
        <v>766</v>
      </c>
      <c r="C120" s="24" t="s">
        <v>2340</v>
      </c>
      <c r="D120" s="181">
        <v>376</v>
      </c>
      <c r="E120" s="185">
        <v>433146.02</v>
      </c>
      <c r="F120" s="183"/>
      <c r="G120" s="182">
        <f t="shared" si="3"/>
        <v>433146.02</v>
      </c>
      <c r="H120" s="182">
        <f>+G120</f>
        <v>433146.02</v>
      </c>
      <c r="I120" s="344">
        <v>14</v>
      </c>
      <c r="J120" s="409">
        <v>44042</v>
      </c>
    </row>
    <row r="121" spans="1:10">
      <c r="A121" s="26">
        <v>115</v>
      </c>
      <c r="B121" s="183" t="s">
        <v>766</v>
      </c>
      <c r="C121" s="24" t="s">
        <v>2341</v>
      </c>
      <c r="D121" s="181">
        <v>378</v>
      </c>
      <c r="E121" s="185">
        <v>177166.29</v>
      </c>
      <c r="F121" s="183"/>
      <c r="G121" s="182">
        <f t="shared" si="3"/>
        <v>177166.29</v>
      </c>
      <c r="H121" s="182">
        <f>+G121</f>
        <v>177166.29</v>
      </c>
      <c r="I121" s="344">
        <v>15</v>
      </c>
      <c r="J121" s="409">
        <v>44104</v>
      </c>
    </row>
    <row r="122" spans="1:10">
      <c r="A122" s="26">
        <v>116</v>
      </c>
      <c r="B122" s="183" t="s">
        <v>766</v>
      </c>
      <c r="C122" s="24" t="s">
        <v>2342</v>
      </c>
      <c r="D122" s="181">
        <v>376</v>
      </c>
      <c r="E122" s="185">
        <v>125671.29</v>
      </c>
      <c r="F122" s="183"/>
      <c r="G122" s="182">
        <f t="shared" si="3"/>
        <v>125671.29</v>
      </c>
      <c r="H122" s="182">
        <f t="shared" ref="H122:H130" si="5">+G122</f>
        <v>125671.29</v>
      </c>
      <c r="I122" s="344">
        <v>16</v>
      </c>
      <c r="J122" s="409">
        <v>44043</v>
      </c>
    </row>
    <row r="123" spans="1:10">
      <c r="A123" s="26">
        <v>117</v>
      </c>
      <c r="B123" s="183" t="s">
        <v>766</v>
      </c>
      <c r="C123" s="24" t="s">
        <v>2343</v>
      </c>
      <c r="D123" s="181">
        <v>376</v>
      </c>
      <c r="E123" s="185">
        <v>312625</v>
      </c>
      <c r="F123" s="183"/>
      <c r="G123" s="182">
        <f t="shared" si="3"/>
        <v>312625</v>
      </c>
      <c r="H123" s="182">
        <f t="shared" si="5"/>
        <v>312625</v>
      </c>
      <c r="I123" s="344">
        <v>17</v>
      </c>
      <c r="J123" s="409">
        <v>44165</v>
      </c>
    </row>
    <row r="124" spans="1:10">
      <c r="A124" s="26">
        <v>118</v>
      </c>
      <c r="B124" s="183" t="s">
        <v>766</v>
      </c>
      <c r="C124" s="24" t="s">
        <v>2344</v>
      </c>
      <c r="D124" s="181">
        <v>378</v>
      </c>
      <c r="E124" s="185">
        <v>352513.6</v>
      </c>
      <c r="F124" s="183"/>
      <c r="G124" s="182">
        <f t="shared" si="3"/>
        <v>352513.6</v>
      </c>
      <c r="H124" s="182">
        <f t="shared" si="5"/>
        <v>352513.6</v>
      </c>
      <c r="I124" s="344">
        <v>18</v>
      </c>
      <c r="J124" s="409">
        <v>44135</v>
      </c>
    </row>
    <row r="125" spans="1:10">
      <c r="A125" s="26">
        <v>119</v>
      </c>
      <c r="B125" s="183" t="s">
        <v>766</v>
      </c>
      <c r="C125" s="24" t="s">
        <v>2345</v>
      </c>
      <c r="D125" s="181">
        <v>378</v>
      </c>
      <c r="E125" s="185">
        <v>124719</v>
      </c>
      <c r="F125" s="183"/>
      <c r="G125" s="182">
        <f t="shared" si="3"/>
        <v>124719</v>
      </c>
      <c r="H125" s="182">
        <f t="shared" si="5"/>
        <v>124719</v>
      </c>
      <c r="I125" s="344">
        <v>19</v>
      </c>
      <c r="J125" s="409">
        <v>44155</v>
      </c>
    </row>
    <row r="126" spans="1:10">
      <c r="A126" s="26">
        <v>120</v>
      </c>
      <c r="B126" s="183" t="s">
        <v>766</v>
      </c>
      <c r="C126" s="24" t="s">
        <v>2346</v>
      </c>
      <c r="D126" s="181">
        <v>378</v>
      </c>
      <c r="E126" s="185">
        <v>124719</v>
      </c>
      <c r="F126" s="183"/>
      <c r="G126" s="182">
        <f t="shared" si="3"/>
        <v>124719</v>
      </c>
      <c r="H126" s="182">
        <f t="shared" si="5"/>
        <v>124719</v>
      </c>
      <c r="I126" s="344">
        <v>20</v>
      </c>
      <c r="J126" s="409">
        <v>44155</v>
      </c>
    </row>
    <row r="127" spans="1:10">
      <c r="A127" s="26">
        <v>121</v>
      </c>
      <c r="B127" s="183" t="s">
        <v>766</v>
      </c>
      <c r="C127" s="24" t="s">
        <v>2347</v>
      </c>
      <c r="D127" s="181">
        <v>378</v>
      </c>
      <c r="E127" s="185">
        <v>464483</v>
      </c>
      <c r="F127" s="183"/>
      <c r="G127" s="182">
        <f t="shared" si="3"/>
        <v>464483</v>
      </c>
      <c r="H127" s="182">
        <f t="shared" si="5"/>
        <v>464483</v>
      </c>
      <c r="I127" s="344">
        <v>22</v>
      </c>
      <c r="J127" s="409">
        <v>44165</v>
      </c>
    </row>
    <row r="128" spans="1:10">
      <c r="A128" s="26">
        <v>122</v>
      </c>
      <c r="B128" s="183" t="s">
        <v>766</v>
      </c>
      <c r="C128" s="24" t="s">
        <v>2348</v>
      </c>
      <c r="D128" s="181">
        <v>385</v>
      </c>
      <c r="E128" s="185">
        <v>58451</v>
      </c>
      <c r="F128" s="183"/>
      <c r="G128" s="182">
        <f t="shared" si="3"/>
        <v>58451</v>
      </c>
      <c r="H128" s="182"/>
      <c r="I128" s="344"/>
      <c r="J128" s="409">
        <v>44104</v>
      </c>
    </row>
    <row r="129" spans="1:10">
      <c r="A129" s="26">
        <v>123</v>
      </c>
      <c r="B129" s="183" t="s">
        <v>766</v>
      </c>
      <c r="C129" s="24" t="s">
        <v>2349</v>
      </c>
      <c r="D129" s="181">
        <v>378</v>
      </c>
      <c r="E129" s="185">
        <v>143033.60000000001</v>
      </c>
      <c r="F129" s="183"/>
      <c r="G129" s="182">
        <f t="shared" si="3"/>
        <v>143033.60000000001</v>
      </c>
      <c r="H129" s="182">
        <f t="shared" si="5"/>
        <v>143033.60000000001</v>
      </c>
      <c r="I129" s="344">
        <v>24</v>
      </c>
      <c r="J129" s="409">
        <v>44073</v>
      </c>
    </row>
    <row r="130" spans="1:10">
      <c r="A130" s="26">
        <v>124</v>
      </c>
      <c r="B130" s="183" t="s">
        <v>766</v>
      </c>
      <c r="C130" s="24" t="s">
        <v>2350</v>
      </c>
      <c r="D130" s="181">
        <v>378</v>
      </c>
      <c r="E130" s="185">
        <v>144470.20000000001</v>
      </c>
      <c r="F130" s="183"/>
      <c r="G130" s="182">
        <f t="shared" si="3"/>
        <v>144470.20000000001</v>
      </c>
      <c r="H130" s="182">
        <f t="shared" si="5"/>
        <v>144470.20000000001</v>
      </c>
      <c r="I130" s="344">
        <v>25</v>
      </c>
      <c r="J130" s="409">
        <v>44073</v>
      </c>
    </row>
    <row r="131" spans="1:10">
      <c r="A131" s="26">
        <v>125</v>
      </c>
      <c r="B131" s="183" t="s">
        <v>766</v>
      </c>
      <c r="C131" s="24" t="s">
        <v>2351</v>
      </c>
      <c r="D131" s="181">
        <v>376</v>
      </c>
      <c r="E131" s="185">
        <v>1725636</v>
      </c>
      <c r="F131" s="183"/>
      <c r="G131" s="182">
        <f t="shared" si="3"/>
        <v>1725636</v>
      </c>
      <c r="H131" s="182">
        <f>+G131</f>
        <v>1725636</v>
      </c>
      <c r="I131" s="344">
        <v>26</v>
      </c>
      <c r="J131" s="409">
        <v>44407</v>
      </c>
    </row>
    <row r="132" spans="1:10">
      <c r="A132" s="26">
        <v>126</v>
      </c>
      <c r="B132" s="183" t="s">
        <v>766</v>
      </c>
      <c r="C132" s="24" t="s">
        <v>2026</v>
      </c>
      <c r="D132" s="181">
        <v>376</v>
      </c>
      <c r="E132" s="185">
        <v>19400.099999999999</v>
      </c>
      <c r="F132" s="183"/>
      <c r="G132" s="182">
        <f t="shared" si="3"/>
        <v>19400.099999999999</v>
      </c>
      <c r="H132" s="182"/>
      <c r="I132" s="344"/>
      <c r="J132" s="409">
        <v>43889</v>
      </c>
    </row>
    <row r="133" spans="1:10">
      <c r="A133" s="26">
        <v>127</v>
      </c>
      <c r="B133" s="183" t="s">
        <v>766</v>
      </c>
      <c r="C133" s="24" t="s">
        <v>2352</v>
      </c>
      <c r="D133" s="181">
        <v>378</v>
      </c>
      <c r="E133" s="185">
        <v>5607.8</v>
      </c>
      <c r="F133" s="183"/>
      <c r="G133" s="182">
        <f t="shared" si="3"/>
        <v>5607.8</v>
      </c>
      <c r="H133" s="182"/>
      <c r="I133" s="344"/>
      <c r="J133" s="409">
        <v>44124</v>
      </c>
    </row>
    <row r="134" spans="1:10">
      <c r="A134" s="26">
        <v>128</v>
      </c>
      <c r="B134" s="183" t="s">
        <v>766</v>
      </c>
      <c r="C134" s="24" t="s">
        <v>2353</v>
      </c>
      <c r="D134" s="181">
        <v>378</v>
      </c>
      <c r="E134" s="185">
        <v>5845.1</v>
      </c>
      <c r="F134" s="183"/>
      <c r="G134" s="182">
        <f t="shared" si="3"/>
        <v>5845.1</v>
      </c>
      <c r="H134" s="182"/>
      <c r="I134" s="344"/>
      <c r="J134" s="409">
        <v>44094</v>
      </c>
    </row>
    <row r="135" spans="1:10">
      <c r="A135" s="26">
        <v>129</v>
      </c>
      <c r="B135" s="183" t="s">
        <v>766</v>
      </c>
      <c r="C135" s="24" t="s">
        <v>2354</v>
      </c>
      <c r="D135" s="181">
        <v>376</v>
      </c>
      <c r="E135" s="185">
        <v>1196019</v>
      </c>
      <c r="F135" s="183"/>
      <c r="G135" s="182">
        <f t="shared" si="3"/>
        <v>1196019</v>
      </c>
      <c r="H135" s="182"/>
      <c r="I135" s="344" t="s">
        <v>802</v>
      </c>
      <c r="J135" s="409">
        <v>44195</v>
      </c>
    </row>
    <row r="136" spans="1:10">
      <c r="A136" s="26">
        <v>130</v>
      </c>
      <c r="B136" s="183" t="s">
        <v>766</v>
      </c>
      <c r="C136" s="24" t="s">
        <v>2418</v>
      </c>
      <c r="D136" s="181">
        <v>376</v>
      </c>
      <c r="E136" s="185">
        <v>1178410</v>
      </c>
      <c r="F136" s="183"/>
      <c r="G136" s="182">
        <f t="shared" si="3"/>
        <v>1178410</v>
      </c>
      <c r="H136" s="182"/>
      <c r="I136" s="344"/>
      <c r="J136" s="409">
        <v>44196</v>
      </c>
    </row>
    <row r="137" spans="1:10">
      <c r="A137" s="26">
        <v>131</v>
      </c>
      <c r="B137" s="183" t="s">
        <v>766</v>
      </c>
      <c r="C137" s="24" t="s">
        <v>2419</v>
      </c>
      <c r="D137" s="181">
        <v>380</v>
      </c>
      <c r="E137" s="185">
        <v>128780</v>
      </c>
      <c r="F137" s="183"/>
      <c r="G137" s="182">
        <f t="shared" si="3"/>
        <v>128780</v>
      </c>
      <c r="H137" s="182"/>
      <c r="I137" s="344"/>
      <c r="J137" s="409">
        <v>44196</v>
      </c>
    </row>
    <row r="138" spans="1:10">
      <c r="A138" s="26">
        <v>132</v>
      </c>
      <c r="B138" s="183" t="s">
        <v>766</v>
      </c>
      <c r="C138" s="24" t="s">
        <v>2356</v>
      </c>
      <c r="D138" s="181">
        <v>376</v>
      </c>
      <c r="E138" s="185">
        <v>121015.44</v>
      </c>
      <c r="F138" s="183"/>
      <c r="G138" s="182">
        <f t="shared" si="3"/>
        <v>121015.44</v>
      </c>
      <c r="H138" s="182"/>
      <c r="I138" s="344"/>
      <c r="J138" s="409">
        <v>43936</v>
      </c>
    </row>
    <row r="139" spans="1:10">
      <c r="A139" s="26">
        <v>133</v>
      </c>
      <c r="B139" s="183" t="s">
        <v>766</v>
      </c>
      <c r="C139" s="24" t="s">
        <v>2355</v>
      </c>
      <c r="D139" s="181">
        <v>376</v>
      </c>
      <c r="E139" s="185">
        <v>169486.67</v>
      </c>
      <c r="F139" s="183"/>
      <c r="G139" s="182">
        <f t="shared" si="3"/>
        <v>169486.67</v>
      </c>
      <c r="H139" s="182"/>
      <c r="I139" s="344"/>
      <c r="J139" s="409">
        <v>43952</v>
      </c>
    </row>
    <row r="140" spans="1:10">
      <c r="A140" s="26">
        <v>134</v>
      </c>
      <c r="B140" s="183" t="s">
        <v>766</v>
      </c>
      <c r="C140" s="183" t="s">
        <v>2027</v>
      </c>
      <c r="D140" s="181">
        <v>376</v>
      </c>
      <c r="E140" s="185">
        <v>10487.23</v>
      </c>
      <c r="F140" s="183"/>
      <c r="G140" s="182">
        <f t="shared" si="3"/>
        <v>10487.23</v>
      </c>
      <c r="H140" s="182"/>
      <c r="I140" s="344"/>
      <c r="J140" s="661">
        <v>43981</v>
      </c>
    </row>
    <row r="141" spans="1:10">
      <c r="A141" s="26">
        <v>135</v>
      </c>
      <c r="B141" s="183" t="s">
        <v>766</v>
      </c>
      <c r="C141" s="183" t="s">
        <v>2028</v>
      </c>
      <c r="D141" s="181">
        <v>376</v>
      </c>
      <c r="E141" s="185">
        <v>16510.169999999998</v>
      </c>
      <c r="F141" s="183"/>
      <c r="G141" s="182">
        <f t="shared" si="3"/>
        <v>16510.169999999998</v>
      </c>
      <c r="H141" s="182"/>
      <c r="I141" s="344"/>
      <c r="J141" s="661">
        <v>44195</v>
      </c>
    </row>
    <row r="142" spans="1:10">
      <c r="A142" s="26">
        <v>136</v>
      </c>
      <c r="B142" s="183" t="s">
        <v>766</v>
      </c>
      <c r="C142" s="183" t="s">
        <v>2029</v>
      </c>
      <c r="D142" s="181">
        <v>376</v>
      </c>
      <c r="E142" s="185">
        <v>52336.62</v>
      </c>
      <c r="F142" s="183"/>
      <c r="G142" s="182">
        <f t="shared" si="3"/>
        <v>52336.62</v>
      </c>
      <c r="H142" s="182"/>
      <c r="I142" s="344"/>
      <c r="J142" s="661">
        <v>43981</v>
      </c>
    </row>
    <row r="143" spans="1:10">
      <c r="A143" s="26">
        <v>137</v>
      </c>
      <c r="B143" s="183" t="s">
        <v>766</v>
      </c>
      <c r="C143" s="183" t="s">
        <v>2030</v>
      </c>
      <c r="D143" s="181">
        <v>376.1</v>
      </c>
      <c r="E143" s="185">
        <v>1145.58</v>
      </c>
      <c r="F143" s="183"/>
      <c r="G143" s="182">
        <f t="shared" si="3"/>
        <v>1145.58</v>
      </c>
      <c r="H143" s="182"/>
      <c r="I143" s="344"/>
      <c r="J143" s="409">
        <v>43862</v>
      </c>
    </row>
    <row r="144" spans="1:10">
      <c r="A144" s="26">
        <v>138</v>
      </c>
      <c r="B144" s="183" t="s">
        <v>766</v>
      </c>
      <c r="C144" s="183" t="s">
        <v>2031</v>
      </c>
      <c r="D144" s="181">
        <v>376</v>
      </c>
      <c r="E144" s="185">
        <v>-87097.05</v>
      </c>
      <c r="F144" s="183"/>
      <c r="G144" s="182">
        <f t="shared" si="3"/>
        <v>-87097.05</v>
      </c>
      <c r="H144" s="182"/>
      <c r="I144" s="344"/>
      <c r="J144" s="661">
        <v>44155</v>
      </c>
    </row>
    <row r="145" spans="1:10">
      <c r="A145" s="26">
        <v>139</v>
      </c>
      <c r="B145" s="183" t="s">
        <v>766</v>
      </c>
      <c r="C145" s="183" t="s">
        <v>2032</v>
      </c>
      <c r="D145" s="181">
        <v>380</v>
      </c>
      <c r="E145" s="185">
        <v>-21795.91</v>
      </c>
      <c r="F145" s="183"/>
      <c r="G145" s="182">
        <f t="shared" si="3"/>
        <v>-21795.91</v>
      </c>
      <c r="H145" s="182"/>
      <c r="I145" s="344"/>
      <c r="J145" s="661">
        <v>44155</v>
      </c>
    </row>
    <row r="146" spans="1:10">
      <c r="A146" s="26">
        <v>140</v>
      </c>
      <c r="B146" s="412"/>
      <c r="C146" s="413"/>
      <c r="D146" s="186"/>
      <c r="E146" s="414">
        <f>SUM(E34:E145)</f>
        <v>88517757.529999986</v>
      </c>
      <c r="F146" s="412"/>
      <c r="G146" s="182">
        <f t="shared" ref="G146:G194" si="6">+E146</f>
        <v>88517757.529999986</v>
      </c>
      <c r="H146" s="415">
        <f>SUM(H34:H145)</f>
        <v>52174455.754975997</v>
      </c>
      <c r="I146" s="416"/>
      <c r="J146" s="845"/>
    </row>
    <row r="147" spans="1:10">
      <c r="A147" s="26">
        <v>141</v>
      </c>
      <c r="B147" s="183" t="s">
        <v>775</v>
      </c>
      <c r="C147" s="183" t="s">
        <v>776</v>
      </c>
      <c r="D147" s="181">
        <v>392</v>
      </c>
      <c r="E147" s="185">
        <v>219131.38</v>
      </c>
      <c r="F147" s="183"/>
      <c r="G147" s="182">
        <f t="shared" si="6"/>
        <v>219131.38</v>
      </c>
      <c r="H147" s="182"/>
      <c r="I147" s="344"/>
      <c r="J147" s="661">
        <v>44012</v>
      </c>
    </row>
    <row r="148" spans="1:10">
      <c r="A148" s="26">
        <v>142</v>
      </c>
      <c r="B148" s="183" t="s">
        <v>775</v>
      </c>
      <c r="C148" s="183" t="s">
        <v>2015</v>
      </c>
      <c r="D148" s="181">
        <v>394</v>
      </c>
      <c r="E148" s="185">
        <v>1359.54</v>
      </c>
      <c r="F148" s="183"/>
      <c r="G148" s="182">
        <f t="shared" si="6"/>
        <v>1359.54</v>
      </c>
      <c r="H148" s="182"/>
      <c r="I148" s="344"/>
      <c r="J148" s="661">
        <v>43921</v>
      </c>
    </row>
    <row r="149" spans="1:10">
      <c r="A149" s="26">
        <v>143</v>
      </c>
      <c r="B149" s="183" t="s">
        <v>775</v>
      </c>
      <c r="C149" s="183" t="s">
        <v>2016</v>
      </c>
      <c r="D149" s="181">
        <v>390</v>
      </c>
      <c r="E149" s="185">
        <v>36245.61</v>
      </c>
      <c r="F149" s="183"/>
      <c r="G149" s="182">
        <f t="shared" si="6"/>
        <v>36245.61</v>
      </c>
      <c r="H149" s="182"/>
      <c r="I149" s="344"/>
      <c r="J149" s="661">
        <v>43860</v>
      </c>
    </row>
    <row r="150" spans="1:10">
      <c r="A150" s="26">
        <v>144</v>
      </c>
      <c r="B150" s="183" t="s">
        <v>775</v>
      </c>
      <c r="C150" s="183" t="s">
        <v>2308</v>
      </c>
      <c r="D150" s="181">
        <v>391</v>
      </c>
      <c r="E150" s="185">
        <v>27223.01</v>
      </c>
      <c r="F150" s="410">
        <f>+'State Allocation Formulas'!C21</f>
        <v>0.75170000000000003</v>
      </c>
      <c r="G150" s="182">
        <f t="shared" si="6"/>
        <v>27223.01</v>
      </c>
      <c r="H150" s="182"/>
      <c r="I150" s="344"/>
      <c r="J150" s="661">
        <v>43952</v>
      </c>
    </row>
    <row r="151" spans="1:10">
      <c r="A151" s="26">
        <v>146</v>
      </c>
      <c r="B151" s="183" t="s">
        <v>775</v>
      </c>
      <c r="C151" s="183" t="s">
        <v>2445</v>
      </c>
      <c r="D151" s="181">
        <v>391</v>
      </c>
      <c r="E151" s="185">
        <v>176798.64</v>
      </c>
      <c r="F151" s="410">
        <f>+'State Allocation Formulas'!C21</f>
        <v>0.75170000000000003</v>
      </c>
      <c r="G151" s="182">
        <f t="shared" si="6"/>
        <v>176798.64</v>
      </c>
      <c r="H151" s="182"/>
      <c r="I151" s="344"/>
      <c r="J151" s="661">
        <v>44196</v>
      </c>
    </row>
    <row r="152" spans="1:10">
      <c r="A152" s="26">
        <v>147</v>
      </c>
      <c r="B152" s="183" t="s">
        <v>775</v>
      </c>
      <c r="C152" s="183" t="s">
        <v>2446</v>
      </c>
      <c r="D152" s="181">
        <v>391</v>
      </c>
      <c r="E152" s="185">
        <v>50980</v>
      </c>
      <c r="F152" s="410">
        <f>+'State Allocation Formulas'!C21</f>
        <v>0.75170000000000003</v>
      </c>
      <c r="G152" s="182">
        <f t="shared" si="6"/>
        <v>50980</v>
      </c>
      <c r="H152" s="182"/>
      <c r="I152" s="344"/>
      <c r="J152" s="661">
        <v>44196</v>
      </c>
    </row>
    <row r="153" spans="1:10">
      <c r="A153" s="26">
        <v>148</v>
      </c>
      <c r="B153" s="183" t="s">
        <v>775</v>
      </c>
      <c r="C153" s="183" t="s">
        <v>2309</v>
      </c>
      <c r="D153" s="181">
        <v>391</v>
      </c>
      <c r="E153" s="185">
        <v>17333.2</v>
      </c>
      <c r="F153" s="410">
        <f>+'State Allocation Formulas'!C21</f>
        <v>0.75170000000000003</v>
      </c>
      <c r="G153" s="182">
        <f t="shared" si="6"/>
        <v>17333.2</v>
      </c>
      <c r="H153" s="182"/>
      <c r="I153" s="344"/>
      <c r="J153" s="661">
        <v>43952</v>
      </c>
    </row>
    <row r="154" spans="1:10">
      <c r="A154" s="26">
        <v>149</v>
      </c>
      <c r="B154" s="183" t="s">
        <v>775</v>
      </c>
      <c r="C154" s="183" t="s">
        <v>2285</v>
      </c>
      <c r="D154" s="181">
        <v>390</v>
      </c>
      <c r="E154" s="185">
        <v>316076</v>
      </c>
      <c r="F154" s="183"/>
      <c r="G154" s="182">
        <f t="shared" si="6"/>
        <v>316076</v>
      </c>
      <c r="H154" s="182"/>
      <c r="I154" s="344"/>
      <c r="J154" s="661">
        <v>44013</v>
      </c>
    </row>
    <row r="155" spans="1:10">
      <c r="A155" s="26">
        <v>150</v>
      </c>
      <c r="B155" s="183" t="s">
        <v>775</v>
      </c>
      <c r="C155" s="183" t="s">
        <v>1296</v>
      </c>
      <c r="D155" s="181">
        <v>390</v>
      </c>
      <c r="E155" s="185">
        <v>15243.69</v>
      </c>
      <c r="F155" s="183"/>
      <c r="G155" s="182">
        <f t="shared" si="6"/>
        <v>15243.69</v>
      </c>
      <c r="H155" s="182"/>
      <c r="I155" s="344"/>
      <c r="J155" s="661">
        <v>44155</v>
      </c>
    </row>
    <row r="156" spans="1:10">
      <c r="A156" s="26">
        <v>151</v>
      </c>
      <c r="B156" s="183" t="s">
        <v>775</v>
      </c>
      <c r="C156" s="183" t="s">
        <v>2286</v>
      </c>
      <c r="D156" s="181">
        <v>390</v>
      </c>
      <c r="E156" s="185">
        <v>20392</v>
      </c>
      <c r="F156" s="183"/>
      <c r="G156" s="182">
        <f t="shared" si="6"/>
        <v>20392</v>
      </c>
      <c r="H156" s="182"/>
      <c r="I156" s="344"/>
      <c r="J156" s="661">
        <v>43987</v>
      </c>
    </row>
    <row r="157" spans="1:10">
      <c r="A157" s="26">
        <v>152</v>
      </c>
      <c r="B157" s="183" t="s">
        <v>775</v>
      </c>
      <c r="C157" s="183" t="s">
        <v>2447</v>
      </c>
      <c r="D157" s="181">
        <v>397</v>
      </c>
      <c r="E157" s="185">
        <v>509800</v>
      </c>
      <c r="F157" s="855">
        <f>+'State Allocation Formulas'!C21</f>
        <v>0.75170000000000003</v>
      </c>
      <c r="G157" s="182">
        <f t="shared" si="6"/>
        <v>509800</v>
      </c>
      <c r="H157" s="182"/>
      <c r="I157" s="344"/>
      <c r="J157" s="661">
        <v>44196</v>
      </c>
    </row>
    <row r="158" spans="1:10">
      <c r="A158" s="26">
        <v>153</v>
      </c>
      <c r="B158" s="183" t="s">
        <v>775</v>
      </c>
      <c r="C158" s="183" t="s">
        <v>2448</v>
      </c>
      <c r="D158" s="181">
        <v>397</v>
      </c>
      <c r="E158" s="185">
        <v>1223.52</v>
      </c>
      <c r="F158" s="855">
        <f>+'State Allocation Formulas'!C21</f>
        <v>0.75170000000000003</v>
      </c>
      <c r="G158" s="182">
        <f t="shared" si="6"/>
        <v>1223.52</v>
      </c>
      <c r="H158" s="182"/>
      <c r="I158" s="344"/>
      <c r="J158" s="661">
        <v>44196</v>
      </c>
    </row>
    <row r="159" spans="1:10">
      <c r="A159" s="26">
        <v>154</v>
      </c>
      <c r="B159" s="183" t="s">
        <v>775</v>
      </c>
      <c r="C159" s="183" t="s">
        <v>2310</v>
      </c>
      <c r="D159" s="181">
        <v>394</v>
      </c>
      <c r="E159" s="185">
        <v>14274.4</v>
      </c>
      <c r="F159" s="183"/>
      <c r="G159" s="182">
        <f t="shared" si="6"/>
        <v>14274.4</v>
      </c>
      <c r="H159" s="182"/>
      <c r="I159" s="344"/>
      <c r="J159" s="661">
        <v>43862</v>
      </c>
    </row>
    <row r="160" spans="1:10">
      <c r="A160" s="26">
        <v>155</v>
      </c>
      <c r="B160" s="183" t="s">
        <v>775</v>
      </c>
      <c r="C160" s="183" t="s">
        <v>2311</v>
      </c>
      <c r="D160" s="181">
        <v>394</v>
      </c>
      <c r="E160" s="185">
        <v>6627.4</v>
      </c>
      <c r="F160" s="183"/>
      <c r="G160" s="182">
        <f t="shared" si="6"/>
        <v>6627.4</v>
      </c>
      <c r="H160" s="182"/>
      <c r="I160" s="344"/>
      <c r="J160" s="661">
        <v>43862</v>
      </c>
    </row>
    <row r="161" spans="1:10">
      <c r="A161" s="26">
        <v>156</v>
      </c>
      <c r="B161" s="183" t="s">
        <v>775</v>
      </c>
      <c r="C161" s="183" t="s">
        <v>2287</v>
      </c>
      <c r="D161" s="181">
        <v>390</v>
      </c>
      <c r="E161" s="185">
        <v>1064539.08</v>
      </c>
      <c r="F161" s="183"/>
      <c r="G161" s="182">
        <f t="shared" si="6"/>
        <v>1064539.08</v>
      </c>
      <c r="H161" s="182">
        <f>+G161</f>
        <v>1064539.08</v>
      </c>
      <c r="I161" s="344">
        <v>13</v>
      </c>
      <c r="J161" s="661">
        <v>44134</v>
      </c>
    </row>
    <row r="162" spans="1:10">
      <c r="A162" s="26">
        <v>157</v>
      </c>
      <c r="B162" s="183" t="s">
        <v>775</v>
      </c>
      <c r="C162" s="183" t="s">
        <v>2312</v>
      </c>
      <c r="D162" s="181">
        <v>397</v>
      </c>
      <c r="E162" s="185">
        <v>158321.16</v>
      </c>
      <c r="F162" s="410">
        <f>+'State Allocation Formulas'!C21</f>
        <v>0.75170000000000003</v>
      </c>
      <c r="G162" s="182">
        <f t="shared" si="6"/>
        <v>158321.16</v>
      </c>
      <c r="H162" s="182"/>
      <c r="I162" s="344"/>
      <c r="J162" s="661">
        <v>44150</v>
      </c>
    </row>
    <row r="163" spans="1:10">
      <c r="A163" s="26">
        <v>158</v>
      </c>
      <c r="B163" s="183" t="s">
        <v>775</v>
      </c>
      <c r="C163" s="183" t="s">
        <v>2288</v>
      </c>
      <c r="D163" s="181">
        <v>390</v>
      </c>
      <c r="E163" s="185">
        <v>620912.69999999995</v>
      </c>
      <c r="F163" s="183"/>
      <c r="G163" s="182">
        <f t="shared" si="6"/>
        <v>620912.69999999995</v>
      </c>
      <c r="H163" s="182"/>
      <c r="I163" s="344"/>
      <c r="J163" s="661">
        <v>44136</v>
      </c>
    </row>
    <row r="164" spans="1:10">
      <c r="A164" s="26">
        <v>159</v>
      </c>
      <c r="B164" s="183" t="s">
        <v>775</v>
      </c>
      <c r="C164" s="183" t="s">
        <v>2289</v>
      </c>
      <c r="D164" s="181">
        <v>390</v>
      </c>
      <c r="E164" s="185">
        <v>76470</v>
      </c>
      <c r="F164" s="183"/>
      <c r="G164" s="182">
        <f t="shared" si="6"/>
        <v>76470</v>
      </c>
      <c r="H164" s="182"/>
      <c r="I164" s="344"/>
      <c r="J164" s="661">
        <v>44043</v>
      </c>
    </row>
    <row r="165" spans="1:10">
      <c r="A165" s="26">
        <v>160</v>
      </c>
      <c r="B165" s="183" t="s">
        <v>775</v>
      </c>
      <c r="C165" s="183" t="s">
        <v>2313</v>
      </c>
      <c r="D165" s="181">
        <v>394</v>
      </c>
      <c r="E165" s="185">
        <v>33646.800000000003</v>
      </c>
      <c r="F165" s="183"/>
      <c r="G165" s="182">
        <f t="shared" si="6"/>
        <v>33646.800000000003</v>
      </c>
      <c r="H165" s="182"/>
      <c r="I165" s="344"/>
      <c r="J165" s="661">
        <v>43951</v>
      </c>
    </row>
    <row r="166" spans="1:10">
      <c r="A166" s="26">
        <v>161</v>
      </c>
      <c r="B166" s="183" t="s">
        <v>775</v>
      </c>
      <c r="C166" s="183" t="s">
        <v>2314</v>
      </c>
      <c r="D166" s="181">
        <v>394</v>
      </c>
      <c r="E166" s="185">
        <v>23450.799999999999</v>
      </c>
      <c r="F166" s="183"/>
      <c r="G166" s="182">
        <f t="shared" si="6"/>
        <v>23450.799999999999</v>
      </c>
      <c r="H166" s="182"/>
      <c r="I166" s="344"/>
      <c r="J166" s="661">
        <v>43951</v>
      </c>
    </row>
    <row r="167" spans="1:10">
      <c r="A167" s="26">
        <v>162</v>
      </c>
      <c r="B167" s="183" t="s">
        <v>775</v>
      </c>
      <c r="C167" s="183" t="s">
        <v>2315</v>
      </c>
      <c r="D167" s="181">
        <v>394</v>
      </c>
      <c r="E167" s="185">
        <v>23450.799999999999</v>
      </c>
      <c r="F167" s="183"/>
      <c r="G167" s="182">
        <f t="shared" si="6"/>
        <v>23450.799999999999</v>
      </c>
      <c r="H167" s="182"/>
      <c r="I167" s="344"/>
      <c r="J167" s="661">
        <v>43988</v>
      </c>
    </row>
    <row r="168" spans="1:10">
      <c r="A168" s="26">
        <v>163</v>
      </c>
      <c r="B168" s="183" t="s">
        <v>775</v>
      </c>
      <c r="C168" s="183" t="s">
        <v>2316</v>
      </c>
      <c r="D168" s="181">
        <v>394</v>
      </c>
      <c r="E168" s="185">
        <v>23450.799999999999</v>
      </c>
      <c r="F168" s="183"/>
      <c r="G168" s="182">
        <f t="shared" si="6"/>
        <v>23450.799999999999</v>
      </c>
      <c r="H168" s="182"/>
      <c r="I168" s="344"/>
      <c r="J168" s="661">
        <v>44135</v>
      </c>
    </row>
    <row r="169" spans="1:10">
      <c r="A169" s="26">
        <v>164</v>
      </c>
      <c r="B169" s="183" t="s">
        <v>775</v>
      </c>
      <c r="C169" s="183" t="s">
        <v>2317</v>
      </c>
      <c r="D169" s="181">
        <v>394</v>
      </c>
      <c r="E169" s="185">
        <v>8156.8</v>
      </c>
      <c r="F169" s="183"/>
      <c r="G169" s="182">
        <f t="shared" si="6"/>
        <v>8156.8</v>
      </c>
      <c r="H169" s="182"/>
      <c r="I169" s="344"/>
      <c r="J169" s="661">
        <v>43982</v>
      </c>
    </row>
    <row r="170" spans="1:10">
      <c r="A170" s="26">
        <v>165</v>
      </c>
      <c r="B170" s="183" t="s">
        <v>775</v>
      </c>
      <c r="C170" s="183" t="s">
        <v>2318</v>
      </c>
      <c r="D170" s="181">
        <v>394</v>
      </c>
      <c r="E170" s="185">
        <v>25490</v>
      </c>
      <c r="F170" s="183"/>
      <c r="G170" s="182">
        <f t="shared" si="6"/>
        <v>25490</v>
      </c>
      <c r="H170" s="182"/>
      <c r="I170" s="344"/>
      <c r="J170" s="661">
        <v>43951</v>
      </c>
    </row>
    <row r="171" spans="1:10">
      <c r="A171" s="26">
        <v>166</v>
      </c>
      <c r="B171" s="183" t="s">
        <v>775</v>
      </c>
      <c r="C171" s="183" t="s">
        <v>2319</v>
      </c>
      <c r="D171" s="181">
        <v>394</v>
      </c>
      <c r="E171" s="185">
        <v>20392</v>
      </c>
      <c r="F171" s="183"/>
      <c r="G171" s="182">
        <f t="shared" si="6"/>
        <v>20392</v>
      </c>
      <c r="H171" s="182"/>
      <c r="I171" s="344"/>
      <c r="J171" s="661">
        <v>44135</v>
      </c>
    </row>
    <row r="172" spans="1:10">
      <c r="A172" s="26">
        <v>167</v>
      </c>
      <c r="B172" s="183" t="s">
        <v>775</v>
      </c>
      <c r="C172" s="183" t="s">
        <v>2320</v>
      </c>
      <c r="D172" s="181">
        <v>394</v>
      </c>
      <c r="E172" s="185">
        <v>7137.2</v>
      </c>
      <c r="F172" s="183"/>
      <c r="G172" s="182">
        <f t="shared" si="6"/>
        <v>7137.2</v>
      </c>
      <c r="H172" s="182"/>
      <c r="I172" s="344"/>
      <c r="J172" s="661">
        <v>43925</v>
      </c>
    </row>
    <row r="173" spans="1:10">
      <c r="A173" s="26">
        <v>168</v>
      </c>
      <c r="B173" s="183" t="s">
        <v>775</v>
      </c>
      <c r="C173" s="183" t="s">
        <v>2321</v>
      </c>
      <c r="D173" s="181">
        <v>394</v>
      </c>
      <c r="E173" s="185">
        <v>76238.350000000006</v>
      </c>
      <c r="F173" s="410">
        <f>+'State Allocation Formulas'!C21</f>
        <v>0.75170000000000003</v>
      </c>
      <c r="G173" s="182">
        <f t="shared" si="6"/>
        <v>76238.350000000006</v>
      </c>
      <c r="H173" s="182"/>
      <c r="I173" s="344"/>
      <c r="J173" s="661">
        <v>44012</v>
      </c>
    </row>
    <row r="174" spans="1:10">
      <c r="A174" s="26">
        <v>169</v>
      </c>
      <c r="B174" s="183" t="s">
        <v>775</v>
      </c>
      <c r="C174" s="183" t="s">
        <v>2290</v>
      </c>
      <c r="D174" s="181">
        <v>390</v>
      </c>
      <c r="E174" s="185">
        <v>195305.21</v>
      </c>
      <c r="F174" s="183"/>
      <c r="G174" s="182">
        <f t="shared" si="6"/>
        <v>195305.21</v>
      </c>
      <c r="H174" s="182"/>
      <c r="I174" s="344"/>
      <c r="J174" s="661">
        <v>44104</v>
      </c>
    </row>
    <row r="175" spans="1:10">
      <c r="A175" s="26">
        <v>170</v>
      </c>
      <c r="B175" s="183" t="s">
        <v>775</v>
      </c>
      <c r="C175" s="183" t="s">
        <v>2322</v>
      </c>
      <c r="D175" s="181">
        <v>394</v>
      </c>
      <c r="E175" s="185">
        <v>11422.98</v>
      </c>
      <c r="F175" s="410">
        <f>+'State Allocation Formulas'!C21</f>
        <v>0.75170000000000003</v>
      </c>
      <c r="G175" s="182">
        <f t="shared" si="6"/>
        <v>11422.98</v>
      </c>
      <c r="H175" s="182"/>
      <c r="I175" s="344"/>
      <c r="J175" s="661">
        <v>43920</v>
      </c>
    </row>
    <row r="176" spans="1:10">
      <c r="A176" s="26">
        <v>171</v>
      </c>
      <c r="B176" s="183" t="s">
        <v>775</v>
      </c>
      <c r="C176" s="183" t="s">
        <v>2323</v>
      </c>
      <c r="D176" s="181">
        <v>394</v>
      </c>
      <c r="E176" s="185">
        <v>13240.14</v>
      </c>
      <c r="F176" s="410">
        <f>+'State Allocation Formulas'!C21</f>
        <v>0.75170000000000003</v>
      </c>
      <c r="G176" s="182">
        <f t="shared" si="6"/>
        <v>13240.14</v>
      </c>
      <c r="H176" s="182"/>
      <c r="I176" s="344"/>
      <c r="J176" s="661">
        <v>44012</v>
      </c>
    </row>
    <row r="177" spans="1:10">
      <c r="A177" s="26">
        <v>172</v>
      </c>
      <c r="B177" s="183" t="s">
        <v>775</v>
      </c>
      <c r="C177" s="183" t="s">
        <v>2291</v>
      </c>
      <c r="D177" s="181">
        <v>390</v>
      </c>
      <c r="E177" s="185">
        <v>67673.91</v>
      </c>
      <c r="F177" s="410">
        <f>+'State Allocation Formulas'!C21</f>
        <v>0.75170000000000003</v>
      </c>
      <c r="G177" s="182">
        <f t="shared" si="6"/>
        <v>67673.91</v>
      </c>
      <c r="H177" s="182"/>
      <c r="I177" s="344"/>
      <c r="J177" s="661">
        <v>43900</v>
      </c>
    </row>
    <row r="178" spans="1:10">
      <c r="A178" s="26">
        <v>173</v>
      </c>
      <c r="B178" s="183" t="s">
        <v>775</v>
      </c>
      <c r="C178" s="183" t="s">
        <v>2324</v>
      </c>
      <c r="D178" s="181">
        <v>394</v>
      </c>
      <c r="E178" s="185">
        <v>5955.01</v>
      </c>
      <c r="F178" s="410">
        <f>+'State Allocation Formulas'!C21</f>
        <v>0.75170000000000003</v>
      </c>
      <c r="G178" s="182">
        <f t="shared" si="6"/>
        <v>5955.01</v>
      </c>
      <c r="H178" s="182"/>
      <c r="I178" s="344"/>
      <c r="J178" s="661">
        <v>43891</v>
      </c>
    </row>
    <row r="179" spans="1:10">
      <c r="A179" s="26">
        <v>174</v>
      </c>
      <c r="B179" s="183" t="s">
        <v>775</v>
      </c>
      <c r="C179" s="183" t="s">
        <v>2292</v>
      </c>
      <c r="D179" s="181">
        <v>390</v>
      </c>
      <c r="E179" s="185">
        <v>23392</v>
      </c>
      <c r="F179" s="183"/>
      <c r="G179" s="182">
        <f t="shared" si="6"/>
        <v>23392</v>
      </c>
      <c r="H179" s="182"/>
      <c r="I179" s="344"/>
      <c r="J179" s="661">
        <v>43920</v>
      </c>
    </row>
    <row r="180" spans="1:10">
      <c r="A180" s="26">
        <v>175</v>
      </c>
      <c r="B180" s="183" t="s">
        <v>775</v>
      </c>
      <c r="C180" s="183" t="s">
        <v>2293</v>
      </c>
      <c r="D180" s="181">
        <v>390</v>
      </c>
      <c r="E180" s="185">
        <v>46705.599999999999</v>
      </c>
      <c r="F180" s="183"/>
      <c r="G180" s="182">
        <f t="shared" si="6"/>
        <v>46705.599999999999</v>
      </c>
      <c r="H180" s="182"/>
      <c r="I180" s="344"/>
      <c r="J180" s="661">
        <v>44094</v>
      </c>
    </row>
    <row r="181" spans="1:10">
      <c r="A181" s="26">
        <v>176</v>
      </c>
      <c r="B181" s="183" t="s">
        <v>775</v>
      </c>
      <c r="C181" s="183" t="s">
        <v>2294</v>
      </c>
      <c r="D181" s="181">
        <v>390</v>
      </c>
      <c r="E181" s="185">
        <v>18294</v>
      </c>
      <c r="F181" s="183"/>
      <c r="G181" s="182">
        <f t="shared" si="6"/>
        <v>18294</v>
      </c>
      <c r="H181" s="182"/>
      <c r="I181" s="344"/>
      <c r="J181" s="661">
        <v>44185</v>
      </c>
    </row>
    <row r="182" spans="1:10">
      <c r="A182" s="26">
        <v>177</v>
      </c>
      <c r="B182" s="183" t="s">
        <v>775</v>
      </c>
      <c r="C182" s="183" t="s">
        <v>2295</v>
      </c>
      <c r="D182" s="181">
        <v>390</v>
      </c>
      <c r="E182" s="185">
        <v>13196</v>
      </c>
      <c r="F182" s="183"/>
      <c r="G182" s="182">
        <f t="shared" si="6"/>
        <v>13196</v>
      </c>
      <c r="H182" s="182"/>
      <c r="I182" s="344"/>
      <c r="J182" s="661">
        <v>44014</v>
      </c>
    </row>
    <row r="183" spans="1:10">
      <c r="A183" s="26">
        <v>178</v>
      </c>
      <c r="B183" s="183" t="s">
        <v>775</v>
      </c>
      <c r="C183" s="183" t="s">
        <v>2296</v>
      </c>
      <c r="D183" s="181">
        <v>390</v>
      </c>
      <c r="E183" s="185">
        <v>5607.8</v>
      </c>
      <c r="F183" s="183"/>
      <c r="G183" s="182">
        <f t="shared" si="6"/>
        <v>5607.8</v>
      </c>
      <c r="H183" s="182"/>
      <c r="I183" s="344"/>
      <c r="J183" s="661">
        <v>44124</v>
      </c>
    </row>
    <row r="184" spans="1:10">
      <c r="A184" s="26">
        <v>179</v>
      </c>
      <c r="B184" s="183" t="s">
        <v>775</v>
      </c>
      <c r="C184" s="183" t="s">
        <v>2297</v>
      </c>
      <c r="D184" s="181">
        <v>390</v>
      </c>
      <c r="E184" s="185">
        <v>3958.8</v>
      </c>
      <c r="F184" s="183"/>
      <c r="G184" s="182">
        <f t="shared" si="6"/>
        <v>3958.8</v>
      </c>
      <c r="H184" s="182"/>
      <c r="I184" s="344"/>
      <c r="J184" s="661">
        <v>44141</v>
      </c>
    </row>
    <row r="185" spans="1:10">
      <c r="A185" s="26">
        <v>180</v>
      </c>
      <c r="B185" s="183" t="s">
        <v>775</v>
      </c>
      <c r="C185" s="183" t="s">
        <v>2325</v>
      </c>
      <c r="D185" s="181">
        <v>394</v>
      </c>
      <c r="E185" s="185">
        <v>4282.32</v>
      </c>
      <c r="F185" s="410"/>
      <c r="G185" s="182">
        <f t="shared" si="6"/>
        <v>4282.32</v>
      </c>
      <c r="H185" s="182"/>
      <c r="I185" s="344"/>
      <c r="J185" s="661">
        <v>43956</v>
      </c>
    </row>
    <row r="186" spans="1:10">
      <c r="A186" s="26">
        <v>181</v>
      </c>
      <c r="B186" s="183" t="s">
        <v>775</v>
      </c>
      <c r="C186" s="183" t="s">
        <v>2326</v>
      </c>
      <c r="D186" s="181">
        <v>394</v>
      </c>
      <c r="E186" s="185">
        <v>3059.82</v>
      </c>
      <c r="F186" s="183"/>
      <c r="G186" s="182">
        <f t="shared" si="6"/>
        <v>3059.82</v>
      </c>
      <c r="H186" s="182"/>
      <c r="I186" s="344"/>
      <c r="J186" s="661">
        <v>43956</v>
      </c>
    </row>
    <row r="187" spans="1:10">
      <c r="A187" s="26">
        <v>182</v>
      </c>
      <c r="B187" s="183" t="s">
        <v>775</v>
      </c>
      <c r="C187" s="183" t="s">
        <v>2327</v>
      </c>
      <c r="D187" s="181">
        <v>391</v>
      </c>
      <c r="E187" s="185">
        <v>2447.04</v>
      </c>
      <c r="F187" s="183"/>
      <c r="G187" s="182">
        <f t="shared" si="6"/>
        <v>2447.04</v>
      </c>
      <c r="H187" s="182"/>
      <c r="I187" s="344"/>
      <c r="J187" s="661">
        <v>43931</v>
      </c>
    </row>
    <row r="188" spans="1:10">
      <c r="A188" s="26">
        <v>183</v>
      </c>
      <c r="B188" s="183" t="s">
        <v>775</v>
      </c>
      <c r="C188" s="183" t="s">
        <v>2298</v>
      </c>
      <c r="D188" s="181">
        <v>390</v>
      </c>
      <c r="E188" s="185">
        <v>2039.2</v>
      </c>
      <c r="F188" s="183"/>
      <c r="G188" s="182">
        <f t="shared" si="6"/>
        <v>2039.2</v>
      </c>
      <c r="H188" s="182"/>
      <c r="I188" s="344"/>
      <c r="J188" s="661">
        <v>44155</v>
      </c>
    </row>
    <row r="189" spans="1:10">
      <c r="A189" s="26">
        <v>184</v>
      </c>
      <c r="B189" s="183" t="s">
        <v>775</v>
      </c>
      <c r="C189" s="183" t="s">
        <v>2328</v>
      </c>
      <c r="D189" s="181">
        <v>398</v>
      </c>
      <c r="E189" s="185">
        <v>2039.2</v>
      </c>
      <c r="F189" s="183"/>
      <c r="G189" s="182">
        <f t="shared" si="6"/>
        <v>2039.2</v>
      </c>
      <c r="H189" s="182"/>
      <c r="I189" s="344"/>
      <c r="J189" s="661">
        <v>43997</v>
      </c>
    </row>
    <row r="190" spans="1:10">
      <c r="A190" s="26">
        <v>185</v>
      </c>
      <c r="B190" s="183" t="s">
        <v>775</v>
      </c>
      <c r="C190" s="183" t="s">
        <v>2329</v>
      </c>
      <c r="D190" s="181">
        <v>394</v>
      </c>
      <c r="E190" s="185">
        <v>15905.76</v>
      </c>
      <c r="F190" s="183"/>
      <c r="G190" s="182">
        <f t="shared" si="6"/>
        <v>15905.76</v>
      </c>
      <c r="H190" s="182"/>
      <c r="I190" s="344"/>
      <c r="J190" s="661">
        <v>44140</v>
      </c>
    </row>
    <row r="191" spans="1:10">
      <c r="A191" s="26">
        <v>186</v>
      </c>
      <c r="B191" s="183" t="s">
        <v>775</v>
      </c>
      <c r="C191" s="183" t="s">
        <v>2299</v>
      </c>
      <c r="D191" s="181">
        <v>390</v>
      </c>
      <c r="E191" s="185">
        <f>62904.33+37467.85</f>
        <v>100372.18</v>
      </c>
      <c r="F191" s="410"/>
      <c r="G191" s="182">
        <f t="shared" si="6"/>
        <v>100372.18</v>
      </c>
      <c r="H191" s="182"/>
      <c r="I191" s="344"/>
      <c r="J191" s="661">
        <v>43879</v>
      </c>
    </row>
    <row r="192" spans="1:10">
      <c r="A192" s="26">
        <v>187</v>
      </c>
      <c r="B192" s="183" t="s">
        <v>775</v>
      </c>
      <c r="C192" s="183" t="s">
        <v>2330</v>
      </c>
      <c r="D192" s="181">
        <v>394</v>
      </c>
      <c r="E192" s="185">
        <v>2039.2</v>
      </c>
      <c r="F192" s="410"/>
      <c r="G192" s="182">
        <f t="shared" si="6"/>
        <v>2039.2</v>
      </c>
      <c r="H192" s="182"/>
      <c r="I192" s="344"/>
      <c r="J192" s="661">
        <v>43966</v>
      </c>
    </row>
    <row r="193" spans="1:10">
      <c r="A193" s="26">
        <v>188</v>
      </c>
      <c r="B193" s="183" t="s">
        <v>775</v>
      </c>
      <c r="C193" s="183" t="s">
        <v>2300</v>
      </c>
      <c r="D193" s="181">
        <v>394</v>
      </c>
      <c r="E193" s="185">
        <v>5534.02</v>
      </c>
      <c r="F193" s="410">
        <f>+'State Allocation Formulas'!C21</f>
        <v>0.75170000000000003</v>
      </c>
      <c r="G193" s="182">
        <f t="shared" si="6"/>
        <v>5534.02</v>
      </c>
      <c r="H193" s="182"/>
      <c r="I193" s="344"/>
      <c r="J193" s="661">
        <v>43845</v>
      </c>
    </row>
    <row r="194" spans="1:10">
      <c r="A194" s="26">
        <v>189</v>
      </c>
      <c r="B194" s="183" t="s">
        <v>775</v>
      </c>
      <c r="C194" s="183" t="s">
        <v>2301</v>
      </c>
      <c r="D194" s="181">
        <v>394</v>
      </c>
      <c r="E194" s="185">
        <v>6159.1</v>
      </c>
      <c r="F194" s="183"/>
      <c r="G194" s="182">
        <f t="shared" si="6"/>
        <v>6159.1</v>
      </c>
      <c r="H194" s="182"/>
      <c r="I194" s="344"/>
      <c r="J194" s="661">
        <v>43890</v>
      </c>
    </row>
    <row r="195" spans="1:10">
      <c r="A195" s="26">
        <v>190</v>
      </c>
      <c r="B195" s="412"/>
      <c r="C195" s="413" t="s">
        <v>774</v>
      </c>
      <c r="D195" s="186"/>
      <c r="E195" s="414">
        <f>SUM(E147:E194)</f>
        <v>4122994.1699999995</v>
      </c>
      <c r="F195" s="412"/>
      <c r="G195" s="415">
        <f>SUM(G147:G194)</f>
        <v>4122994.1699999995</v>
      </c>
      <c r="H195" s="415">
        <f>SUM(H147:H194)</f>
        <v>1064539.08</v>
      </c>
      <c r="I195" s="416"/>
      <c r="J195" s="845"/>
    </row>
    <row r="196" spans="1:10">
      <c r="B196" s="412"/>
      <c r="C196" s="412"/>
      <c r="D196" s="184"/>
      <c r="E196" s="185"/>
      <c r="F196" s="412"/>
      <c r="G196" s="419"/>
      <c r="H196" s="419"/>
      <c r="I196" s="416"/>
      <c r="J196" s="845"/>
    </row>
    <row r="197" spans="1:10">
      <c r="B197" s="412"/>
      <c r="C197" s="413"/>
      <c r="D197" s="184"/>
      <c r="E197" s="185"/>
      <c r="F197" s="412"/>
      <c r="G197" s="419"/>
      <c r="H197" s="419"/>
      <c r="I197" s="416"/>
      <c r="J197" s="845"/>
    </row>
    <row r="198" spans="1:10">
      <c r="B198" s="412"/>
      <c r="C198" s="412"/>
      <c r="D198" s="184"/>
      <c r="E198" s="185"/>
      <c r="F198" s="412"/>
      <c r="G198" s="419"/>
      <c r="H198" s="419"/>
      <c r="I198" s="412"/>
      <c r="J198" s="845"/>
    </row>
    <row r="199" spans="1:10" ht="16.5" thickBot="1">
      <c r="A199" s="26">
        <v>191</v>
      </c>
      <c r="B199" s="412"/>
      <c r="C199" s="413" t="s">
        <v>58</v>
      </c>
      <c r="D199" s="186"/>
      <c r="E199" s="414">
        <f>E30+E146+E195</f>
        <v>107587702.26999998</v>
      </c>
      <c r="F199" s="412"/>
      <c r="G199" s="420">
        <f>G30+G146+G195</f>
        <v>107165228.90033099</v>
      </c>
      <c r="H199" s="421">
        <f>H30+H146+H195</f>
        <v>66105637.284975991</v>
      </c>
      <c r="I199" s="412"/>
      <c r="J199" s="847"/>
    </row>
    <row r="200" spans="1:10" ht="16.5" thickTop="1">
      <c r="B200" s="412"/>
      <c r="C200" s="412"/>
      <c r="D200" s="184"/>
      <c r="E200" s="185"/>
      <c r="F200" s="412"/>
      <c r="G200" s="419"/>
      <c r="H200" s="412"/>
      <c r="I200" s="412"/>
      <c r="J200" s="846"/>
    </row>
    <row r="201" spans="1:10">
      <c r="B201" s="412"/>
      <c r="C201" s="413"/>
      <c r="D201" s="184"/>
      <c r="E201" s="185"/>
      <c r="F201" s="412"/>
      <c r="G201" s="419"/>
      <c r="H201" s="412"/>
      <c r="I201" s="412"/>
      <c r="J201" s="848"/>
    </row>
    <row r="202" spans="1:10">
      <c r="B202" s="183"/>
      <c r="C202" s="183"/>
      <c r="D202" s="181"/>
      <c r="E202" s="181"/>
      <c r="F202" s="183"/>
      <c r="G202" s="183"/>
      <c r="H202" s="182"/>
      <c r="I202" s="183"/>
      <c r="J202" s="849"/>
    </row>
    <row r="203" spans="1:10">
      <c r="A203" s="26">
        <v>192</v>
      </c>
      <c r="B203" s="183" t="s">
        <v>777</v>
      </c>
      <c r="C203" s="183"/>
      <c r="D203" s="181"/>
      <c r="E203" s="181"/>
      <c r="F203" s="183"/>
      <c r="G203" s="418"/>
      <c r="H203" s="183"/>
      <c r="I203" s="183"/>
      <c r="J203" s="849"/>
    </row>
    <row r="204" spans="1:10">
      <c r="A204" s="26">
        <v>193</v>
      </c>
      <c r="B204" s="422"/>
      <c r="C204" s="183"/>
      <c r="D204" s="181"/>
      <c r="E204" s="181"/>
      <c r="F204" s="183"/>
      <c r="G204" s="344" t="s">
        <v>780</v>
      </c>
      <c r="H204" s="344" t="s">
        <v>1297</v>
      </c>
      <c r="I204" s="344" t="s">
        <v>1095</v>
      </c>
      <c r="J204" s="850" t="s">
        <v>778</v>
      </c>
    </row>
    <row r="205" spans="1:10">
      <c r="A205" s="26">
        <v>194</v>
      </c>
      <c r="B205" s="344" t="s">
        <v>802</v>
      </c>
      <c r="C205" s="183" t="s">
        <v>746</v>
      </c>
      <c r="D205" s="181">
        <f>SUMIF(I8:I194,B205,G8:G194)</f>
        <v>12762873.219999999</v>
      </c>
      <c r="F205" s="183"/>
      <c r="G205" s="344" t="s">
        <v>781</v>
      </c>
      <c r="H205" s="344" t="s">
        <v>380</v>
      </c>
      <c r="I205" s="26" t="s">
        <v>1096</v>
      </c>
      <c r="J205" s="850" t="s">
        <v>779</v>
      </c>
    </row>
    <row r="206" spans="1:10">
      <c r="A206" s="26">
        <v>195</v>
      </c>
      <c r="B206" s="344"/>
      <c r="C206" s="422"/>
      <c r="D206" s="181"/>
      <c r="E206" s="181"/>
      <c r="F206" s="183"/>
      <c r="G206" s="183">
        <v>303</v>
      </c>
      <c r="H206" s="182">
        <f>+H30</f>
        <v>12866642.449999999</v>
      </c>
      <c r="I206" s="183">
        <v>12.81</v>
      </c>
      <c r="J206" s="859">
        <f>+H206*I206/100</f>
        <v>1648216.897845</v>
      </c>
    </row>
    <row r="207" spans="1:10">
      <c r="A207" s="26">
        <v>196</v>
      </c>
      <c r="B207" s="422"/>
      <c r="F207" s="183"/>
      <c r="G207" s="183">
        <v>367</v>
      </c>
      <c r="H207" s="182">
        <f t="shared" ref="H207:H221" si="7">+SUMIF($D$34:$D$194,G207,$H$34:$H$194)</f>
        <v>0</v>
      </c>
      <c r="I207" s="183">
        <v>1.82</v>
      </c>
      <c r="J207" s="859">
        <f t="shared" ref="J207:J221" si="8">+H207*I207/100</f>
        <v>0</v>
      </c>
    </row>
    <row r="208" spans="1:10">
      <c r="A208" s="26">
        <v>197</v>
      </c>
      <c r="B208" s="422"/>
      <c r="C208" s="422"/>
      <c r="D208" s="181"/>
      <c r="E208" s="181"/>
      <c r="F208" s="183"/>
      <c r="G208" s="183">
        <v>374</v>
      </c>
      <c r="H208" s="182">
        <f t="shared" si="7"/>
        <v>0</v>
      </c>
      <c r="I208" s="183">
        <v>1.88</v>
      </c>
      <c r="J208" s="859">
        <f t="shared" si="8"/>
        <v>0</v>
      </c>
    </row>
    <row r="209" spans="1:11">
      <c r="A209" s="26">
        <v>198</v>
      </c>
      <c r="B209" s="422"/>
      <c r="C209" s="183"/>
      <c r="D209" s="181"/>
      <c r="E209" s="181"/>
      <c r="F209" s="183"/>
      <c r="G209" s="183">
        <v>376</v>
      </c>
      <c r="H209" s="182">
        <f t="shared" si="7"/>
        <v>32435932.019999992</v>
      </c>
      <c r="I209" s="183">
        <v>1.25</v>
      </c>
      <c r="J209" s="859">
        <f t="shared" si="8"/>
        <v>405449.15024999989</v>
      </c>
    </row>
    <row r="210" spans="1:11">
      <c r="A210" s="26">
        <v>199</v>
      </c>
      <c r="B210" s="422"/>
      <c r="C210" s="183"/>
      <c r="D210" s="181"/>
      <c r="E210" s="181"/>
      <c r="F210" s="183"/>
      <c r="G210" s="183">
        <v>378</v>
      </c>
      <c r="H210" s="182">
        <f t="shared" si="7"/>
        <v>4603625.6000000006</v>
      </c>
      <c r="I210" s="183">
        <v>1.92</v>
      </c>
      <c r="J210" s="859">
        <f t="shared" si="8"/>
        <v>88389.611520000006</v>
      </c>
    </row>
    <row r="211" spans="1:11">
      <c r="A211" s="26">
        <v>200</v>
      </c>
      <c r="B211" s="422"/>
      <c r="C211" s="183"/>
      <c r="D211" s="181"/>
      <c r="E211" s="181"/>
      <c r="F211" s="183"/>
      <c r="G211" s="183">
        <v>380</v>
      </c>
      <c r="H211" s="182">
        <f t="shared" si="7"/>
        <v>12188846.560000001</v>
      </c>
      <c r="I211" s="183">
        <v>3.88</v>
      </c>
      <c r="J211" s="859">
        <f t="shared" si="8"/>
        <v>472927.24652799999</v>
      </c>
    </row>
    <row r="212" spans="1:11">
      <c r="A212" s="26">
        <v>201</v>
      </c>
      <c r="B212" s="422"/>
      <c r="C212" s="183"/>
      <c r="D212" s="181"/>
      <c r="E212" s="181"/>
      <c r="F212" s="183"/>
      <c r="G212" s="183">
        <v>381</v>
      </c>
      <c r="H212" s="182">
        <f t="shared" si="7"/>
        <v>2946051.574976</v>
      </c>
      <c r="I212" s="183">
        <v>2.27</v>
      </c>
      <c r="J212" s="859">
        <f t="shared" si="8"/>
        <v>66875.370751955197</v>
      </c>
    </row>
    <row r="213" spans="1:11">
      <c r="A213" s="26">
        <v>202</v>
      </c>
      <c r="B213" s="422"/>
      <c r="C213" s="183"/>
      <c r="D213" s="181"/>
      <c r="E213" s="181"/>
      <c r="F213" s="183"/>
      <c r="G213" s="183">
        <v>382</v>
      </c>
      <c r="H213" s="182">
        <f t="shared" si="7"/>
        <v>0</v>
      </c>
      <c r="I213" s="183">
        <v>1.86</v>
      </c>
      <c r="J213" s="859">
        <f t="shared" si="8"/>
        <v>0</v>
      </c>
    </row>
    <row r="214" spans="1:11">
      <c r="A214" s="26">
        <v>203</v>
      </c>
      <c r="B214" s="183"/>
      <c r="C214" s="183"/>
      <c r="D214" s="181"/>
      <c r="E214" s="181"/>
      <c r="F214" s="183"/>
      <c r="G214" s="24">
        <v>383</v>
      </c>
      <c r="H214" s="182">
        <f t="shared" si="7"/>
        <v>0</v>
      </c>
      <c r="I214" s="24">
        <v>2.3199999999999998</v>
      </c>
      <c r="J214" s="859">
        <f t="shared" si="8"/>
        <v>0</v>
      </c>
    </row>
    <row r="215" spans="1:11">
      <c r="A215" s="26">
        <v>204</v>
      </c>
      <c r="B215" s="183"/>
      <c r="C215" s="183"/>
      <c r="D215" s="181"/>
      <c r="E215" s="181"/>
      <c r="F215" s="183"/>
      <c r="G215" s="183">
        <v>385</v>
      </c>
      <c r="H215" s="182">
        <f t="shared" si="7"/>
        <v>0</v>
      </c>
      <c r="I215" s="183">
        <v>2.1800000000000002</v>
      </c>
      <c r="J215" s="859">
        <f t="shared" si="8"/>
        <v>0</v>
      </c>
    </row>
    <row r="216" spans="1:11">
      <c r="A216" s="26">
        <v>205</v>
      </c>
      <c r="B216" s="183"/>
      <c r="C216" s="183"/>
      <c r="D216" s="181"/>
      <c r="E216" s="181"/>
      <c r="F216" s="183"/>
      <c r="G216" s="183">
        <v>390</v>
      </c>
      <c r="H216" s="182">
        <f t="shared" si="7"/>
        <v>1064539.08</v>
      </c>
      <c r="I216" s="183">
        <v>1.24</v>
      </c>
      <c r="J216" s="859">
        <f t="shared" si="8"/>
        <v>13200.284592000002</v>
      </c>
    </row>
    <row r="217" spans="1:11">
      <c r="A217" s="26">
        <v>206</v>
      </c>
      <c r="B217" s="183"/>
      <c r="C217" s="183"/>
      <c r="D217" s="181"/>
      <c r="E217" s="181"/>
      <c r="F217" s="183"/>
      <c r="G217" s="183">
        <v>391</v>
      </c>
      <c r="H217" s="182">
        <f t="shared" si="7"/>
        <v>0</v>
      </c>
      <c r="I217" s="183">
        <v>0.05</v>
      </c>
      <c r="J217" s="859">
        <f t="shared" si="8"/>
        <v>0</v>
      </c>
    </row>
    <row r="218" spans="1:11">
      <c r="A218" s="26">
        <v>207</v>
      </c>
      <c r="B218" s="183"/>
      <c r="C218" s="183"/>
      <c r="D218" s="181"/>
      <c r="E218" s="181"/>
      <c r="F218" s="183"/>
      <c r="G218" s="183">
        <v>392</v>
      </c>
      <c r="H218" s="182">
        <f t="shared" si="7"/>
        <v>0</v>
      </c>
      <c r="I218" s="183">
        <v>6.15</v>
      </c>
      <c r="J218" s="859">
        <f t="shared" si="8"/>
        <v>0</v>
      </c>
    </row>
    <row r="219" spans="1:11">
      <c r="A219" s="26">
        <v>208</v>
      </c>
      <c r="B219" s="183"/>
      <c r="C219" s="183"/>
      <c r="D219" s="181"/>
      <c r="E219" s="181"/>
      <c r="F219" s="183"/>
      <c r="G219" s="183">
        <v>394</v>
      </c>
      <c r="H219" s="182">
        <f t="shared" si="7"/>
        <v>0</v>
      </c>
      <c r="I219" s="183">
        <v>3.56</v>
      </c>
      <c r="J219" s="859">
        <f t="shared" si="8"/>
        <v>0</v>
      </c>
    </row>
    <row r="220" spans="1:11">
      <c r="A220" s="26">
        <v>209</v>
      </c>
      <c r="B220" s="183"/>
      <c r="C220" s="183"/>
      <c r="D220" s="181"/>
      <c r="E220" s="181"/>
      <c r="F220" s="183"/>
      <c r="G220" s="183">
        <v>396</v>
      </c>
      <c r="H220" s="182">
        <f t="shared" si="7"/>
        <v>0</v>
      </c>
      <c r="I220" s="183">
        <v>5.18</v>
      </c>
      <c r="J220" s="859">
        <f t="shared" si="8"/>
        <v>0</v>
      </c>
    </row>
    <row r="221" spans="1:11">
      <c r="A221" s="26">
        <v>210</v>
      </c>
      <c r="B221" s="183"/>
      <c r="C221" s="183"/>
      <c r="D221" s="181"/>
      <c r="E221" s="181"/>
      <c r="F221" s="183"/>
      <c r="G221" s="183">
        <v>397</v>
      </c>
      <c r="H221" s="182">
        <f t="shared" si="7"/>
        <v>0</v>
      </c>
      <c r="I221" s="183">
        <v>0.13</v>
      </c>
      <c r="J221" s="859">
        <f t="shared" si="8"/>
        <v>0</v>
      </c>
    </row>
    <row r="222" spans="1:11">
      <c r="A222" s="26">
        <v>211</v>
      </c>
      <c r="B222" s="183"/>
      <c r="C222" s="183"/>
      <c r="D222" s="181"/>
      <c r="E222" s="181"/>
      <c r="F222" s="183" t="s">
        <v>660</v>
      </c>
      <c r="G222" s="183"/>
      <c r="H222" s="182">
        <f>SUM(H206:H221)</f>
        <v>66105637.284975991</v>
      </c>
      <c r="I222" s="183"/>
      <c r="J222" s="859">
        <f>SUM(J206:J221)</f>
        <v>2695058.5614869548</v>
      </c>
      <c r="K222" s="24">
        <f>+J222/H222</f>
        <v>4.0768967249627711E-2</v>
      </c>
    </row>
    <row r="223" spans="1:11">
      <c r="A223" s="26">
        <v>212</v>
      </c>
      <c r="B223" s="183"/>
      <c r="C223" s="183"/>
      <c r="D223" s="181"/>
      <c r="E223" s="181"/>
      <c r="F223" s="183"/>
      <c r="G223" s="183"/>
      <c r="H223" s="183"/>
      <c r="I223" s="183"/>
      <c r="J223" s="849"/>
    </row>
    <row r="224" spans="1:11">
      <c r="A224" s="26">
        <v>213</v>
      </c>
      <c r="B224" s="183"/>
      <c r="C224" s="183"/>
      <c r="D224" s="181"/>
      <c r="E224" s="181"/>
      <c r="F224" s="183"/>
      <c r="G224" s="183"/>
      <c r="H224" s="182">
        <f>+H199-H222</f>
        <v>0</v>
      </c>
      <c r="I224" s="183"/>
      <c r="J224" s="849"/>
    </row>
  </sheetData>
  <autoFilter ref="A7:K195" xr:uid="{C511B5CD-DFEA-4E3B-94E5-BC8C4837758E}"/>
  <sortState xmlns:xlrd2="http://schemas.microsoft.com/office/spreadsheetml/2017/richdata2" ref="B34:J145">
    <sortCondition ref="C34:C145"/>
  </sortState>
  <mergeCells count="4">
    <mergeCell ref="C1:I1"/>
    <mergeCell ref="C2:I2"/>
    <mergeCell ref="C3:I3"/>
    <mergeCell ref="C4:I4"/>
  </mergeCells>
  <pageMargins left="0.7" right="0.7" top="0.75" bottom="0.75" header="0.3" footer="0.3"/>
  <pageSetup scale="43" fitToHeight="0" orientation="portrait" useFirstPageNumber="1" r:id="rId1"/>
  <headerFooter scaleWithDoc="0" alignWithMargins="0">
    <oddHeader>&amp;RDocket No. UG-20___
Exhibit _____ (MCP-6)
Page &amp;P of 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105"/>
  <sheetViews>
    <sheetView topLeftCell="A22" zoomScaleNormal="100" zoomScaleSheetLayoutView="90" workbookViewId="0">
      <selection activeCell="C15" sqref="C15"/>
    </sheetView>
  </sheetViews>
  <sheetFormatPr defaultRowHeight="15.75"/>
  <cols>
    <col min="1" max="1" width="5.85546875" style="6" bestFit="1" customWidth="1"/>
    <col min="2" max="2" width="17.28515625" style="6" bestFit="1" customWidth="1"/>
    <col min="3" max="3" width="99" style="4" customWidth="1"/>
    <col min="4" max="16384" width="9.140625" style="4"/>
  </cols>
  <sheetData>
    <row r="1" spans="1:5">
      <c r="A1" s="907" t="s">
        <v>783</v>
      </c>
      <c r="B1" s="907"/>
      <c r="C1" s="907"/>
      <c r="D1" s="3"/>
      <c r="E1" s="3"/>
    </row>
    <row r="2" spans="1:5">
      <c r="A2" s="907" t="s">
        <v>790</v>
      </c>
      <c r="B2" s="907"/>
      <c r="C2" s="907"/>
      <c r="D2" s="3"/>
      <c r="E2" s="3"/>
    </row>
    <row r="3" spans="1:5">
      <c r="A3" s="907" t="s">
        <v>1987</v>
      </c>
      <c r="B3" s="907"/>
      <c r="C3" s="907"/>
      <c r="D3" s="3"/>
      <c r="E3" s="3"/>
    </row>
    <row r="4" spans="1:5">
      <c r="A4" s="12"/>
      <c r="B4" s="12"/>
      <c r="C4" s="5"/>
      <c r="D4" s="5"/>
      <c r="E4" s="5"/>
    </row>
    <row r="5" spans="1:5">
      <c r="A5" s="13"/>
      <c r="B5" s="13"/>
      <c r="C5" s="14"/>
    </row>
    <row r="6" spans="1:5">
      <c r="A6" s="10" t="s">
        <v>782</v>
      </c>
      <c r="B6" s="10" t="s">
        <v>1826</v>
      </c>
      <c r="C6" s="10" t="s">
        <v>2458</v>
      </c>
    </row>
    <row r="8" spans="1:5" s="24" customFormat="1" ht="47.25">
      <c r="A8" s="836">
        <v>1</v>
      </c>
      <c r="B8" s="836">
        <v>300233</v>
      </c>
      <c r="C8" s="860" t="s">
        <v>2472</v>
      </c>
    </row>
    <row r="9" spans="1:5" s="24" customFormat="1">
      <c r="A9" s="836"/>
      <c r="B9" s="836"/>
    </row>
    <row r="10" spans="1:5" s="24" customFormat="1" ht="63">
      <c r="A10" s="836">
        <v>2</v>
      </c>
      <c r="B10" s="836">
        <v>302596</v>
      </c>
      <c r="C10" s="860" t="s">
        <v>2468</v>
      </c>
    </row>
    <row r="11" spans="1:5" s="24" customFormat="1">
      <c r="A11" s="836"/>
      <c r="B11" s="836"/>
      <c r="C11" s="9"/>
    </row>
    <row r="12" spans="1:5" s="24" customFormat="1">
      <c r="A12" s="836">
        <v>3</v>
      </c>
      <c r="B12" s="836">
        <v>306988</v>
      </c>
      <c r="C12" s="24" t="s">
        <v>2467</v>
      </c>
    </row>
    <row r="13" spans="1:5" s="24" customFormat="1">
      <c r="A13" s="836"/>
      <c r="B13" s="836"/>
    </row>
    <row r="14" spans="1:5" s="24" customFormat="1" ht="63">
      <c r="A14" s="836">
        <v>4</v>
      </c>
      <c r="B14" s="836">
        <v>306998</v>
      </c>
      <c r="C14" s="841" t="s">
        <v>2460</v>
      </c>
    </row>
    <row r="15" spans="1:5" s="24" customFormat="1">
      <c r="A15" s="836"/>
      <c r="B15" s="836"/>
      <c r="C15" s="841"/>
    </row>
    <row r="16" spans="1:5" s="24" customFormat="1" ht="47.25">
      <c r="A16" s="836">
        <v>5</v>
      </c>
      <c r="B16" s="836">
        <v>316429</v>
      </c>
      <c r="C16" s="860" t="s">
        <v>2474</v>
      </c>
    </row>
    <row r="17" spans="1:3" s="24" customFormat="1">
      <c r="A17" s="836"/>
      <c r="B17" s="836"/>
      <c r="C17" s="462"/>
    </row>
    <row r="18" spans="1:3" s="24" customFormat="1">
      <c r="A18" s="836">
        <v>6</v>
      </c>
      <c r="B18" s="836">
        <v>316586</v>
      </c>
      <c r="C18" s="9" t="s">
        <v>2473</v>
      </c>
    </row>
    <row r="19" spans="1:3" s="24" customFormat="1">
      <c r="A19" s="836"/>
      <c r="B19" s="836"/>
      <c r="C19" s="9"/>
    </row>
    <row r="20" spans="1:3" s="24" customFormat="1">
      <c r="A20" s="836">
        <v>7</v>
      </c>
      <c r="B20" s="836">
        <v>316587</v>
      </c>
      <c r="C20" s="860" t="s">
        <v>2469</v>
      </c>
    </row>
    <row r="21" spans="1:3" s="24" customFormat="1">
      <c r="A21" s="836"/>
      <c r="B21" s="836"/>
      <c r="C21" s="462"/>
    </row>
    <row r="22" spans="1:3" s="24" customFormat="1">
      <c r="A22" s="836">
        <v>8</v>
      </c>
      <c r="B22" s="836">
        <v>316589</v>
      </c>
      <c r="C22" s="494" t="s">
        <v>2467</v>
      </c>
    </row>
    <row r="23" spans="1:3" s="24" customFormat="1">
      <c r="A23" s="836"/>
      <c r="B23" s="836"/>
      <c r="C23" s="494"/>
    </row>
    <row r="24" spans="1:3" s="24" customFormat="1">
      <c r="A24" s="836">
        <v>9</v>
      </c>
      <c r="B24" s="836">
        <v>316670</v>
      </c>
      <c r="C24" s="860" t="s">
        <v>2469</v>
      </c>
    </row>
    <row r="25" spans="1:3" s="24" customFormat="1">
      <c r="A25" s="836"/>
      <c r="B25" s="836"/>
    </row>
    <row r="26" spans="1:3" s="24" customFormat="1" ht="47.25">
      <c r="A26" s="836">
        <v>10</v>
      </c>
      <c r="B26" s="836">
        <v>317060</v>
      </c>
      <c r="C26" s="860" t="s">
        <v>2466</v>
      </c>
    </row>
    <row r="27" spans="1:3">
      <c r="A27" s="11"/>
      <c r="B27" s="836"/>
      <c r="C27" s="462"/>
    </row>
    <row r="28" spans="1:3" s="24" customFormat="1">
      <c r="A28" s="836">
        <v>11</v>
      </c>
      <c r="B28" s="836">
        <v>317322</v>
      </c>
      <c r="C28" s="860" t="s">
        <v>2473</v>
      </c>
    </row>
    <row r="29" spans="1:3" s="24" customFormat="1">
      <c r="A29" s="836"/>
      <c r="B29" s="836"/>
    </row>
    <row r="30" spans="1:3" s="24" customFormat="1">
      <c r="A30" s="836">
        <v>12</v>
      </c>
      <c r="B30" s="836">
        <v>317535</v>
      </c>
      <c r="C30" s="860" t="s">
        <v>2469</v>
      </c>
    </row>
    <row r="31" spans="1:3" s="24" customFormat="1">
      <c r="A31" s="836"/>
      <c r="B31" s="836"/>
      <c r="C31" s="462"/>
    </row>
    <row r="32" spans="1:3" s="24" customFormat="1" ht="47.25">
      <c r="A32" s="836">
        <v>13</v>
      </c>
      <c r="B32" s="836">
        <v>318352</v>
      </c>
      <c r="C32" s="9" t="s">
        <v>2462</v>
      </c>
    </row>
    <row r="33" spans="1:3" s="24" customFormat="1">
      <c r="A33" s="836"/>
      <c r="B33" s="836"/>
      <c r="C33" s="9"/>
    </row>
    <row r="34" spans="1:3" s="24" customFormat="1" ht="47.25">
      <c r="A34" s="836">
        <v>14</v>
      </c>
      <c r="B34" s="836">
        <v>318482</v>
      </c>
      <c r="C34" s="860" t="s">
        <v>2465</v>
      </c>
    </row>
    <row r="35" spans="1:3" s="24" customFormat="1">
      <c r="A35" s="836"/>
      <c r="B35" s="836"/>
      <c r="C35" s="462"/>
    </row>
    <row r="36" spans="1:3" s="24" customFormat="1" ht="31.5">
      <c r="A36" s="836">
        <v>15</v>
      </c>
      <c r="B36" s="836">
        <v>318566</v>
      </c>
      <c r="C36" s="860" t="s">
        <v>2463</v>
      </c>
    </row>
    <row r="37" spans="1:3" s="24" customFormat="1">
      <c r="A37" s="836"/>
      <c r="B37" s="836"/>
    </row>
    <row r="38" spans="1:3" s="24" customFormat="1" ht="47.25">
      <c r="A38" s="836">
        <v>16</v>
      </c>
      <c r="B38" s="836">
        <v>318588</v>
      </c>
      <c r="C38" s="860" t="s">
        <v>2475</v>
      </c>
    </row>
    <row r="39" spans="1:3" s="24" customFormat="1">
      <c r="A39" s="836"/>
      <c r="B39" s="836"/>
      <c r="C39" s="462"/>
    </row>
    <row r="40" spans="1:3" s="24" customFormat="1" ht="47.25">
      <c r="A40" s="836">
        <v>17</v>
      </c>
      <c r="B40" s="836">
        <v>318690</v>
      </c>
      <c r="C40" s="860" t="s">
        <v>2461</v>
      </c>
    </row>
    <row r="41" spans="1:3" s="24" customFormat="1">
      <c r="A41" s="836"/>
      <c r="B41" s="836"/>
      <c r="C41" s="462"/>
    </row>
    <row r="42" spans="1:3" s="24" customFormat="1" ht="63">
      <c r="A42" s="836">
        <v>18</v>
      </c>
      <c r="B42" s="836">
        <v>318742</v>
      </c>
      <c r="C42" s="860" t="s">
        <v>2464</v>
      </c>
    </row>
    <row r="43" spans="1:3" s="24" customFormat="1">
      <c r="A43" s="836"/>
      <c r="B43" s="836"/>
      <c r="C43" s="462"/>
    </row>
    <row r="44" spans="1:3" s="24" customFormat="1">
      <c r="A44" s="836">
        <v>19</v>
      </c>
      <c r="B44" s="836">
        <v>318746</v>
      </c>
      <c r="C44" s="24" t="s">
        <v>2467</v>
      </c>
    </row>
    <row r="45" spans="1:3" s="24" customFormat="1">
      <c r="A45" s="836"/>
      <c r="B45" s="836"/>
    </row>
    <row r="46" spans="1:3" s="24" customFormat="1">
      <c r="A46" s="836">
        <v>20</v>
      </c>
      <c r="B46" s="836">
        <v>318747</v>
      </c>
      <c r="C46" s="24" t="s">
        <v>2467</v>
      </c>
    </row>
    <row r="47" spans="1:3" s="24" customFormat="1">
      <c r="A47" s="836"/>
      <c r="B47" s="836"/>
    </row>
    <row r="48" spans="1:3" s="24" customFormat="1">
      <c r="A48" s="836">
        <v>21</v>
      </c>
      <c r="B48" s="836">
        <v>318808</v>
      </c>
      <c r="C48" s="860" t="s">
        <v>2471</v>
      </c>
    </row>
    <row r="49" spans="1:3" s="24" customFormat="1">
      <c r="A49" s="836"/>
      <c r="B49" s="836"/>
      <c r="C49" s="8"/>
    </row>
    <row r="50" spans="1:3" s="24" customFormat="1">
      <c r="A50" s="836">
        <v>22</v>
      </c>
      <c r="B50" s="836">
        <v>318829</v>
      </c>
      <c r="C50" s="860" t="s">
        <v>2471</v>
      </c>
    </row>
    <row r="51" spans="1:3">
      <c r="A51" s="11"/>
      <c r="B51" s="11"/>
      <c r="C51" s="8"/>
    </row>
    <row r="52" spans="1:3" s="24" customFormat="1" ht="47.25">
      <c r="A52" s="836">
        <v>23</v>
      </c>
      <c r="B52" s="836">
        <v>318987</v>
      </c>
      <c r="C52" s="860" t="s">
        <v>2470</v>
      </c>
    </row>
    <row r="53" spans="1:3">
      <c r="A53" s="11"/>
      <c r="B53" s="26"/>
      <c r="C53" s="462"/>
    </row>
    <row r="54" spans="1:3" s="24" customFormat="1" ht="31.5">
      <c r="A54" s="836">
        <v>24</v>
      </c>
      <c r="B54" s="836">
        <v>319056</v>
      </c>
      <c r="C54" s="860" t="s">
        <v>2477</v>
      </c>
    </row>
    <row r="55" spans="1:3" s="24" customFormat="1">
      <c r="A55" s="836"/>
      <c r="B55" s="836"/>
      <c r="C55" s="462"/>
    </row>
    <row r="56" spans="1:3" s="24" customFormat="1" ht="31.5">
      <c r="A56" s="836">
        <v>25</v>
      </c>
      <c r="B56" s="836">
        <v>319063</v>
      </c>
      <c r="C56" s="860" t="s">
        <v>2476</v>
      </c>
    </row>
    <row r="57" spans="1:3">
      <c r="A57" s="11"/>
      <c r="B57" s="836"/>
      <c r="C57" s="9"/>
    </row>
    <row r="58" spans="1:3" s="24" customFormat="1" ht="63">
      <c r="A58" s="836">
        <v>26</v>
      </c>
      <c r="B58" s="836">
        <v>319072</v>
      </c>
      <c r="C58" s="9" t="s">
        <v>2459</v>
      </c>
    </row>
    <row r="59" spans="1:3" s="24" customFormat="1">
      <c r="A59" s="836"/>
      <c r="B59" s="836"/>
      <c r="C59" s="9"/>
    </row>
    <row r="60" spans="1:3" s="24" customFormat="1" ht="47.25">
      <c r="A60" s="836">
        <v>27</v>
      </c>
      <c r="B60" s="839" t="s">
        <v>2449</v>
      </c>
      <c r="C60" s="860" t="s">
        <v>2452</v>
      </c>
    </row>
    <row r="61" spans="1:3" s="24" customFormat="1">
      <c r="A61" s="836"/>
    </row>
    <row r="62" spans="1:3" s="24" customFormat="1" ht="47.25">
      <c r="A62" s="836">
        <v>28</v>
      </c>
      <c r="B62" s="11" t="s">
        <v>2450</v>
      </c>
      <c r="C62" s="860" t="s">
        <v>2451</v>
      </c>
    </row>
    <row r="63" spans="1:3" s="24" customFormat="1">
      <c r="A63" s="836"/>
    </row>
    <row r="64" spans="1:3" s="24" customFormat="1">
      <c r="A64" s="836"/>
    </row>
    <row r="65" spans="1:3" s="24" customFormat="1">
      <c r="A65" s="836"/>
      <c r="B65" s="836"/>
      <c r="C65" s="9"/>
    </row>
    <row r="66" spans="1:3" s="24" customFormat="1">
      <c r="A66" s="836"/>
      <c r="B66" s="836"/>
      <c r="C66" s="462"/>
    </row>
    <row r="67" spans="1:3" s="24" customFormat="1">
      <c r="A67" s="836"/>
      <c r="B67" s="836"/>
      <c r="C67" s="462"/>
    </row>
    <row r="68" spans="1:3" s="24" customFormat="1">
      <c r="A68" s="836"/>
      <c r="B68" s="836"/>
      <c r="C68" s="462"/>
    </row>
    <row r="69" spans="1:3" s="24" customFormat="1">
      <c r="A69" s="836"/>
      <c r="B69" s="836"/>
      <c r="C69" s="462"/>
    </row>
    <row r="70" spans="1:3" s="24" customFormat="1">
      <c r="A70" s="836"/>
      <c r="B70" s="11"/>
      <c r="C70" s="7"/>
    </row>
    <row r="71" spans="1:3" s="24" customFormat="1">
      <c r="A71" s="836"/>
      <c r="B71" s="836"/>
      <c r="C71" s="840"/>
    </row>
    <row r="72" spans="1:3" s="24" customFormat="1">
      <c r="A72" s="836"/>
      <c r="B72" s="836"/>
      <c r="C72" s="494"/>
    </row>
    <row r="73" spans="1:3" s="24" customFormat="1">
      <c r="A73" s="836"/>
      <c r="B73" s="836"/>
      <c r="C73" s="462"/>
    </row>
    <row r="74" spans="1:3" s="24" customFormat="1">
      <c r="A74" s="836"/>
      <c r="B74" s="836"/>
      <c r="C74" s="462"/>
    </row>
    <row r="75" spans="1:3" s="24" customFormat="1">
      <c r="A75" s="836"/>
      <c r="B75" s="836"/>
      <c r="C75" s="462"/>
    </row>
    <row r="76" spans="1:3" s="24" customFormat="1">
      <c r="A76" s="836"/>
      <c r="B76" s="836"/>
      <c r="C76" s="462"/>
    </row>
    <row r="77" spans="1:3" s="24" customFormat="1">
      <c r="A77" s="836"/>
      <c r="B77" s="11"/>
      <c r="C77" s="8"/>
    </row>
    <row r="78" spans="1:3" s="24" customFormat="1">
      <c r="A78" s="836"/>
      <c r="B78" s="11"/>
      <c r="C78" s="8"/>
    </row>
    <row r="79" spans="1:3" s="24" customFormat="1">
      <c r="A79" s="836"/>
      <c r="B79" s="836"/>
      <c r="C79" s="462"/>
    </row>
    <row r="80" spans="1:3" s="24" customFormat="1">
      <c r="A80" s="836"/>
      <c r="B80" s="836"/>
      <c r="C80" s="462"/>
    </row>
    <row r="81" spans="1:3" s="24" customFormat="1">
      <c r="A81" s="836"/>
      <c r="B81" s="836"/>
      <c r="C81" s="462"/>
    </row>
    <row r="82" spans="1:3" s="24" customFormat="1">
      <c r="A82" s="836"/>
      <c r="B82" s="836"/>
      <c r="C82" s="462"/>
    </row>
    <row r="83" spans="1:3" s="24" customFormat="1">
      <c r="A83" s="836"/>
      <c r="B83" s="836"/>
      <c r="C83" s="462"/>
    </row>
    <row r="84" spans="1:3" s="24" customFormat="1">
      <c r="A84" s="836"/>
      <c r="B84" s="836"/>
      <c r="C84" s="462"/>
    </row>
    <row r="85" spans="1:3" s="24" customFormat="1">
      <c r="A85" s="836"/>
      <c r="B85" s="836"/>
      <c r="C85" s="462"/>
    </row>
    <row r="86" spans="1:3">
      <c r="A86" s="11"/>
      <c r="B86" s="836"/>
      <c r="C86" s="462"/>
    </row>
    <row r="87" spans="1:3">
      <c r="A87" s="11"/>
      <c r="B87" s="836"/>
      <c r="C87" s="462"/>
    </row>
    <row r="88" spans="1:3">
      <c r="A88" s="11"/>
      <c r="B88" s="836"/>
      <c r="C88" s="462"/>
    </row>
    <row r="89" spans="1:3">
      <c r="A89" s="11"/>
      <c r="B89" s="836"/>
      <c r="C89" s="839"/>
    </row>
    <row r="90" spans="1:3">
      <c r="A90" s="11"/>
      <c r="B90" s="26"/>
      <c r="C90" s="462"/>
    </row>
    <row r="91" spans="1:3">
      <c r="A91" s="11"/>
      <c r="B91" s="26"/>
      <c r="C91" s="462"/>
    </row>
    <row r="92" spans="1:3">
      <c r="A92" s="11"/>
      <c r="B92" s="836"/>
      <c r="C92" s="462"/>
    </row>
    <row r="93" spans="1:3">
      <c r="A93" s="11"/>
      <c r="B93" s="11"/>
      <c r="C93" s="8"/>
    </row>
    <row r="94" spans="1:3">
      <c r="A94" s="11"/>
      <c r="B94" s="11"/>
      <c r="C94" s="8"/>
    </row>
    <row r="95" spans="1:3">
      <c r="A95" s="11"/>
      <c r="B95" s="11"/>
      <c r="C95" s="8"/>
    </row>
    <row r="96" spans="1:3">
      <c r="A96" s="11"/>
      <c r="B96" s="11"/>
    </row>
    <row r="97" spans="1:3">
      <c r="A97" s="11"/>
      <c r="B97" s="11"/>
    </row>
    <row r="98" spans="1:3">
      <c r="A98" s="11"/>
      <c r="B98" s="11"/>
    </row>
    <row r="99" spans="1:3">
      <c r="A99" s="11"/>
    </row>
    <row r="100" spans="1:3">
      <c r="A100" s="11"/>
    </row>
    <row r="101" spans="1:3">
      <c r="A101" s="11"/>
    </row>
    <row r="102" spans="1:3">
      <c r="A102" s="11"/>
      <c r="C102" s="450"/>
    </row>
    <row r="103" spans="1:3">
      <c r="A103" s="11"/>
    </row>
    <row r="104" spans="1:3">
      <c r="A104" s="11"/>
      <c r="C104" s="24"/>
    </row>
    <row r="105" spans="1:3">
      <c r="A105" s="11"/>
    </row>
  </sheetData>
  <sortState xmlns:xlrd2="http://schemas.microsoft.com/office/spreadsheetml/2017/richdata2" ref="B8:C64">
    <sortCondition ref="B8:B64"/>
  </sortState>
  <mergeCells count="3">
    <mergeCell ref="A1:C1"/>
    <mergeCell ref="A2:C2"/>
    <mergeCell ref="A3:C3"/>
  </mergeCells>
  <printOptions horizontalCentered="1"/>
  <pageMargins left="0.7" right="0.7" top="1" bottom="1" header="0.3" footer="0.3"/>
  <pageSetup scale="70" firstPageNumber="4" fitToHeight="0" orientation="portrait" useFirstPageNumber="1" r:id="rId1"/>
  <headerFooter scaleWithDoc="0" alignWithMargins="0">
    <oddHeader>&amp;RDocket No. UG-20___
Exhibit _____ (MCP-6)
Page &amp;P of 5</oddHeader>
  </headerFooter>
  <rowBreaks count="2" manualBreakCount="2">
    <brk id="37" max="2" man="1"/>
    <brk id="64" max="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2:I14"/>
  <sheetViews>
    <sheetView workbookViewId="0">
      <selection activeCell="AL70" sqref="AL70"/>
    </sheetView>
  </sheetViews>
  <sheetFormatPr defaultRowHeight="15.75"/>
  <cols>
    <col min="1" max="16384" width="9.140625" style="4"/>
  </cols>
  <sheetData>
    <row r="2" spans="1:9">
      <c r="A2" s="904" t="s">
        <v>60</v>
      </c>
      <c r="B2" s="904"/>
      <c r="C2" s="904"/>
      <c r="D2" s="904"/>
      <c r="E2" s="904"/>
      <c r="F2" s="904"/>
      <c r="G2" s="904"/>
      <c r="H2" s="904"/>
      <c r="I2" s="904"/>
    </row>
    <row r="3" spans="1:9">
      <c r="A3" s="904" t="s">
        <v>1865</v>
      </c>
      <c r="B3" s="904"/>
      <c r="C3" s="904"/>
      <c r="D3" s="904"/>
      <c r="E3" s="904"/>
      <c r="F3" s="904"/>
      <c r="G3" s="904"/>
      <c r="H3" s="904"/>
      <c r="I3" s="904"/>
    </row>
    <row r="4" spans="1:9">
      <c r="A4" s="904" t="s">
        <v>1398</v>
      </c>
      <c r="B4" s="904"/>
      <c r="C4" s="904"/>
      <c r="D4" s="904"/>
      <c r="E4" s="904"/>
      <c r="F4" s="904"/>
      <c r="G4" s="904"/>
      <c r="H4" s="904"/>
      <c r="I4" s="904"/>
    </row>
    <row r="5" spans="1:9">
      <c r="A5" s="904"/>
      <c r="B5" s="904"/>
      <c r="C5" s="904"/>
      <c r="D5" s="904"/>
      <c r="E5" s="904"/>
      <c r="F5" s="904"/>
      <c r="G5" s="904"/>
      <c r="H5" s="904"/>
      <c r="I5" s="904"/>
    </row>
    <row r="6" spans="1:9">
      <c r="A6" s="904"/>
      <c r="B6" s="904"/>
      <c r="C6" s="904"/>
      <c r="D6" s="904"/>
      <c r="E6" s="904"/>
      <c r="F6" s="904"/>
      <c r="G6" s="904"/>
      <c r="H6" s="904"/>
      <c r="I6" s="904"/>
    </row>
    <row r="11" spans="1:9">
      <c r="G11" s="14"/>
    </row>
    <row r="14" spans="1:9">
      <c r="A14" s="908" t="s">
        <v>795</v>
      </c>
      <c r="B14" s="908"/>
      <c r="C14" s="908"/>
      <c r="D14" s="908"/>
      <c r="E14" s="908"/>
      <c r="F14" s="908"/>
      <c r="G14" s="908"/>
      <c r="H14" s="908"/>
      <c r="I14" s="908"/>
    </row>
  </sheetData>
  <mergeCells count="6">
    <mergeCell ref="A14:I14"/>
    <mergeCell ref="A2:I2"/>
    <mergeCell ref="A3:I3"/>
    <mergeCell ref="A4:I4"/>
    <mergeCell ref="A5:I5"/>
    <mergeCell ref="A6:I6"/>
  </mergeCells>
  <pageMargins left="0.7" right="0.7" top="0.75" bottom="0.75" header="0.3" footer="0.3"/>
  <pageSetup orientation="portrait" r:id="rId1"/>
  <headerFooter>
    <oddFooter>&amp;LElectronic Tab Name:&amp;A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J41"/>
  <sheetViews>
    <sheetView view="pageBreakPreview" zoomScaleNormal="100" zoomScaleSheetLayoutView="100" workbookViewId="0">
      <selection activeCell="O20" sqref="O20"/>
    </sheetView>
  </sheetViews>
  <sheetFormatPr defaultRowHeight="15.75"/>
  <cols>
    <col min="1" max="1" width="13" style="4" bestFit="1" customWidth="1"/>
    <col min="2" max="2" width="43.140625" style="4" bestFit="1" customWidth="1"/>
    <col min="3" max="3" width="3.42578125" style="4" customWidth="1"/>
    <col min="4" max="4" width="14.5703125" style="4" bestFit="1" customWidth="1"/>
    <col min="5" max="5" width="4" style="4" customWidth="1"/>
    <col min="6" max="6" width="9.5703125" style="274" bestFit="1" customWidth="1"/>
    <col min="7" max="7" width="9.140625" style="4"/>
    <col min="8" max="8" width="8.140625" style="4" bestFit="1" customWidth="1"/>
    <col min="9" max="16384" width="9.140625" style="4"/>
  </cols>
  <sheetData>
    <row r="1" spans="1:10">
      <c r="A1" s="29"/>
      <c r="B1" s="29"/>
      <c r="C1" s="29"/>
      <c r="D1" s="29"/>
      <c r="E1" s="29"/>
    </row>
    <row r="2" spans="1:10">
      <c r="A2" s="904" t="s">
        <v>60</v>
      </c>
      <c r="B2" s="904"/>
      <c r="C2" s="904"/>
      <c r="D2" s="904"/>
      <c r="E2" s="904"/>
      <c r="F2" s="904"/>
      <c r="G2" s="3"/>
      <c r="H2" s="3"/>
    </row>
    <row r="3" spans="1:10">
      <c r="A3" s="904" t="s">
        <v>1865</v>
      </c>
      <c r="B3" s="904"/>
      <c r="C3" s="904"/>
      <c r="D3" s="904"/>
      <c r="E3" s="904"/>
      <c r="F3" s="904"/>
      <c r="G3" s="3"/>
      <c r="H3" s="3"/>
    </row>
    <row r="4" spans="1:10">
      <c r="A4" s="904" t="s">
        <v>1288</v>
      </c>
      <c r="B4" s="904"/>
      <c r="C4" s="904"/>
      <c r="D4" s="904"/>
      <c r="E4" s="904"/>
      <c r="F4" s="904"/>
      <c r="G4" s="3"/>
      <c r="H4" s="3"/>
    </row>
    <row r="5" spans="1:10">
      <c r="A5" s="904" t="s">
        <v>791</v>
      </c>
      <c r="B5" s="904"/>
      <c r="C5" s="904"/>
      <c r="D5" s="904"/>
      <c r="E5" s="904"/>
      <c r="F5" s="904"/>
      <c r="G5" s="3"/>
      <c r="H5" s="3"/>
    </row>
    <row r="6" spans="1:10">
      <c r="A6" s="904" t="s">
        <v>1864</v>
      </c>
      <c r="B6" s="904"/>
      <c r="C6" s="904"/>
      <c r="D6" s="904"/>
      <c r="E6" s="904"/>
      <c r="F6" s="904"/>
      <c r="G6" s="3"/>
      <c r="H6" s="3"/>
    </row>
    <row r="7" spans="1:10">
      <c r="B7" s="27"/>
      <c r="C7" s="27"/>
      <c r="D7" s="27"/>
      <c r="E7" s="27"/>
      <c r="F7" s="30"/>
      <c r="G7" s="3"/>
      <c r="H7" s="3"/>
    </row>
    <row r="8" spans="1:10">
      <c r="B8" s="6" t="s">
        <v>800</v>
      </c>
      <c r="C8" s="6"/>
      <c r="D8" s="6" t="s">
        <v>801</v>
      </c>
      <c r="E8" s="6"/>
      <c r="F8" s="274" t="s">
        <v>802</v>
      </c>
    </row>
    <row r="9" spans="1:10">
      <c r="B9" s="28"/>
      <c r="C9" s="28"/>
      <c r="D9" s="28"/>
      <c r="E9" s="28"/>
      <c r="F9" s="298"/>
    </row>
    <row r="10" spans="1:10">
      <c r="A10" s="25" t="s">
        <v>799</v>
      </c>
      <c r="B10" s="22" t="s">
        <v>1054</v>
      </c>
      <c r="D10" s="22" t="s">
        <v>793</v>
      </c>
      <c r="E10" s="22"/>
      <c r="F10" s="299" t="s">
        <v>792</v>
      </c>
      <c r="G10" s="22"/>
    </row>
    <row r="11" spans="1:10">
      <c r="A11" s="25"/>
      <c r="B11" s="6" t="s">
        <v>1107</v>
      </c>
      <c r="D11" s="22"/>
      <c r="E11" s="22"/>
      <c r="F11" s="299"/>
      <c r="G11" s="22"/>
    </row>
    <row r="12" spans="1:10">
      <c r="A12" s="6">
        <v>1</v>
      </c>
      <c r="B12" s="4" t="s">
        <v>791</v>
      </c>
      <c r="D12" s="4" t="s">
        <v>1288</v>
      </c>
      <c r="F12" s="274">
        <v>1</v>
      </c>
    </row>
    <row r="13" spans="1:10">
      <c r="A13" s="6">
        <f>A12+1</f>
        <v>2</v>
      </c>
      <c r="B13" s="4" t="s">
        <v>756</v>
      </c>
      <c r="D13" s="4" t="s">
        <v>1290</v>
      </c>
      <c r="F13" s="300" t="s">
        <v>2387</v>
      </c>
    </row>
    <row r="14" spans="1:10" s="24" customFormat="1">
      <c r="A14" s="26">
        <f t="shared" ref="A14:A30" si="0">A13+1</f>
        <v>3</v>
      </c>
      <c r="B14" s="24" t="s">
        <v>41</v>
      </c>
      <c r="D14" s="24" t="s">
        <v>1298</v>
      </c>
      <c r="F14" s="274">
        <v>9</v>
      </c>
    </row>
    <row r="15" spans="1:10">
      <c r="A15" s="6">
        <f t="shared" si="0"/>
        <v>4</v>
      </c>
      <c r="B15" s="4" t="s">
        <v>1035</v>
      </c>
      <c r="D15" s="4" t="s">
        <v>1349</v>
      </c>
      <c r="F15" s="837" t="s">
        <v>2392</v>
      </c>
      <c r="G15" s="837"/>
      <c r="H15" s="748"/>
    </row>
    <row r="16" spans="1:10">
      <c r="A16" s="6">
        <f t="shared" si="0"/>
        <v>5</v>
      </c>
      <c r="B16" s="4" t="s">
        <v>1053</v>
      </c>
      <c r="C16" s="23"/>
      <c r="D16" s="4" t="s">
        <v>1337</v>
      </c>
      <c r="E16" s="23"/>
      <c r="F16" s="274" t="s">
        <v>2388</v>
      </c>
      <c r="G16" s="838"/>
      <c r="H16" s="23"/>
      <c r="I16" s="23"/>
      <c r="J16" s="23"/>
    </row>
    <row r="17" spans="1:8">
      <c r="A17" s="6">
        <f t="shared" si="0"/>
        <v>6</v>
      </c>
      <c r="B17" s="23" t="s">
        <v>722</v>
      </c>
      <c r="D17" s="4" t="s">
        <v>1389</v>
      </c>
      <c r="F17" s="274">
        <v>30</v>
      </c>
    </row>
    <row r="18" spans="1:8">
      <c r="A18" s="6">
        <f t="shared" si="0"/>
        <v>7</v>
      </c>
      <c r="B18" s="23" t="s">
        <v>1094</v>
      </c>
      <c r="D18" s="4" t="s">
        <v>1390</v>
      </c>
      <c r="F18" s="274">
        <v>31</v>
      </c>
    </row>
    <row r="19" spans="1:8">
      <c r="A19" s="6"/>
      <c r="B19" s="6" t="s">
        <v>796</v>
      </c>
    </row>
    <row r="20" spans="1:8">
      <c r="A20" s="6">
        <v>8</v>
      </c>
      <c r="B20" s="4" t="s">
        <v>1850</v>
      </c>
      <c r="D20" s="4" t="s">
        <v>1291</v>
      </c>
      <c r="F20" s="274">
        <v>33</v>
      </c>
      <c r="H20" s="748"/>
    </row>
    <row r="21" spans="1:8">
      <c r="A21" s="6">
        <f t="shared" si="0"/>
        <v>9</v>
      </c>
      <c r="B21" s="4" t="s">
        <v>797</v>
      </c>
      <c r="D21" s="4" t="s">
        <v>1285</v>
      </c>
      <c r="F21" s="274" t="s">
        <v>2391</v>
      </c>
    </row>
    <row r="22" spans="1:8">
      <c r="A22" s="6">
        <f t="shared" si="0"/>
        <v>10</v>
      </c>
      <c r="B22" s="4" t="s">
        <v>1856</v>
      </c>
      <c r="D22" s="4" t="s">
        <v>1286</v>
      </c>
      <c r="F22" s="274">
        <v>36</v>
      </c>
    </row>
    <row r="23" spans="1:8">
      <c r="A23" s="6">
        <f t="shared" si="0"/>
        <v>11</v>
      </c>
      <c r="B23" s="4" t="s">
        <v>1851</v>
      </c>
      <c r="D23" s="4" t="s">
        <v>1287</v>
      </c>
      <c r="F23" s="274">
        <v>37</v>
      </c>
    </row>
    <row r="24" spans="1:8">
      <c r="A24" s="6">
        <f t="shared" si="0"/>
        <v>12</v>
      </c>
      <c r="B24" s="4" t="s">
        <v>1859</v>
      </c>
      <c r="D24" s="4" t="s">
        <v>1391</v>
      </c>
      <c r="F24" s="274">
        <v>38</v>
      </c>
    </row>
    <row r="25" spans="1:8">
      <c r="A25" s="6">
        <f t="shared" si="0"/>
        <v>13</v>
      </c>
      <c r="B25" s="4" t="s">
        <v>1857</v>
      </c>
      <c r="D25" s="4" t="s">
        <v>1304</v>
      </c>
      <c r="F25" s="274" t="s">
        <v>2389</v>
      </c>
    </row>
    <row r="26" spans="1:8">
      <c r="A26" s="6">
        <f t="shared" si="0"/>
        <v>14</v>
      </c>
      <c r="B26" s="4" t="s">
        <v>1387</v>
      </c>
      <c r="D26" s="4" t="s">
        <v>1305</v>
      </c>
      <c r="F26" s="274">
        <v>42</v>
      </c>
    </row>
    <row r="27" spans="1:8">
      <c r="A27" s="6">
        <f t="shared" si="0"/>
        <v>15</v>
      </c>
      <c r="B27" s="4" t="s">
        <v>84</v>
      </c>
      <c r="D27" s="4" t="s">
        <v>1306</v>
      </c>
      <c r="F27" s="274">
        <v>43</v>
      </c>
    </row>
    <row r="28" spans="1:8">
      <c r="A28" s="6">
        <f t="shared" si="0"/>
        <v>16</v>
      </c>
      <c r="B28" s="4" t="s">
        <v>723</v>
      </c>
      <c r="D28" s="4" t="s">
        <v>1310</v>
      </c>
      <c r="F28" s="274">
        <v>44</v>
      </c>
    </row>
    <row r="29" spans="1:8">
      <c r="A29" s="6">
        <f t="shared" si="0"/>
        <v>17</v>
      </c>
      <c r="B29" s="4" t="s">
        <v>739</v>
      </c>
      <c r="D29" s="4" t="s">
        <v>1392</v>
      </c>
      <c r="F29" s="274">
        <v>45</v>
      </c>
    </row>
    <row r="30" spans="1:8">
      <c r="A30" s="6">
        <f t="shared" si="0"/>
        <v>18</v>
      </c>
      <c r="B30" s="4" t="s">
        <v>1858</v>
      </c>
      <c r="D30" s="4" t="s">
        <v>1311</v>
      </c>
      <c r="F30" s="274" t="s">
        <v>2390</v>
      </c>
    </row>
    <row r="31" spans="1:8">
      <c r="A31" s="6"/>
    </row>
    <row r="32" spans="1:8">
      <c r="A32" s="6"/>
    </row>
    <row r="33" spans="1:4">
      <c r="A33" s="6"/>
    </row>
    <row r="34" spans="1:4">
      <c r="A34" s="6"/>
      <c r="D34" s="748"/>
    </row>
    <row r="35" spans="1:4">
      <c r="D35" s="748"/>
    </row>
    <row r="41" spans="1:4">
      <c r="B41" s="4" t="s">
        <v>798</v>
      </c>
    </row>
  </sheetData>
  <mergeCells count="5">
    <mergeCell ref="A2:F2"/>
    <mergeCell ref="A3:F3"/>
    <mergeCell ref="A4:F4"/>
    <mergeCell ref="A5:F5"/>
    <mergeCell ref="A6:F6"/>
  </mergeCells>
  <phoneticPr fontId="142" type="noConversion"/>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188"/>
  <sheetViews>
    <sheetView view="pageBreakPreview" zoomScale="60" zoomScaleNormal="100" workbookViewId="0">
      <pane xSplit="2" ySplit="5" topLeftCell="C6" activePane="bottomRight" state="frozen"/>
      <selection activeCell="G24" sqref="F24:G24"/>
      <selection pane="topRight" activeCell="G24" sqref="F24:G24"/>
      <selection pane="bottomLeft" activeCell="G24" sqref="F24:G24"/>
      <selection pane="bottomRight" activeCell="Q15" sqref="Q15"/>
    </sheetView>
  </sheetViews>
  <sheetFormatPr defaultRowHeight="15.75"/>
  <cols>
    <col min="1" max="1" width="9.28515625" style="446" bestFit="1" customWidth="1"/>
    <col min="2" max="2" width="10.42578125" style="24" bestFit="1" customWidth="1"/>
    <col min="3" max="3" width="44.28515625" style="24" customWidth="1"/>
    <col min="4" max="4" width="2.7109375" style="24" customWidth="1"/>
    <col min="5" max="5" width="20.5703125" style="24" bestFit="1" customWidth="1"/>
    <col min="6" max="6" width="25.42578125" style="24" bestFit="1" customWidth="1"/>
    <col min="7" max="7" width="26.28515625" style="24" bestFit="1" customWidth="1"/>
    <col min="8" max="8" width="14.140625" style="24" customWidth="1"/>
    <col min="9" max="9" width="18.7109375" style="431" bestFit="1" customWidth="1"/>
    <col min="10" max="10" width="16.42578125" style="431" bestFit="1" customWidth="1"/>
    <col min="11" max="11" width="22.28515625" style="302" customWidth="1"/>
    <col min="12" max="12" width="17.7109375" style="431" bestFit="1" customWidth="1"/>
    <col min="13" max="14" width="18.42578125" style="431" bestFit="1" customWidth="1"/>
    <col min="15" max="15" width="17.28515625" style="431" bestFit="1" customWidth="1"/>
    <col min="16" max="17" width="18.42578125" style="431" bestFit="1" customWidth="1"/>
    <col min="18" max="18" width="16.85546875" style="603" bestFit="1" customWidth="1"/>
    <col min="19" max="20" width="2.140625" style="24" customWidth="1"/>
    <col min="21" max="21" width="19.140625" style="24" bestFit="1" customWidth="1"/>
    <col min="22" max="22" width="24.140625" style="24" bestFit="1" customWidth="1"/>
    <col min="23" max="16384" width="9.140625" style="24"/>
  </cols>
  <sheetData>
    <row r="1" spans="1:22">
      <c r="C1" s="904" t="s">
        <v>60</v>
      </c>
      <c r="D1" s="904"/>
      <c r="E1" s="904"/>
      <c r="F1" s="904"/>
      <c r="G1" s="904"/>
      <c r="K1" s="904" t="s">
        <v>60</v>
      </c>
      <c r="L1" s="904"/>
      <c r="M1" s="904"/>
      <c r="N1" s="904"/>
      <c r="O1" s="904"/>
      <c r="P1" s="904"/>
      <c r="Q1" s="904"/>
      <c r="S1" s="904"/>
      <c r="T1" s="904"/>
    </row>
    <row r="2" spans="1:22">
      <c r="C2" s="904" t="s">
        <v>1865</v>
      </c>
      <c r="D2" s="904"/>
      <c r="E2" s="904"/>
      <c r="F2" s="904"/>
      <c r="G2" s="904"/>
      <c r="K2" s="904" t="s">
        <v>1865</v>
      </c>
      <c r="L2" s="904"/>
      <c r="M2" s="904"/>
      <c r="N2" s="904"/>
      <c r="O2" s="904"/>
      <c r="P2" s="904"/>
      <c r="Q2" s="904"/>
      <c r="S2" s="904"/>
      <c r="T2" s="904"/>
    </row>
    <row r="3" spans="1:22">
      <c r="C3" s="904" t="s">
        <v>1290</v>
      </c>
      <c r="D3" s="904"/>
      <c r="E3" s="904"/>
      <c r="F3" s="904"/>
      <c r="G3" s="904"/>
      <c r="K3" s="904" t="s">
        <v>1290</v>
      </c>
      <c r="L3" s="904"/>
      <c r="M3" s="904"/>
      <c r="N3" s="904"/>
      <c r="O3" s="904"/>
      <c r="P3" s="904"/>
      <c r="Q3" s="904"/>
      <c r="S3" s="904"/>
      <c r="T3" s="904"/>
    </row>
    <row r="4" spans="1:22">
      <c r="C4" s="904" t="s">
        <v>1097</v>
      </c>
      <c r="D4" s="904"/>
      <c r="E4" s="904"/>
      <c r="F4" s="904"/>
      <c r="G4" s="904"/>
      <c r="K4" s="904" t="s">
        <v>756</v>
      </c>
      <c r="L4" s="904"/>
      <c r="M4" s="904"/>
      <c r="N4" s="904"/>
      <c r="O4" s="904"/>
      <c r="P4" s="904"/>
      <c r="Q4" s="904"/>
      <c r="S4" s="904"/>
      <c r="T4" s="904"/>
    </row>
    <row r="5" spans="1:22">
      <c r="C5" s="904" t="s">
        <v>1864</v>
      </c>
      <c r="D5" s="904"/>
      <c r="E5" s="904"/>
      <c r="F5" s="904"/>
      <c r="G5" s="904"/>
      <c r="K5" s="904" t="s">
        <v>1864</v>
      </c>
      <c r="L5" s="904"/>
      <c r="M5" s="904"/>
      <c r="N5" s="904"/>
      <c r="O5" s="904"/>
      <c r="P5" s="904"/>
      <c r="Q5" s="904"/>
      <c r="S5" s="904"/>
      <c r="T5" s="904"/>
    </row>
    <row r="7" spans="1:22" s="446" customFormat="1">
      <c r="A7" s="446" t="s">
        <v>1019</v>
      </c>
      <c r="B7" s="446" t="s">
        <v>803</v>
      </c>
      <c r="C7" s="446" t="s">
        <v>801</v>
      </c>
      <c r="E7" s="446" t="s">
        <v>802</v>
      </c>
      <c r="F7" s="446" t="s">
        <v>805</v>
      </c>
      <c r="G7" s="446" t="s">
        <v>806</v>
      </c>
      <c r="H7" s="446" t="s">
        <v>807</v>
      </c>
      <c r="I7" s="708" t="s">
        <v>808</v>
      </c>
      <c r="J7" s="708" t="s">
        <v>809</v>
      </c>
      <c r="K7" s="709" t="s">
        <v>810</v>
      </c>
      <c r="L7" s="708" t="s">
        <v>811</v>
      </c>
      <c r="M7" s="708" t="s">
        <v>812</v>
      </c>
      <c r="N7" s="708" t="s">
        <v>813</v>
      </c>
      <c r="O7" s="708" t="s">
        <v>814</v>
      </c>
      <c r="P7" s="708" t="s">
        <v>815</v>
      </c>
      <c r="Q7" s="708" t="s">
        <v>816</v>
      </c>
      <c r="R7" s="708" t="s">
        <v>1853</v>
      </c>
      <c r="S7" s="710"/>
      <c r="T7" s="710"/>
      <c r="U7" s="708" t="s">
        <v>1021</v>
      </c>
      <c r="V7" s="708" t="s">
        <v>1022</v>
      </c>
    </row>
    <row r="8" spans="1:22" ht="31.5">
      <c r="A8" s="446">
        <v>1</v>
      </c>
      <c r="B8" s="604" t="s">
        <v>756</v>
      </c>
      <c r="C8" s="605"/>
      <c r="D8" s="275"/>
      <c r="E8" s="606"/>
      <c r="F8" s="607" t="s">
        <v>115</v>
      </c>
      <c r="G8" s="607" t="s">
        <v>116</v>
      </c>
      <c r="H8" s="607" t="s">
        <v>117</v>
      </c>
    </row>
    <row r="9" spans="1:22">
      <c r="A9" s="446">
        <v>2</v>
      </c>
      <c r="B9" s="608" t="s">
        <v>1866</v>
      </c>
      <c r="C9" s="404"/>
      <c r="D9" s="275"/>
      <c r="E9" s="826" t="s">
        <v>118</v>
      </c>
      <c r="F9" s="827">
        <f>+'State Allocation Formulas'!C21</f>
        <v>0.75170000000000003</v>
      </c>
      <c r="G9" s="828">
        <f>+'State Allocation Formulas'!C16</f>
        <v>0.74299999999999999</v>
      </c>
      <c r="H9" s="828">
        <f>+'State Allocation Formulas'!T21</f>
        <v>0.75539999999999996</v>
      </c>
    </row>
    <row r="10" spans="1:22">
      <c r="A10" s="446">
        <v>3</v>
      </c>
      <c r="B10" s="608"/>
      <c r="C10" s="404"/>
      <c r="D10" s="275"/>
      <c r="E10" s="826" t="s">
        <v>119</v>
      </c>
      <c r="F10" s="827">
        <f>+'State Allocation Formulas'!D21</f>
        <v>0.24829999999999999</v>
      </c>
      <c r="G10" s="828">
        <f>+'State Allocation Formulas'!D16</f>
        <v>0.25700000000000001</v>
      </c>
      <c r="H10" s="828">
        <f>+'State Allocation Formulas'!T22</f>
        <v>0.24460000000000004</v>
      </c>
      <c r="I10" s="187" t="s">
        <v>1846</v>
      </c>
      <c r="J10" s="187" t="s">
        <v>61</v>
      </c>
      <c r="K10" s="690" t="s">
        <v>720</v>
      </c>
      <c r="L10" s="691" t="s">
        <v>720</v>
      </c>
      <c r="M10" s="405" t="s">
        <v>1397</v>
      </c>
      <c r="N10" s="517" t="s">
        <v>1110</v>
      </c>
      <c r="O10" s="187" t="s">
        <v>63</v>
      </c>
      <c r="P10" s="187" t="s">
        <v>681</v>
      </c>
      <c r="Q10" s="187" t="s">
        <v>721</v>
      </c>
      <c r="R10" s="188" t="s">
        <v>736</v>
      </c>
      <c r="S10" s="108"/>
      <c r="U10" s="189" t="s">
        <v>58</v>
      </c>
      <c r="V10" s="189" t="s">
        <v>681</v>
      </c>
    </row>
    <row r="11" spans="1:22">
      <c r="A11" s="759">
        <v>4</v>
      </c>
      <c r="B11" s="913" t="s">
        <v>120</v>
      </c>
      <c r="C11" s="914"/>
      <c r="D11" s="275"/>
      <c r="E11" s="917" t="s">
        <v>121</v>
      </c>
      <c r="F11" s="918"/>
      <c r="G11" s="918"/>
      <c r="I11" s="191" t="s">
        <v>746</v>
      </c>
      <c r="J11" s="191" t="s">
        <v>57</v>
      </c>
      <c r="K11" s="692" t="s">
        <v>80</v>
      </c>
      <c r="L11" s="191" t="s">
        <v>1394</v>
      </c>
      <c r="M11" s="112" t="s">
        <v>108</v>
      </c>
      <c r="N11" s="111" t="s">
        <v>1111</v>
      </c>
      <c r="O11" s="191" t="s">
        <v>64</v>
      </c>
      <c r="P11" s="191" t="s">
        <v>685</v>
      </c>
      <c r="Q11" s="191" t="s">
        <v>65</v>
      </c>
      <c r="R11" s="192" t="s">
        <v>737</v>
      </c>
      <c r="S11" s="112"/>
      <c r="U11" s="189" t="s">
        <v>1</v>
      </c>
      <c r="V11" s="189" t="s">
        <v>682</v>
      </c>
    </row>
    <row r="12" spans="1:22">
      <c r="A12" s="446">
        <v>5</v>
      </c>
      <c r="B12" s="915"/>
      <c r="C12" s="916"/>
      <c r="D12" s="803"/>
      <c r="E12" s="919" t="s">
        <v>122</v>
      </c>
      <c r="F12" s="920"/>
      <c r="G12" s="921"/>
      <c r="I12" s="688" t="s">
        <v>62</v>
      </c>
      <c r="J12" s="688" t="s">
        <v>62</v>
      </c>
      <c r="K12" s="693"/>
      <c r="L12" s="688" t="s">
        <v>62</v>
      </c>
      <c r="M12" s="694"/>
      <c r="N12" s="695"/>
      <c r="O12" s="688" t="s">
        <v>62</v>
      </c>
      <c r="P12" s="688" t="s">
        <v>62</v>
      </c>
      <c r="Q12" s="688"/>
      <c r="R12" s="689" t="s">
        <v>738</v>
      </c>
      <c r="S12" s="112"/>
      <c r="V12" s="26" t="s">
        <v>683</v>
      </c>
    </row>
    <row r="13" spans="1:22">
      <c r="A13" s="446">
        <v>6</v>
      </c>
      <c r="B13" s="909" t="s">
        <v>123</v>
      </c>
      <c r="C13" s="910"/>
      <c r="D13" s="609"/>
      <c r="E13" s="610" t="s">
        <v>124</v>
      </c>
      <c r="F13" s="609" t="s">
        <v>125</v>
      </c>
      <c r="G13" s="611" t="s">
        <v>126</v>
      </c>
      <c r="I13" s="612" t="s">
        <v>676</v>
      </c>
      <c r="J13" s="612" t="s">
        <v>677</v>
      </c>
      <c r="K13" s="696" t="s">
        <v>719</v>
      </c>
      <c r="L13" s="612" t="s">
        <v>745</v>
      </c>
      <c r="M13" s="612" t="s">
        <v>1395</v>
      </c>
      <c r="N13" s="612" t="s">
        <v>1396</v>
      </c>
      <c r="O13" s="612" t="s">
        <v>678</v>
      </c>
      <c r="P13" s="612" t="s">
        <v>679</v>
      </c>
      <c r="Q13" s="612" t="s">
        <v>747</v>
      </c>
      <c r="R13" s="613" t="s">
        <v>680</v>
      </c>
      <c r="S13" s="614"/>
      <c r="T13" s="614"/>
    </row>
    <row r="14" spans="1:22">
      <c r="A14" s="759">
        <v>7</v>
      </c>
      <c r="B14" s="199" t="s">
        <v>127</v>
      </c>
      <c r="C14" s="196"/>
      <c r="D14" s="404"/>
      <c r="E14" s="608"/>
      <c r="F14" s="404"/>
      <c r="G14" s="93"/>
    </row>
    <row r="15" spans="1:22">
      <c r="A15" s="446">
        <v>8</v>
      </c>
      <c r="B15" s="197" t="s">
        <v>128</v>
      </c>
      <c r="C15" s="198" t="s">
        <v>129</v>
      </c>
      <c r="D15" s="615"/>
      <c r="E15" s="616">
        <v>120476426.38</v>
      </c>
      <c r="F15" s="617">
        <v>0</v>
      </c>
      <c r="G15" s="618">
        <f>SUM(E15:F15)</f>
        <v>120476426.38</v>
      </c>
      <c r="I15" s="887">
        <f>+'Annualize CRM Adjustment'!D11</f>
        <v>-2904184.2</v>
      </c>
      <c r="K15" s="886">
        <f>+'Restate Revenues Adjustment'!H27</f>
        <v>14922775.820000002</v>
      </c>
      <c r="L15" s="887">
        <f>+'EOP Revenue Adjustment'!F11</f>
        <v>923294.61</v>
      </c>
      <c r="Q15" s="887">
        <f>+'Pro Forma Plant Additions'!E27</f>
        <v>1281027.22</v>
      </c>
      <c r="U15" s="436">
        <f>SUM(I15:T15)</f>
        <v>14222913.450000001</v>
      </c>
      <c r="V15" s="436">
        <f>+G15+U15</f>
        <v>134699339.82999998</v>
      </c>
    </row>
    <row r="16" spans="1:22">
      <c r="A16" s="446">
        <v>9</v>
      </c>
      <c r="B16" s="197" t="s">
        <v>130</v>
      </c>
      <c r="C16" s="198" t="s">
        <v>131</v>
      </c>
      <c r="D16" s="615"/>
      <c r="E16" s="616">
        <v>101005173.58</v>
      </c>
      <c r="F16" s="617">
        <v>0</v>
      </c>
      <c r="G16" s="618">
        <f>SUM(E16:F16)</f>
        <v>101005173.58</v>
      </c>
      <c r="U16" s="436">
        <f>SUM(I16:T16)</f>
        <v>0</v>
      </c>
      <c r="V16" s="436">
        <f>+G16+U16</f>
        <v>101005173.58</v>
      </c>
    </row>
    <row r="17" spans="1:22">
      <c r="A17" s="759">
        <v>10</v>
      </c>
      <c r="B17" s="199" t="s">
        <v>132</v>
      </c>
      <c r="C17" s="196"/>
      <c r="D17" s="619"/>
      <c r="E17" s="829">
        <f t="shared" ref="E17:R17" si="0">SUM(E15:E16)</f>
        <v>221481599.95999998</v>
      </c>
      <c r="F17" s="620">
        <f t="shared" si="0"/>
        <v>0</v>
      </c>
      <c r="G17" s="621">
        <f t="shared" si="0"/>
        <v>221481599.95999998</v>
      </c>
      <c r="I17" s="621">
        <f t="shared" si="0"/>
        <v>-2904184.2</v>
      </c>
      <c r="J17" s="621">
        <f t="shared" si="0"/>
        <v>0</v>
      </c>
      <c r="K17" s="303">
        <f>SUM(K15:K16)</f>
        <v>14922775.820000002</v>
      </c>
      <c r="L17" s="621">
        <f t="shared" si="0"/>
        <v>923294.61</v>
      </c>
      <c r="M17" s="621">
        <f t="shared" ref="M17:N17" si="1">SUM(M15:M16)</f>
        <v>0</v>
      </c>
      <c r="N17" s="621">
        <f t="shared" si="1"/>
        <v>0</v>
      </c>
      <c r="O17" s="621">
        <f t="shared" si="0"/>
        <v>0</v>
      </c>
      <c r="P17" s="621">
        <f t="shared" si="0"/>
        <v>0</v>
      </c>
      <c r="Q17" s="621">
        <f t="shared" si="0"/>
        <v>1281027.22</v>
      </c>
      <c r="R17" s="622">
        <f t="shared" si="0"/>
        <v>0</v>
      </c>
      <c r="S17" s="621">
        <f t="shared" ref="S17:U17" si="2">SUM(S15:S16)</f>
        <v>0</v>
      </c>
      <c r="T17" s="621">
        <f t="shared" si="2"/>
        <v>0</v>
      </c>
      <c r="U17" s="621">
        <f t="shared" si="2"/>
        <v>14222913.450000001</v>
      </c>
      <c r="V17" s="621">
        <f>SUM(V15:V16)</f>
        <v>235704513.40999997</v>
      </c>
    </row>
    <row r="18" spans="1:22">
      <c r="A18" s="446">
        <v>11</v>
      </c>
      <c r="B18" s="623"/>
      <c r="C18" s="196"/>
      <c r="D18" s="615"/>
      <c r="E18" s="616"/>
      <c r="F18" s="615"/>
      <c r="G18" s="618"/>
    </row>
    <row r="19" spans="1:22">
      <c r="A19" s="759">
        <v>12</v>
      </c>
      <c r="B19" s="199" t="s">
        <v>133</v>
      </c>
      <c r="C19" s="196"/>
      <c r="D19" s="615"/>
      <c r="E19" s="616"/>
      <c r="F19" s="615"/>
      <c r="G19" s="618"/>
    </row>
    <row r="20" spans="1:22">
      <c r="A20" s="446">
        <v>13</v>
      </c>
      <c r="B20" s="197" t="s">
        <v>134</v>
      </c>
      <c r="C20" s="198" t="s">
        <v>135</v>
      </c>
      <c r="D20" s="615"/>
      <c r="E20" s="616">
        <v>527669.76000000001</v>
      </c>
      <c r="F20" s="615">
        <v>0</v>
      </c>
      <c r="G20" s="618">
        <f t="shared" ref="G20:G26" si="3">SUM(E20:F20)</f>
        <v>527669.76000000001</v>
      </c>
      <c r="U20" s="436">
        <f t="shared" ref="U20:U25" si="4">SUM(I20:T20)</f>
        <v>0</v>
      </c>
      <c r="V20" s="705">
        <f t="shared" ref="V20:V25" si="5">+G20+U20</f>
        <v>527669.76000000001</v>
      </c>
    </row>
    <row r="21" spans="1:22">
      <c r="A21" s="759">
        <v>14</v>
      </c>
      <c r="B21" s="624" t="s">
        <v>136</v>
      </c>
      <c r="C21" s="198" t="s">
        <v>137</v>
      </c>
      <c r="D21" s="615"/>
      <c r="E21" s="616">
        <v>24094627.940000001</v>
      </c>
      <c r="F21" s="617">
        <v>0</v>
      </c>
      <c r="G21" s="618">
        <f t="shared" si="3"/>
        <v>24094627.940000001</v>
      </c>
      <c r="Q21" s="431">
        <f>+'Pro Forma Plant Additions'!E14</f>
        <v>0</v>
      </c>
      <c r="U21" s="436">
        <f t="shared" si="4"/>
        <v>0</v>
      </c>
      <c r="V21" s="436">
        <f t="shared" si="5"/>
        <v>24094627.940000001</v>
      </c>
    </row>
    <row r="22" spans="1:22">
      <c r="A22" s="446">
        <v>15</v>
      </c>
      <c r="B22" s="624" t="s">
        <v>138</v>
      </c>
      <c r="C22" s="198" t="s">
        <v>139</v>
      </c>
      <c r="D22" s="615"/>
      <c r="E22" s="625">
        <v>0</v>
      </c>
      <c r="F22" s="615">
        <v>0</v>
      </c>
      <c r="G22" s="618">
        <f t="shared" si="3"/>
        <v>0</v>
      </c>
      <c r="U22" s="436">
        <f t="shared" si="4"/>
        <v>0</v>
      </c>
      <c r="V22" s="436">
        <f t="shared" si="5"/>
        <v>0</v>
      </c>
    </row>
    <row r="23" spans="1:22">
      <c r="A23" s="759">
        <v>16</v>
      </c>
      <c r="B23" s="624" t="s">
        <v>140</v>
      </c>
      <c r="C23" s="198" t="s">
        <v>141</v>
      </c>
      <c r="D23" s="615"/>
      <c r="E23" s="625">
        <v>0</v>
      </c>
      <c r="F23" s="615">
        <v>127945.33</v>
      </c>
      <c r="G23" s="618">
        <f t="shared" si="3"/>
        <v>127945.33</v>
      </c>
      <c r="U23" s="436">
        <f t="shared" si="4"/>
        <v>0</v>
      </c>
      <c r="V23" s="436">
        <f t="shared" si="5"/>
        <v>127945.33</v>
      </c>
    </row>
    <row r="24" spans="1:22">
      <c r="A24" s="446">
        <v>17</v>
      </c>
      <c r="B24" s="624" t="s">
        <v>142</v>
      </c>
      <c r="C24" s="198" t="s">
        <v>143</v>
      </c>
      <c r="D24" s="615"/>
      <c r="E24" s="616">
        <v>91288.83</v>
      </c>
      <c r="F24" s="615">
        <v>168.61</v>
      </c>
      <c r="G24" s="618">
        <f t="shared" si="3"/>
        <v>91457.44</v>
      </c>
      <c r="U24" s="436">
        <f t="shared" si="4"/>
        <v>0</v>
      </c>
      <c r="V24" s="436">
        <f t="shared" si="5"/>
        <v>91457.44</v>
      </c>
    </row>
    <row r="25" spans="1:22">
      <c r="A25" s="759">
        <v>18</v>
      </c>
      <c r="B25" s="197" t="s">
        <v>144</v>
      </c>
      <c r="C25" s="198" t="s">
        <v>145</v>
      </c>
      <c r="D25" s="617"/>
      <c r="E25" s="625">
        <v>0</v>
      </c>
      <c r="F25" s="617">
        <v>0</v>
      </c>
      <c r="G25" s="626">
        <f t="shared" si="3"/>
        <v>0</v>
      </c>
      <c r="U25" s="436">
        <f t="shared" si="4"/>
        <v>0</v>
      </c>
      <c r="V25" s="436">
        <f t="shared" si="5"/>
        <v>0</v>
      </c>
    </row>
    <row r="26" spans="1:22">
      <c r="A26" s="446">
        <v>19</v>
      </c>
      <c r="B26" s="627">
        <v>4962</v>
      </c>
      <c r="C26" s="198" t="s">
        <v>1292</v>
      </c>
      <c r="D26" s="617"/>
      <c r="E26" s="830">
        <v>1001689</v>
      </c>
      <c r="F26" s="617">
        <v>0</v>
      </c>
      <c r="G26" s="626">
        <f t="shared" si="3"/>
        <v>1001689</v>
      </c>
      <c r="U26" s="436"/>
      <c r="V26" s="436"/>
    </row>
    <row r="27" spans="1:22">
      <c r="A27" s="759">
        <v>20</v>
      </c>
      <c r="B27" s="199" t="s">
        <v>146</v>
      </c>
      <c r="C27" s="196"/>
      <c r="D27" s="619"/>
      <c r="E27" s="829">
        <f>SUM(E20:E26)</f>
        <v>25715275.530000001</v>
      </c>
      <c r="F27" s="619">
        <f>SUM(F20:F26)</f>
        <v>128113.94</v>
      </c>
      <c r="G27" s="619">
        <f>SUM(G20:G26)</f>
        <v>25843389.470000003</v>
      </c>
      <c r="I27" s="621">
        <f t="shared" ref="I27:Q27" si="6">SUM(I20:I25)</f>
        <v>0</v>
      </c>
      <c r="J27" s="621">
        <f t="shared" si="6"/>
        <v>0</v>
      </c>
      <c r="K27" s="303">
        <f>SUM(K20:K25)</f>
        <v>0</v>
      </c>
      <c r="L27" s="621">
        <f>SUM(L20:L25)</f>
        <v>0</v>
      </c>
      <c r="M27" s="621">
        <f t="shared" ref="M27:N27" si="7">SUM(M20:M25)</f>
        <v>0</v>
      </c>
      <c r="N27" s="621">
        <f t="shared" si="7"/>
        <v>0</v>
      </c>
      <c r="O27" s="621">
        <f t="shared" si="6"/>
        <v>0</v>
      </c>
      <c r="P27" s="621">
        <f t="shared" si="6"/>
        <v>0</v>
      </c>
      <c r="Q27" s="621">
        <f t="shared" si="6"/>
        <v>0</v>
      </c>
      <c r="R27" s="622">
        <f>SUM(R20:R25)</f>
        <v>0</v>
      </c>
      <c r="S27" s="621">
        <f t="shared" ref="S27:V27" si="8">SUM(S20:S25)</f>
        <v>0</v>
      </c>
      <c r="T27" s="621">
        <f t="shared" si="8"/>
        <v>0</v>
      </c>
      <c r="U27" s="621">
        <f t="shared" si="8"/>
        <v>0</v>
      </c>
      <c r="V27" s="621">
        <f t="shared" si="8"/>
        <v>24841700.470000003</v>
      </c>
    </row>
    <row r="28" spans="1:22" ht="16.5" thickBot="1">
      <c r="A28" s="446">
        <v>21</v>
      </c>
      <c r="B28" s="199" t="s">
        <v>147</v>
      </c>
      <c r="C28" s="196"/>
      <c r="D28" s="628"/>
      <c r="E28" s="831">
        <f t="shared" ref="E28:G28" si="9">E17+E27</f>
        <v>247196875.48999998</v>
      </c>
      <c r="F28" s="628">
        <f t="shared" si="9"/>
        <v>128113.94</v>
      </c>
      <c r="G28" s="629">
        <f t="shared" si="9"/>
        <v>247324989.42999998</v>
      </c>
      <c r="I28" s="629">
        <f t="shared" ref="I28:Q28" si="10">I17+I27</f>
        <v>-2904184.2</v>
      </c>
      <c r="J28" s="629">
        <f t="shared" si="10"/>
        <v>0</v>
      </c>
      <c r="K28" s="697">
        <f>K17+K27</f>
        <v>14922775.820000002</v>
      </c>
      <c r="L28" s="629">
        <f>L17+L27</f>
        <v>923294.61</v>
      </c>
      <c r="M28" s="629">
        <f t="shared" ref="M28:N28" si="11">M17+M27</f>
        <v>0</v>
      </c>
      <c r="N28" s="629">
        <f t="shared" si="11"/>
        <v>0</v>
      </c>
      <c r="O28" s="629">
        <f t="shared" si="10"/>
        <v>0</v>
      </c>
      <c r="P28" s="629">
        <f t="shared" si="10"/>
        <v>0</v>
      </c>
      <c r="Q28" s="629">
        <f t="shared" si="10"/>
        <v>1281027.22</v>
      </c>
      <c r="R28" s="630">
        <f>R17+R27</f>
        <v>0</v>
      </c>
      <c r="S28" s="629">
        <f t="shared" ref="S28:V28" si="12">S17+S27</f>
        <v>0</v>
      </c>
      <c r="T28" s="629">
        <f t="shared" si="12"/>
        <v>0</v>
      </c>
      <c r="U28" s="629">
        <f t="shared" si="12"/>
        <v>14222913.450000001</v>
      </c>
      <c r="V28" s="629">
        <f t="shared" si="12"/>
        <v>260546213.87999997</v>
      </c>
    </row>
    <row r="29" spans="1:22" ht="16.5" thickTop="1">
      <c r="A29" s="759">
        <v>22</v>
      </c>
      <c r="B29" s="195" t="s">
        <v>56</v>
      </c>
      <c r="C29" s="196" t="s">
        <v>56</v>
      </c>
      <c r="D29" s="615"/>
      <c r="E29" s="616"/>
      <c r="F29" s="615"/>
      <c r="G29" s="618"/>
    </row>
    <row r="30" spans="1:22">
      <c r="A30" s="446">
        <v>23</v>
      </c>
      <c r="B30" s="199" t="s">
        <v>148</v>
      </c>
      <c r="C30" s="196"/>
      <c r="D30" s="615"/>
      <c r="E30" s="616"/>
      <c r="F30" s="615"/>
      <c r="G30" s="618"/>
    </row>
    <row r="31" spans="1:22">
      <c r="A31" s="759">
        <v>24</v>
      </c>
      <c r="B31" s="197" t="s">
        <v>149</v>
      </c>
      <c r="C31" s="198" t="s">
        <v>150</v>
      </c>
      <c r="D31" s="615"/>
      <c r="E31" s="616">
        <v>183154598.38</v>
      </c>
      <c r="F31" s="617">
        <v>0</v>
      </c>
      <c r="G31" s="618">
        <f t="shared" ref="G31:G36" si="13">SUM(E31:F31)</f>
        <v>183154598.38</v>
      </c>
      <c r="U31" s="436">
        <f t="shared" ref="U31:U36" si="14">SUM(I31:T31)</f>
        <v>0</v>
      </c>
      <c r="V31" s="436">
        <f t="shared" ref="V31:V36" si="15">+G31+U31</f>
        <v>183154598.38</v>
      </c>
    </row>
    <row r="32" spans="1:22">
      <c r="A32" s="446">
        <v>25</v>
      </c>
      <c r="B32" s="197" t="s">
        <v>151</v>
      </c>
      <c r="C32" s="198" t="s">
        <v>152</v>
      </c>
      <c r="D32" s="617"/>
      <c r="E32" s="625">
        <v>0</v>
      </c>
      <c r="F32" s="617">
        <v>0</v>
      </c>
      <c r="G32" s="626">
        <f t="shared" si="13"/>
        <v>0</v>
      </c>
      <c r="U32" s="436">
        <f t="shared" si="14"/>
        <v>0</v>
      </c>
      <c r="V32" s="436">
        <f t="shared" si="15"/>
        <v>0</v>
      </c>
    </row>
    <row r="33" spans="1:22">
      <c r="A33" s="759">
        <v>26</v>
      </c>
      <c r="B33" s="197" t="s">
        <v>153</v>
      </c>
      <c r="C33" s="198" t="s">
        <v>154</v>
      </c>
      <c r="D33" s="615"/>
      <c r="E33" s="616">
        <v>-56334340.969999999</v>
      </c>
      <c r="F33" s="617">
        <v>0</v>
      </c>
      <c r="G33" s="618">
        <f t="shared" si="13"/>
        <v>-56334340.969999999</v>
      </c>
      <c r="U33" s="436">
        <f t="shared" si="14"/>
        <v>0</v>
      </c>
      <c r="V33" s="436">
        <f t="shared" si="15"/>
        <v>-56334340.969999999</v>
      </c>
    </row>
    <row r="34" spans="1:22">
      <c r="A34" s="446">
        <v>27</v>
      </c>
      <c r="B34" s="197" t="s">
        <v>155</v>
      </c>
      <c r="C34" s="198" t="s">
        <v>156</v>
      </c>
      <c r="D34" s="615"/>
      <c r="E34" s="616">
        <v>6419366.4000000004</v>
      </c>
      <c r="F34" s="617">
        <v>0</v>
      </c>
      <c r="G34" s="618">
        <f t="shared" si="13"/>
        <v>6419366.4000000004</v>
      </c>
      <c r="U34" s="436">
        <f t="shared" si="14"/>
        <v>0</v>
      </c>
      <c r="V34" s="436">
        <f t="shared" si="15"/>
        <v>6419366.4000000004</v>
      </c>
    </row>
    <row r="35" spans="1:22">
      <c r="A35" s="759">
        <v>28</v>
      </c>
      <c r="B35" s="197" t="s">
        <v>157</v>
      </c>
      <c r="C35" s="198" t="s">
        <v>158</v>
      </c>
      <c r="D35" s="615"/>
      <c r="E35" s="616">
        <v>-8003476.1100000003</v>
      </c>
      <c r="F35" s="617">
        <v>0</v>
      </c>
      <c r="G35" s="618">
        <f t="shared" si="13"/>
        <v>-8003476.1100000003</v>
      </c>
      <c r="U35" s="436">
        <f t="shared" si="14"/>
        <v>0</v>
      </c>
      <c r="V35" s="436">
        <f t="shared" si="15"/>
        <v>-8003476.1100000003</v>
      </c>
    </row>
    <row r="36" spans="1:22">
      <c r="A36" s="446">
        <v>29</v>
      </c>
      <c r="B36" s="197" t="s">
        <v>159</v>
      </c>
      <c r="C36" s="198" t="s">
        <v>160</v>
      </c>
      <c r="D36" s="615"/>
      <c r="E36" s="616">
        <v>-70308.52</v>
      </c>
      <c r="F36" s="617">
        <v>0</v>
      </c>
      <c r="G36" s="618">
        <f t="shared" si="13"/>
        <v>-70308.52</v>
      </c>
      <c r="U36" s="436">
        <f t="shared" si="14"/>
        <v>0</v>
      </c>
      <c r="V36" s="436">
        <f t="shared" si="15"/>
        <v>-70308.52</v>
      </c>
    </row>
    <row r="37" spans="1:22">
      <c r="A37" s="759">
        <v>30</v>
      </c>
      <c r="B37" s="199" t="s">
        <v>161</v>
      </c>
      <c r="C37" s="196"/>
      <c r="D37" s="619"/>
      <c r="E37" s="829">
        <f t="shared" ref="E37:R37" si="16">SUM(E31:E36)</f>
        <v>125165839.18000001</v>
      </c>
      <c r="F37" s="620">
        <f t="shared" si="16"/>
        <v>0</v>
      </c>
      <c r="G37" s="621">
        <f t="shared" si="16"/>
        <v>125165839.18000001</v>
      </c>
      <c r="I37" s="621">
        <f t="shared" si="16"/>
        <v>0</v>
      </c>
      <c r="J37" s="621">
        <f t="shared" si="16"/>
        <v>0</v>
      </c>
      <c r="K37" s="303">
        <f>SUM(K31:K36)</f>
        <v>0</v>
      </c>
      <c r="L37" s="621">
        <f t="shared" si="16"/>
        <v>0</v>
      </c>
      <c r="M37" s="621">
        <f t="shared" ref="M37:N37" si="17">SUM(M31:M36)</f>
        <v>0</v>
      </c>
      <c r="N37" s="621">
        <f t="shared" si="17"/>
        <v>0</v>
      </c>
      <c r="O37" s="621">
        <f t="shared" si="16"/>
        <v>0</v>
      </c>
      <c r="P37" s="621">
        <f t="shared" si="16"/>
        <v>0</v>
      </c>
      <c r="Q37" s="621">
        <f t="shared" si="16"/>
        <v>0</v>
      </c>
      <c r="R37" s="622">
        <f t="shared" si="16"/>
        <v>0</v>
      </c>
      <c r="S37" s="621">
        <f t="shared" ref="S37:V37" si="18">SUM(S31:S36)</f>
        <v>0</v>
      </c>
      <c r="T37" s="621">
        <f t="shared" si="18"/>
        <v>0</v>
      </c>
      <c r="U37" s="621">
        <f t="shared" si="18"/>
        <v>0</v>
      </c>
      <c r="V37" s="621">
        <f t="shared" si="18"/>
        <v>125165839.18000001</v>
      </c>
    </row>
    <row r="38" spans="1:22">
      <c r="A38" s="446">
        <v>31</v>
      </c>
      <c r="B38" s="195"/>
      <c r="C38" s="196"/>
      <c r="D38" s="615"/>
      <c r="E38" s="616"/>
      <c r="F38" s="615"/>
      <c r="G38" s="618"/>
    </row>
    <row r="39" spans="1:22">
      <c r="A39" s="759">
        <v>32</v>
      </c>
      <c r="B39" s="199" t="s">
        <v>162</v>
      </c>
      <c r="C39" s="196"/>
      <c r="D39" s="615"/>
      <c r="E39" s="616"/>
      <c r="F39" s="615"/>
      <c r="G39" s="618"/>
    </row>
    <row r="40" spans="1:22">
      <c r="A40" s="446">
        <v>33</v>
      </c>
      <c r="B40" s="197" t="s">
        <v>163</v>
      </c>
      <c r="C40" s="198" t="s">
        <v>164</v>
      </c>
      <c r="D40" s="617"/>
      <c r="E40" s="625">
        <v>0</v>
      </c>
      <c r="F40" s="617">
        <v>0</v>
      </c>
      <c r="G40" s="626">
        <v>0</v>
      </c>
      <c r="U40" s="436">
        <f t="shared" ref="U40:U50" si="19">SUM(I40:T40)</f>
        <v>0</v>
      </c>
      <c r="V40" s="436">
        <f t="shared" ref="V40:V50" si="20">+G40+U40</f>
        <v>0</v>
      </c>
    </row>
    <row r="41" spans="1:22">
      <c r="A41" s="759">
        <v>34</v>
      </c>
      <c r="B41" s="197" t="s">
        <v>165</v>
      </c>
      <c r="C41" s="198" t="s">
        <v>166</v>
      </c>
      <c r="D41" s="617"/>
      <c r="E41" s="625">
        <v>0</v>
      </c>
      <c r="F41" s="617">
        <v>0</v>
      </c>
      <c r="G41" s="626">
        <v>0</v>
      </c>
      <c r="U41" s="436">
        <f t="shared" si="19"/>
        <v>0</v>
      </c>
      <c r="V41" s="436">
        <f t="shared" si="20"/>
        <v>0</v>
      </c>
    </row>
    <row r="42" spans="1:22">
      <c r="A42" s="446">
        <v>35</v>
      </c>
      <c r="B42" s="197" t="s">
        <v>167</v>
      </c>
      <c r="C42" s="198" t="s">
        <v>168</v>
      </c>
      <c r="D42" s="617"/>
      <c r="E42" s="625">
        <v>0</v>
      </c>
      <c r="F42" s="617">
        <v>0</v>
      </c>
      <c r="G42" s="626">
        <v>0</v>
      </c>
      <c r="U42" s="436">
        <f t="shared" si="19"/>
        <v>0</v>
      </c>
      <c r="V42" s="436">
        <f t="shared" si="20"/>
        <v>0</v>
      </c>
    </row>
    <row r="43" spans="1:22">
      <c r="A43" s="759">
        <v>36</v>
      </c>
      <c r="B43" s="197" t="s">
        <v>169</v>
      </c>
      <c r="C43" s="198" t="s">
        <v>170</v>
      </c>
      <c r="D43" s="617"/>
      <c r="E43" s="625">
        <v>0</v>
      </c>
      <c r="F43" s="617">
        <v>0</v>
      </c>
      <c r="G43" s="626">
        <v>0</v>
      </c>
      <c r="U43" s="436">
        <f t="shared" si="19"/>
        <v>0</v>
      </c>
      <c r="V43" s="436">
        <f t="shared" si="20"/>
        <v>0</v>
      </c>
    </row>
    <row r="44" spans="1:22">
      <c r="A44" s="446">
        <v>37</v>
      </c>
      <c r="B44" s="197" t="s">
        <v>171</v>
      </c>
      <c r="C44" s="198" t="s">
        <v>172</v>
      </c>
      <c r="D44" s="617"/>
      <c r="E44" s="625">
        <v>0</v>
      </c>
      <c r="F44" s="617">
        <v>0</v>
      </c>
      <c r="G44" s="626">
        <v>0</v>
      </c>
      <c r="U44" s="436">
        <f t="shared" si="19"/>
        <v>0</v>
      </c>
      <c r="V44" s="436">
        <f t="shared" si="20"/>
        <v>0</v>
      </c>
    </row>
    <row r="45" spans="1:22">
      <c r="A45" s="759">
        <v>38</v>
      </c>
      <c r="B45" s="197" t="s">
        <v>173</v>
      </c>
      <c r="C45" s="198" t="s">
        <v>174</v>
      </c>
      <c r="D45" s="617"/>
      <c r="E45" s="625">
        <v>0</v>
      </c>
      <c r="F45" s="617">
        <v>0</v>
      </c>
      <c r="G45" s="626">
        <v>0</v>
      </c>
      <c r="U45" s="436">
        <f t="shared" si="19"/>
        <v>0</v>
      </c>
      <c r="V45" s="436">
        <f t="shared" si="20"/>
        <v>0</v>
      </c>
    </row>
    <row r="46" spans="1:22">
      <c r="A46" s="446">
        <v>39</v>
      </c>
      <c r="B46" s="197" t="s">
        <v>175</v>
      </c>
      <c r="C46" s="198" t="s">
        <v>176</v>
      </c>
      <c r="D46" s="617"/>
      <c r="E46" s="631">
        <v>0</v>
      </c>
      <c r="F46" s="617">
        <v>0</v>
      </c>
      <c r="G46" s="626">
        <v>0</v>
      </c>
      <c r="U46" s="436">
        <f t="shared" si="19"/>
        <v>0</v>
      </c>
      <c r="V46" s="436">
        <f t="shared" si="20"/>
        <v>0</v>
      </c>
    </row>
    <row r="47" spans="1:22">
      <c r="A47" s="759">
        <v>40</v>
      </c>
      <c r="B47" s="197" t="s">
        <v>177</v>
      </c>
      <c r="C47" s="198" t="s">
        <v>178</v>
      </c>
      <c r="D47" s="617"/>
      <c r="E47" s="625">
        <v>0</v>
      </c>
      <c r="F47" s="617">
        <v>0</v>
      </c>
      <c r="G47" s="626">
        <v>0</v>
      </c>
      <c r="U47" s="436">
        <f t="shared" si="19"/>
        <v>0</v>
      </c>
      <c r="V47" s="436">
        <f t="shared" si="20"/>
        <v>0</v>
      </c>
    </row>
    <row r="48" spans="1:22">
      <c r="A48" s="446">
        <v>41</v>
      </c>
      <c r="B48" s="197" t="s">
        <v>179</v>
      </c>
      <c r="C48" s="198" t="s">
        <v>180</v>
      </c>
      <c r="D48" s="617"/>
      <c r="E48" s="625">
        <v>0</v>
      </c>
      <c r="F48" s="617">
        <v>0</v>
      </c>
      <c r="G48" s="626">
        <v>0</v>
      </c>
      <c r="U48" s="436">
        <f t="shared" si="19"/>
        <v>0</v>
      </c>
      <c r="V48" s="436">
        <f t="shared" si="20"/>
        <v>0</v>
      </c>
    </row>
    <row r="49" spans="1:22">
      <c r="A49" s="759">
        <v>42</v>
      </c>
      <c r="B49" s="197" t="s">
        <v>181</v>
      </c>
      <c r="C49" s="198" t="s">
        <v>182</v>
      </c>
      <c r="D49" s="617"/>
      <c r="E49" s="625">
        <v>0</v>
      </c>
      <c r="F49" s="617">
        <v>0</v>
      </c>
      <c r="G49" s="626">
        <v>0</v>
      </c>
      <c r="U49" s="436">
        <f t="shared" si="19"/>
        <v>0</v>
      </c>
      <c r="V49" s="436">
        <f t="shared" si="20"/>
        <v>0</v>
      </c>
    </row>
    <row r="50" spans="1:22">
      <c r="A50" s="446">
        <v>43</v>
      </c>
      <c r="B50" s="197" t="s">
        <v>183</v>
      </c>
      <c r="C50" s="198" t="s">
        <v>184</v>
      </c>
      <c r="D50" s="617"/>
      <c r="E50" s="625">
        <v>0</v>
      </c>
      <c r="F50" s="617">
        <v>0</v>
      </c>
      <c r="G50" s="626">
        <v>0</v>
      </c>
      <c r="U50" s="436">
        <f t="shared" si="19"/>
        <v>0</v>
      </c>
      <c r="V50" s="436">
        <f t="shared" si="20"/>
        <v>0</v>
      </c>
    </row>
    <row r="51" spans="1:22">
      <c r="A51" s="759">
        <v>44</v>
      </c>
      <c r="B51" s="199" t="s">
        <v>185</v>
      </c>
      <c r="C51" s="632"/>
      <c r="D51" s="620"/>
      <c r="E51" s="633">
        <f t="shared" ref="E51:G51" si="21">SUM(E40:E50)</f>
        <v>0</v>
      </c>
      <c r="F51" s="620">
        <f t="shared" si="21"/>
        <v>0</v>
      </c>
      <c r="G51" s="303">
        <f t="shared" si="21"/>
        <v>0</v>
      </c>
      <c r="I51" s="621">
        <f t="shared" ref="I51:R51" si="22">SUM(I40:I50)</f>
        <v>0</v>
      </c>
      <c r="J51" s="621">
        <f t="shared" si="22"/>
        <v>0</v>
      </c>
      <c r="K51" s="303">
        <f>SUM(K40:K50)</f>
        <v>0</v>
      </c>
      <c r="L51" s="621">
        <f t="shared" si="22"/>
        <v>0</v>
      </c>
      <c r="M51" s="621">
        <f t="shared" ref="M51:N51" si="23">SUM(M40:M50)</f>
        <v>0</v>
      </c>
      <c r="N51" s="621">
        <f t="shared" si="23"/>
        <v>0</v>
      </c>
      <c r="O51" s="621">
        <f t="shared" si="22"/>
        <v>0</v>
      </c>
      <c r="P51" s="621">
        <f t="shared" si="22"/>
        <v>0</v>
      </c>
      <c r="Q51" s="621">
        <f t="shared" si="22"/>
        <v>0</v>
      </c>
      <c r="R51" s="622">
        <f t="shared" si="22"/>
        <v>0</v>
      </c>
      <c r="S51" s="303">
        <f t="shared" ref="S51:V51" si="24">SUM(S40:S50)</f>
        <v>0</v>
      </c>
      <c r="T51" s="303">
        <f t="shared" si="24"/>
        <v>0</v>
      </c>
      <c r="U51" s="303">
        <f t="shared" si="24"/>
        <v>0</v>
      </c>
      <c r="V51" s="303">
        <f t="shared" si="24"/>
        <v>0</v>
      </c>
    </row>
    <row r="52" spans="1:22">
      <c r="A52" s="446">
        <v>45</v>
      </c>
      <c r="B52" s="195"/>
      <c r="C52" s="196"/>
      <c r="D52" s="615"/>
      <c r="E52" s="616"/>
      <c r="F52" s="615"/>
      <c r="G52" s="618"/>
      <c r="I52" s="618"/>
      <c r="J52" s="618"/>
      <c r="K52" s="626"/>
      <c r="L52" s="618"/>
      <c r="M52" s="618"/>
      <c r="N52" s="618"/>
      <c r="O52" s="618"/>
      <c r="P52" s="618"/>
      <c r="Q52" s="618"/>
      <c r="R52" s="634"/>
      <c r="S52" s="618"/>
      <c r="T52" s="618"/>
      <c r="U52" s="618"/>
      <c r="V52" s="618"/>
    </row>
    <row r="53" spans="1:22">
      <c r="A53" s="759">
        <v>46</v>
      </c>
      <c r="B53" s="197" t="s">
        <v>186</v>
      </c>
      <c r="C53" s="198" t="s">
        <v>33</v>
      </c>
      <c r="D53" s="433"/>
      <c r="E53" s="832">
        <v>20632282.93</v>
      </c>
      <c r="F53" s="833">
        <v>0</v>
      </c>
      <c r="G53" s="635">
        <f>SUM(E53:F53)</f>
        <v>20632282.93</v>
      </c>
      <c r="I53" s="698">
        <f>+I28*(+'Exh MCP-4 - Conversion Factor'!C9+'Exh MCP-4 - Conversion Factor'!C10)</f>
        <v>-117677.54378400001</v>
      </c>
      <c r="J53" s="698">
        <f>+J28*(+'Exh MCP-4 - Conversion Factor'!B9+'Exh MCP-4 - Conversion Factor'!B10)</f>
        <v>0</v>
      </c>
      <c r="K53" s="698">
        <f>+K28*(+'Exh MCP-4 - Conversion Factor'!C9+'Exh MCP-4 - Conversion Factor'!C10)</f>
        <v>604670.87622640014</v>
      </c>
      <c r="L53" s="698">
        <f>+L28*(+'Exh MCP-4 - Conversion Factor'!$C$9+'Exh MCP-4 - Conversion Factor'!$C$10)</f>
        <v>37411.897597199997</v>
      </c>
      <c r="M53" s="698">
        <f>+M28*(+'Exh MCP-4 - Conversion Factor'!$C$9+'Exh MCP-4 - Conversion Factor'!$C$10)</f>
        <v>0</v>
      </c>
      <c r="N53" s="698">
        <f>+N28*(+'Exh MCP-4 - Conversion Factor'!$C$9+'Exh MCP-4 - Conversion Factor'!$C$10)</f>
        <v>0</v>
      </c>
      <c r="O53" s="698">
        <f>+O28*(+'Exh MCP-4 - Conversion Factor'!$C$9+'Exh MCP-4 - Conversion Factor'!$C$10)</f>
        <v>0</v>
      </c>
      <c r="P53" s="698">
        <f>+P28*(+'Exh MCP-4 - Conversion Factor'!$C$9+'Exh MCP-4 - Conversion Factor'!$C$10)</f>
        <v>0</v>
      </c>
      <c r="Q53" s="698">
        <f>+Q28*(+'Exh MCP-4 - Conversion Factor'!$C$9+'Exh MCP-4 - Conversion Factor'!$C$10)</f>
        <v>51907.2229544</v>
      </c>
      <c r="R53" s="636">
        <v>0</v>
      </c>
      <c r="S53" s="635"/>
      <c r="T53" s="635"/>
      <c r="U53" s="703">
        <f>SUM(I53:T53)</f>
        <v>576312.45299400017</v>
      </c>
      <c r="V53" s="704">
        <f>+G53+U53</f>
        <v>21208595.382994</v>
      </c>
    </row>
    <row r="54" spans="1:22" ht="16.5" thickBot="1">
      <c r="A54" s="446">
        <v>47</v>
      </c>
      <c r="B54" s="199" t="s">
        <v>187</v>
      </c>
      <c r="C54" s="196"/>
      <c r="D54" s="628"/>
      <c r="E54" s="831">
        <f t="shared" ref="E54:G54" si="25">E28-E37-E53</f>
        <v>101398753.37999997</v>
      </c>
      <c r="F54" s="834">
        <f t="shared" si="25"/>
        <v>128113.94</v>
      </c>
      <c r="G54" s="629">
        <f t="shared" si="25"/>
        <v>101526867.31999996</v>
      </c>
      <c r="I54" s="629">
        <f t="shared" ref="I54:R54" si="26">I28-I37-I53</f>
        <v>-2786506.6562160002</v>
      </c>
      <c r="J54" s="629">
        <f t="shared" si="26"/>
        <v>0</v>
      </c>
      <c r="K54" s="697">
        <f>K28-K37-K53</f>
        <v>14318104.943773601</v>
      </c>
      <c r="L54" s="629">
        <f>L28-L37-L53</f>
        <v>885882.71240279998</v>
      </c>
      <c r="M54" s="629">
        <f t="shared" ref="M54:N54" si="27">M28-M37-M53</f>
        <v>0</v>
      </c>
      <c r="N54" s="629">
        <f t="shared" si="27"/>
        <v>0</v>
      </c>
      <c r="O54" s="629">
        <f t="shared" si="26"/>
        <v>0</v>
      </c>
      <c r="P54" s="629">
        <f t="shared" si="26"/>
        <v>0</v>
      </c>
      <c r="Q54" s="629">
        <f t="shared" si="26"/>
        <v>1229119.9970455999</v>
      </c>
      <c r="R54" s="630">
        <f t="shared" si="26"/>
        <v>0</v>
      </c>
      <c r="S54" s="629">
        <f t="shared" ref="S54:V54" si="28">S28-S37-S53</f>
        <v>0</v>
      </c>
      <c r="T54" s="629">
        <f t="shared" si="28"/>
        <v>0</v>
      </c>
      <c r="U54" s="629">
        <f t="shared" si="28"/>
        <v>13646600.997006001</v>
      </c>
      <c r="V54" s="629">
        <f t="shared" si="28"/>
        <v>114171779.31700596</v>
      </c>
    </row>
    <row r="55" spans="1:22" ht="16.5" thickTop="1">
      <c r="A55" s="759">
        <v>48</v>
      </c>
      <c r="B55" s="195"/>
      <c r="C55" s="196"/>
      <c r="D55" s="615"/>
      <c r="E55" s="616"/>
      <c r="F55" s="615"/>
      <c r="G55" s="618"/>
    </row>
    <row r="56" spans="1:22">
      <c r="A56" s="446">
        <v>49</v>
      </c>
      <c r="B56" s="199" t="s">
        <v>188</v>
      </c>
      <c r="C56" s="196"/>
      <c r="D56" s="615"/>
      <c r="E56" s="616"/>
      <c r="F56" s="615"/>
      <c r="G56" s="618"/>
    </row>
    <row r="57" spans="1:22">
      <c r="A57" s="759">
        <v>50</v>
      </c>
      <c r="B57" s="637">
        <v>813</v>
      </c>
      <c r="C57" s="198" t="s">
        <v>189</v>
      </c>
      <c r="D57" s="615"/>
      <c r="E57" s="625">
        <v>3448.67</v>
      </c>
      <c r="F57" s="617">
        <v>316579.44</v>
      </c>
      <c r="G57" s="618">
        <f>SUM(E57:F57)</f>
        <v>320028.11</v>
      </c>
      <c r="M57" s="423"/>
      <c r="P57" s="423">
        <f>+'Restate &amp; Pro Forma Wage Adjust'!Q20+'Restate &amp; Pro Forma Wage Adjust'!Q21</f>
        <v>13282.7868</v>
      </c>
      <c r="U57" s="436">
        <f>SUM(I57:T57)</f>
        <v>13282.7868</v>
      </c>
      <c r="V57" s="436">
        <f>+G57+U57</f>
        <v>333310.89679999999</v>
      </c>
    </row>
    <row r="58" spans="1:22">
      <c r="A58" s="446">
        <v>51</v>
      </c>
      <c r="B58" s="637"/>
      <c r="C58" s="198"/>
      <c r="D58" s="615"/>
      <c r="E58" s="625"/>
      <c r="F58" s="617"/>
      <c r="G58" s="618"/>
    </row>
    <row r="59" spans="1:22">
      <c r="A59" s="759">
        <v>52</v>
      </c>
      <c r="B59" s="199" t="s">
        <v>190</v>
      </c>
      <c r="C59" s="196"/>
      <c r="D59" s="615"/>
      <c r="E59" s="616"/>
      <c r="F59" s="615"/>
      <c r="G59" s="618"/>
    </row>
    <row r="60" spans="1:22">
      <c r="A60" s="446">
        <v>53</v>
      </c>
      <c r="B60" s="199" t="s">
        <v>191</v>
      </c>
      <c r="C60" s="196"/>
      <c r="D60" s="615"/>
      <c r="E60" s="616"/>
      <c r="F60" s="615"/>
      <c r="G60" s="618"/>
    </row>
    <row r="61" spans="1:22">
      <c r="A61" s="759">
        <v>54</v>
      </c>
      <c r="B61" s="197" t="s">
        <v>192</v>
      </c>
      <c r="C61" s="198" t="s">
        <v>193</v>
      </c>
      <c r="D61" s="615"/>
      <c r="E61" s="625">
        <v>1157305.51</v>
      </c>
      <c r="F61" s="617">
        <v>907290.82</v>
      </c>
      <c r="G61" s="618">
        <f t="shared" ref="G61:G71" si="29">SUM(E61:F61)</f>
        <v>2064596.33</v>
      </c>
      <c r="M61" s="423">
        <f>+'Restate &amp; Pro Forma Wage Adjust'!P44</f>
        <v>0</v>
      </c>
      <c r="P61" s="423">
        <f>+'Restate &amp; Pro Forma Wage Adjust'!Q22+'Restate &amp; Pro Forma Wage Adjust'!Q44</f>
        <v>137242.623903</v>
      </c>
      <c r="R61" s="603">
        <f>'MAOP UG-160787 Deferral'!D15</f>
        <v>925749.91111111105</v>
      </c>
      <c r="U61" s="436">
        <f t="shared" ref="U61:U71" si="30">SUM(I61:T61)</f>
        <v>1062992.5350141111</v>
      </c>
      <c r="V61" s="436">
        <f t="shared" ref="V61:V71" si="31">+G61+U61</f>
        <v>3127588.8650141112</v>
      </c>
    </row>
    <row r="62" spans="1:22">
      <c r="A62" s="446">
        <v>55</v>
      </c>
      <c r="B62" s="197" t="s">
        <v>194</v>
      </c>
      <c r="C62" s="198" t="s">
        <v>195</v>
      </c>
      <c r="D62" s="615"/>
      <c r="E62" s="625">
        <v>65379.199999999997</v>
      </c>
      <c r="F62" s="617">
        <v>238694.68</v>
      </c>
      <c r="G62" s="618">
        <f t="shared" si="29"/>
        <v>304073.88</v>
      </c>
      <c r="M62" s="423">
        <f>+'Restate &amp; Pro Forma Wage Adjust'!P23+'Restate &amp; Pro Forma Wage Adjust'!P45</f>
        <v>581.33039999999994</v>
      </c>
      <c r="P62" s="423">
        <f>+'Restate &amp; Pro Forma Wage Adjust'!Q23+'Restate &amp; Pro Forma Wage Adjust'!Q45</f>
        <v>19846.826265360003</v>
      </c>
      <c r="U62" s="436">
        <f t="shared" si="30"/>
        <v>20428.156665360002</v>
      </c>
      <c r="V62" s="436">
        <f t="shared" si="31"/>
        <v>324502.03666535998</v>
      </c>
    </row>
    <row r="63" spans="1:22">
      <c r="A63" s="759">
        <v>56</v>
      </c>
      <c r="B63" s="624" t="s">
        <v>196</v>
      </c>
      <c r="C63" s="198" t="s">
        <v>197</v>
      </c>
      <c r="D63" s="617"/>
      <c r="E63" s="625">
        <v>37041.43</v>
      </c>
      <c r="F63" s="617">
        <v>0</v>
      </c>
      <c r="G63" s="618">
        <f t="shared" si="29"/>
        <v>37041.43</v>
      </c>
      <c r="M63" s="423">
        <f>+'Restate &amp; Pro Forma Wage Adjust'!P46</f>
        <v>143.70779999999999</v>
      </c>
      <c r="P63" s="423">
        <f>+'Restate &amp; Pro Forma Wage Adjust'!Q46</f>
        <v>1336.6428100200001</v>
      </c>
      <c r="U63" s="436">
        <f t="shared" si="30"/>
        <v>1480.35061002</v>
      </c>
      <c r="V63" s="436">
        <f t="shared" si="31"/>
        <v>38521.780610020003</v>
      </c>
    </row>
    <row r="64" spans="1:22">
      <c r="A64" s="446">
        <v>57</v>
      </c>
      <c r="B64" s="624" t="s">
        <v>198</v>
      </c>
      <c r="C64" s="198" t="s">
        <v>199</v>
      </c>
      <c r="D64" s="615"/>
      <c r="E64" s="625">
        <v>3541583.32</v>
      </c>
      <c r="F64" s="617">
        <v>539375.5</v>
      </c>
      <c r="G64" s="618">
        <f t="shared" si="29"/>
        <v>4080958.82</v>
      </c>
      <c r="M64" s="423">
        <f>+'Restate &amp; Pro Forma Wage Adjust'!P47</f>
        <v>15578.269799999998</v>
      </c>
      <c r="P64" s="423">
        <f>+'Restate &amp; Pro Forma Wage Adjust'!Q24+'Restate &amp; Pro Forma Wage Adjust'!Q47</f>
        <v>158213.70496782</v>
      </c>
      <c r="S64" s="423"/>
      <c r="U64" s="436">
        <f t="shared" si="30"/>
        <v>173791.97476782001</v>
      </c>
      <c r="V64" s="436">
        <f t="shared" si="31"/>
        <v>4254750.7947678203</v>
      </c>
    </row>
    <row r="65" spans="1:22">
      <c r="A65" s="759">
        <v>58</v>
      </c>
      <c r="B65" s="197" t="s">
        <v>200</v>
      </c>
      <c r="C65" s="198" t="s">
        <v>201</v>
      </c>
      <c r="D65" s="615"/>
      <c r="E65" s="625">
        <v>315954.13</v>
      </c>
      <c r="F65" s="617">
        <v>88265.32</v>
      </c>
      <c r="G65" s="618">
        <f t="shared" si="29"/>
        <v>404219.45</v>
      </c>
      <c r="M65" s="423">
        <f>+'Restate &amp; Pro Forma Wage Adjust'!P48</f>
        <v>1505.0943</v>
      </c>
      <c r="P65" s="423">
        <f>+'Restate &amp; Pro Forma Wage Adjust'!Q48+'Restate &amp; Pro Forma Wage Adjust'!Q25</f>
        <v>10243.18816887</v>
      </c>
      <c r="U65" s="436">
        <f t="shared" si="30"/>
        <v>11748.28246887</v>
      </c>
      <c r="V65" s="436">
        <f t="shared" si="31"/>
        <v>415967.73246887</v>
      </c>
    </row>
    <row r="66" spans="1:22">
      <c r="A66" s="446">
        <v>59</v>
      </c>
      <c r="B66" s="197" t="s">
        <v>202</v>
      </c>
      <c r="C66" s="198" t="s">
        <v>203</v>
      </c>
      <c r="D66" s="615"/>
      <c r="E66" s="625">
        <v>123534.78</v>
      </c>
      <c r="F66" s="617">
        <v>3380.28</v>
      </c>
      <c r="G66" s="618">
        <f t="shared" si="29"/>
        <v>126915.06</v>
      </c>
      <c r="M66" s="423">
        <f>+'Restate &amp; Pro Forma Wage Adjust'!P49</f>
        <v>704.02289999999994</v>
      </c>
      <c r="P66" s="423">
        <f>+'Restate &amp; Pro Forma Wage Adjust'!Q49</f>
        <v>5358.0162806099988</v>
      </c>
      <c r="U66" s="436">
        <f t="shared" si="30"/>
        <v>6062.0391806099988</v>
      </c>
      <c r="V66" s="436">
        <f t="shared" si="31"/>
        <v>132977.09918061001</v>
      </c>
    </row>
    <row r="67" spans="1:22">
      <c r="A67" s="759">
        <v>60</v>
      </c>
      <c r="B67" s="197" t="s">
        <v>204</v>
      </c>
      <c r="C67" s="198" t="s">
        <v>205</v>
      </c>
      <c r="D67" s="615"/>
      <c r="E67" s="625">
        <v>1097839.44</v>
      </c>
      <c r="F67" s="617">
        <v>0</v>
      </c>
      <c r="G67" s="618">
        <f t="shared" si="29"/>
        <v>1097839.44</v>
      </c>
      <c r="M67" s="423">
        <f>+'Restate &amp; Pro Forma Wage Adjust'!P50</f>
        <v>6893.2955999999995</v>
      </c>
      <c r="P67" s="423">
        <f>+'Restate &amp; Pro Forma Wage Adjust'!Q50</f>
        <v>56161.155146039993</v>
      </c>
      <c r="U67" s="436">
        <f t="shared" si="30"/>
        <v>63054.450746039991</v>
      </c>
      <c r="V67" s="436">
        <f t="shared" si="31"/>
        <v>1160893.89074604</v>
      </c>
    </row>
    <row r="68" spans="1:22">
      <c r="A68" s="446">
        <v>61</v>
      </c>
      <c r="B68" s="197" t="s">
        <v>206</v>
      </c>
      <c r="C68" s="198" t="s">
        <v>207</v>
      </c>
      <c r="D68" s="615"/>
      <c r="E68" s="625">
        <v>674150</v>
      </c>
      <c r="F68" s="617">
        <v>0</v>
      </c>
      <c r="G68" s="618">
        <f t="shared" si="29"/>
        <v>674150</v>
      </c>
      <c r="M68" s="423">
        <f>+'Restate &amp; Pro Forma Wage Adjust'!P51</f>
        <v>5388.3848999999991</v>
      </c>
      <c r="P68" s="423">
        <f>+'Restate &amp; Pro Forma Wage Adjust'!Q51</f>
        <v>37804.206346409992</v>
      </c>
      <c r="U68" s="436">
        <f t="shared" si="30"/>
        <v>43192.591246409989</v>
      </c>
      <c r="V68" s="436">
        <f t="shared" si="31"/>
        <v>717342.59124641004</v>
      </c>
    </row>
    <row r="69" spans="1:22">
      <c r="A69" s="759">
        <v>62</v>
      </c>
      <c r="B69" s="197" t="s">
        <v>208</v>
      </c>
      <c r="C69" s="198" t="s">
        <v>209</v>
      </c>
      <c r="D69" s="615"/>
      <c r="E69" s="625">
        <v>3966282.22</v>
      </c>
      <c r="F69" s="617">
        <v>830916.13</v>
      </c>
      <c r="G69" s="618">
        <f t="shared" si="29"/>
        <v>4797198.3500000006</v>
      </c>
      <c r="M69" s="423">
        <f>+'Restate &amp; Pro Forma Wage Adjust'!P52</f>
        <v>21196.826700000001</v>
      </c>
      <c r="P69" s="423">
        <f>+'Restate &amp; Pro Forma Wage Adjust'!Q26+'Restate &amp; Pro Forma Wage Adjust'!Q52</f>
        <v>189634.71931203001</v>
      </c>
      <c r="U69" s="436">
        <f t="shared" si="30"/>
        <v>210831.54601203001</v>
      </c>
      <c r="V69" s="436">
        <f t="shared" si="31"/>
        <v>5008029.8960120305</v>
      </c>
    </row>
    <row r="70" spans="1:22">
      <c r="A70" s="446">
        <v>63</v>
      </c>
      <c r="B70" s="197" t="s">
        <v>210</v>
      </c>
      <c r="C70" s="198" t="s">
        <v>211</v>
      </c>
      <c r="D70" s="615"/>
      <c r="E70" s="625">
        <v>101842.75</v>
      </c>
      <c r="F70" s="617">
        <v>3782.4</v>
      </c>
      <c r="G70" s="618">
        <f t="shared" si="29"/>
        <v>105625.15</v>
      </c>
      <c r="U70" s="436">
        <f t="shared" si="30"/>
        <v>0</v>
      </c>
      <c r="V70" s="436">
        <f t="shared" si="31"/>
        <v>105625.15</v>
      </c>
    </row>
    <row r="71" spans="1:22">
      <c r="A71" s="759">
        <v>64</v>
      </c>
      <c r="B71" s="197" t="s">
        <v>212</v>
      </c>
      <c r="C71" s="198" t="s">
        <v>213</v>
      </c>
      <c r="D71" s="617"/>
      <c r="E71" s="625">
        <v>0</v>
      </c>
      <c r="F71" s="617">
        <v>0</v>
      </c>
      <c r="G71" s="618">
        <f t="shared" si="29"/>
        <v>0</v>
      </c>
      <c r="U71" s="436">
        <f t="shared" si="30"/>
        <v>0</v>
      </c>
      <c r="V71" s="436">
        <f t="shared" si="31"/>
        <v>0</v>
      </c>
    </row>
    <row r="72" spans="1:22">
      <c r="A72" s="446">
        <v>65</v>
      </c>
      <c r="B72" s="195"/>
      <c r="C72" s="638" t="s">
        <v>214</v>
      </c>
      <c r="D72" s="619"/>
      <c r="E72" s="829">
        <f t="shared" ref="E72:R72" si="32">SUM(E61:E71)</f>
        <v>11080912.780000001</v>
      </c>
      <c r="F72" s="619">
        <f t="shared" si="32"/>
        <v>2611705.13</v>
      </c>
      <c r="G72" s="621">
        <f t="shared" si="32"/>
        <v>13692617.910000002</v>
      </c>
      <c r="I72" s="621">
        <f t="shared" si="32"/>
        <v>0</v>
      </c>
      <c r="J72" s="621">
        <f t="shared" si="32"/>
        <v>0</v>
      </c>
      <c r="K72" s="303">
        <f>SUM(K61:K71)</f>
        <v>0</v>
      </c>
      <c r="L72" s="621">
        <f t="shared" si="32"/>
        <v>0</v>
      </c>
      <c r="M72" s="621">
        <f t="shared" ref="M72:N72" si="33">SUM(M61:M71)</f>
        <v>51990.932399999991</v>
      </c>
      <c r="N72" s="621">
        <f t="shared" si="33"/>
        <v>0</v>
      </c>
      <c r="O72" s="621">
        <f t="shared" si="32"/>
        <v>0</v>
      </c>
      <c r="P72" s="621">
        <f t="shared" si="32"/>
        <v>615841.08320015995</v>
      </c>
      <c r="Q72" s="621">
        <f t="shared" si="32"/>
        <v>0</v>
      </c>
      <c r="R72" s="622">
        <f t="shared" si="32"/>
        <v>925749.91111111105</v>
      </c>
      <c r="S72" s="621">
        <f t="shared" ref="S72:V72" si="34">SUM(S61:S71)</f>
        <v>0</v>
      </c>
      <c r="T72" s="621">
        <f t="shared" si="34"/>
        <v>0</v>
      </c>
      <c r="U72" s="621">
        <f t="shared" si="34"/>
        <v>1593581.9267112715</v>
      </c>
      <c r="V72" s="621">
        <f t="shared" si="34"/>
        <v>15286199.836711271</v>
      </c>
    </row>
    <row r="73" spans="1:22">
      <c r="A73" s="759">
        <v>66</v>
      </c>
      <c r="B73" s="195"/>
      <c r="C73" s="196"/>
      <c r="D73" s="615"/>
      <c r="E73" s="616"/>
      <c r="F73" s="615"/>
      <c r="G73" s="618"/>
    </row>
    <row r="74" spans="1:22">
      <c r="A74" s="446">
        <v>67</v>
      </c>
      <c r="B74" s="199" t="s">
        <v>215</v>
      </c>
      <c r="C74" s="196"/>
      <c r="D74" s="615"/>
      <c r="E74" s="616"/>
      <c r="F74" s="615"/>
      <c r="G74" s="618"/>
    </row>
    <row r="75" spans="1:22">
      <c r="A75" s="759">
        <v>68</v>
      </c>
      <c r="B75" s="197" t="s">
        <v>216</v>
      </c>
      <c r="C75" s="198" t="s">
        <v>217</v>
      </c>
      <c r="D75" s="617"/>
      <c r="E75" s="625">
        <v>892055.92999999993</v>
      </c>
      <c r="F75" s="617">
        <v>208638.59</v>
      </c>
      <c r="G75" s="626">
        <f t="shared" ref="G75:G83" si="35">SUM(E75:F75)</f>
        <v>1100694.52</v>
      </c>
      <c r="M75" s="423"/>
      <c r="P75" s="423">
        <f>+'Restate &amp; Pro Forma Wage Adjust'!Q27</f>
        <v>73399.343615999998</v>
      </c>
      <c r="U75" s="436">
        <f t="shared" ref="U75:U83" si="36">SUM(I75:T75)</f>
        <v>73399.343615999998</v>
      </c>
      <c r="V75" s="436">
        <f t="shared" ref="V75:V83" si="37">+G75+U75</f>
        <v>1174093.8636159999</v>
      </c>
    </row>
    <row r="76" spans="1:22">
      <c r="A76" s="446">
        <v>69</v>
      </c>
      <c r="B76" s="197" t="s">
        <v>218</v>
      </c>
      <c r="C76" s="198" t="s">
        <v>219</v>
      </c>
      <c r="D76" s="615"/>
      <c r="E76" s="625">
        <v>1106.0299999999988</v>
      </c>
      <c r="F76" s="617">
        <v>0</v>
      </c>
      <c r="G76" s="618">
        <f t="shared" si="35"/>
        <v>1106.0299999999988</v>
      </c>
      <c r="M76" s="423"/>
      <c r="U76" s="436">
        <f t="shared" si="36"/>
        <v>0</v>
      </c>
      <c r="V76" s="436">
        <f t="shared" si="37"/>
        <v>1106.0299999999988</v>
      </c>
    </row>
    <row r="77" spans="1:22">
      <c r="A77" s="759">
        <v>70</v>
      </c>
      <c r="B77" s="197" t="s">
        <v>220</v>
      </c>
      <c r="C77" s="198" t="s">
        <v>221</v>
      </c>
      <c r="D77" s="615"/>
      <c r="E77" s="625">
        <v>1610202.8900000001</v>
      </c>
      <c r="F77" s="617">
        <v>67297.100000000006</v>
      </c>
      <c r="G77" s="618">
        <f t="shared" si="35"/>
        <v>1677499.9900000002</v>
      </c>
      <c r="M77" s="423">
        <f>+'Restate &amp; Pro Forma Wage Adjust'!P53</f>
        <v>3799.8284999999996</v>
      </c>
      <c r="P77" s="423">
        <f>+'Restate &amp; Pro Forma Wage Adjust'!Q28+'Restate &amp; Pro Forma Wage Adjust'!Q53+'Restate &amp; Pro Forma Wage Adjust'!Q29</f>
        <v>32872.896334649995</v>
      </c>
      <c r="U77" s="436">
        <f t="shared" si="36"/>
        <v>36672.724834649998</v>
      </c>
      <c r="V77" s="436">
        <f t="shared" si="37"/>
        <v>1714172.7148346503</v>
      </c>
    </row>
    <row r="78" spans="1:22">
      <c r="A78" s="446">
        <v>71</v>
      </c>
      <c r="B78" s="624" t="s">
        <v>222</v>
      </c>
      <c r="C78" s="198" t="s">
        <v>197</v>
      </c>
      <c r="D78" s="617"/>
      <c r="E78" s="625">
        <v>73744.02</v>
      </c>
      <c r="F78" s="617">
        <v>0</v>
      </c>
      <c r="G78" s="626">
        <f t="shared" si="35"/>
        <v>73744.02</v>
      </c>
      <c r="M78" s="423">
        <f>+'Restate &amp; Pro Forma Wage Adjust'!P54</f>
        <v>409.60559999999998</v>
      </c>
      <c r="P78" s="423">
        <f>+'Restate &amp; Pro Forma Wage Adjust'!Q54</f>
        <v>3485.0320730399999</v>
      </c>
      <c r="U78" s="436">
        <f t="shared" si="36"/>
        <v>3894.6376730399998</v>
      </c>
      <c r="V78" s="436">
        <f t="shared" si="37"/>
        <v>77638.657673039997</v>
      </c>
    </row>
    <row r="79" spans="1:22">
      <c r="A79" s="759">
        <v>72</v>
      </c>
      <c r="B79" s="197" t="s">
        <v>223</v>
      </c>
      <c r="C79" s="198" t="s">
        <v>224</v>
      </c>
      <c r="D79" s="615"/>
      <c r="E79" s="625">
        <v>391998.68</v>
      </c>
      <c r="F79" s="615">
        <v>1029.1999999999971</v>
      </c>
      <c r="G79" s="618">
        <f t="shared" si="35"/>
        <v>393027.88</v>
      </c>
      <c r="M79" s="423">
        <f>+'Restate &amp; Pro Forma Wage Adjust'!P55</f>
        <v>2142.0381000000002</v>
      </c>
      <c r="P79" s="423">
        <f>+'Restate &amp; Pro Forma Wage Adjust'!Q30+'Restate &amp; Pro Forma Wage Adjust'!Q55</f>
        <v>14605.23846429</v>
      </c>
      <c r="U79" s="436">
        <f t="shared" si="36"/>
        <v>16747.276564290001</v>
      </c>
      <c r="V79" s="436">
        <f t="shared" si="37"/>
        <v>409775.15656429</v>
      </c>
    </row>
    <row r="80" spans="1:22">
      <c r="A80" s="446">
        <v>73</v>
      </c>
      <c r="B80" s="197" t="s">
        <v>225</v>
      </c>
      <c r="C80" s="198" t="s">
        <v>226</v>
      </c>
      <c r="D80" s="615"/>
      <c r="E80" s="625">
        <v>41236.550000000003</v>
      </c>
      <c r="F80" s="615">
        <v>5965.46</v>
      </c>
      <c r="G80" s="618">
        <f t="shared" si="35"/>
        <v>47202.01</v>
      </c>
      <c r="M80" s="423">
        <f>+'Restate &amp; Pro Forma Wage Adjust'!P56</f>
        <v>90.617699999999999</v>
      </c>
      <c r="P80" s="423">
        <f>+'Restate &amp; Pro Forma Wage Adjust'!Q56</f>
        <v>1567.03602993</v>
      </c>
      <c r="U80" s="436">
        <f t="shared" si="36"/>
        <v>1657.6537299300001</v>
      </c>
      <c r="V80" s="436">
        <f t="shared" si="37"/>
        <v>48859.663729930006</v>
      </c>
    </row>
    <row r="81" spans="1:22">
      <c r="A81" s="759">
        <v>74</v>
      </c>
      <c r="B81" s="197" t="s">
        <v>227</v>
      </c>
      <c r="C81" s="198" t="s">
        <v>107</v>
      </c>
      <c r="D81" s="615"/>
      <c r="E81" s="625">
        <v>1334268.1200000001</v>
      </c>
      <c r="F81" s="615">
        <v>194.89</v>
      </c>
      <c r="G81" s="618">
        <f t="shared" si="35"/>
        <v>1334463.01</v>
      </c>
      <c r="M81" s="423">
        <f>+'Restate &amp; Pro Forma Wage Adjust'!P31+'Restate &amp; Pro Forma Wage Adjust'!P57</f>
        <v>6120.2408999999998</v>
      </c>
      <c r="P81" s="423">
        <f>+'Restate &amp; Pro Forma Wage Adjust'!Q31+'Restate &amp; Pro Forma Wage Adjust'!Q57</f>
        <v>52857.50269881</v>
      </c>
      <c r="U81" s="436">
        <f t="shared" si="36"/>
        <v>58977.743598809997</v>
      </c>
      <c r="V81" s="436">
        <f t="shared" si="37"/>
        <v>1393440.7535988099</v>
      </c>
    </row>
    <row r="82" spans="1:22">
      <c r="A82" s="446">
        <v>75</v>
      </c>
      <c r="B82" s="197" t="s">
        <v>228</v>
      </c>
      <c r="C82" s="198" t="s">
        <v>229</v>
      </c>
      <c r="D82" s="615"/>
      <c r="E82" s="625">
        <v>648444.97</v>
      </c>
      <c r="F82" s="615">
        <v>343720.76</v>
      </c>
      <c r="G82" s="618">
        <f t="shared" si="35"/>
        <v>992165.73</v>
      </c>
      <c r="M82" s="423">
        <f>+'Restate &amp; Pro Forma Wage Adjust'!P58</f>
        <v>5123.9760000000006</v>
      </c>
      <c r="P82" s="423">
        <f>+'Restate &amp; Pro Forma Wage Adjust'!Q58</f>
        <v>42324.262877399997</v>
      </c>
      <c r="U82" s="436">
        <f t="shared" si="36"/>
        <v>47448.238877399999</v>
      </c>
      <c r="V82" s="436">
        <f t="shared" si="37"/>
        <v>1039613.9688774</v>
      </c>
    </row>
    <row r="83" spans="1:22">
      <c r="A83" s="759">
        <v>76</v>
      </c>
      <c r="B83" s="197" t="s">
        <v>230</v>
      </c>
      <c r="C83" s="198" t="s">
        <v>231</v>
      </c>
      <c r="D83" s="615"/>
      <c r="E83" s="625">
        <v>1036148.03</v>
      </c>
      <c r="F83" s="615">
        <v>65610.59</v>
      </c>
      <c r="G83" s="618">
        <f t="shared" si="35"/>
        <v>1101758.6200000001</v>
      </c>
      <c r="M83" s="423">
        <f>+'Restate &amp; Pro Forma Wage Adjust'!P59</f>
        <v>7487.6003999999994</v>
      </c>
      <c r="P83" s="423">
        <f>+'Restate &amp; Pro Forma Wage Adjust'!Q32+'Restate &amp; Pro Forma Wage Adjust'!Q59</f>
        <v>54218.193225359995</v>
      </c>
      <c r="U83" s="436">
        <f t="shared" si="36"/>
        <v>61705.793625359991</v>
      </c>
      <c r="V83" s="795">
        <f t="shared" si="37"/>
        <v>1163464.41362536</v>
      </c>
    </row>
    <row r="84" spans="1:22">
      <c r="A84" s="446">
        <v>77</v>
      </c>
      <c r="B84" s="195"/>
      <c r="C84" s="638" t="s">
        <v>232</v>
      </c>
      <c r="D84" s="619"/>
      <c r="E84" s="829">
        <f t="shared" ref="E84:G84" si="38">SUM(E75:E83)</f>
        <v>6029205.2200000007</v>
      </c>
      <c r="F84" s="619">
        <f t="shared" si="38"/>
        <v>692456.59</v>
      </c>
      <c r="G84" s="621">
        <f t="shared" si="38"/>
        <v>6721661.8099999996</v>
      </c>
      <c r="I84" s="621">
        <f t="shared" ref="I84:Q84" si="39">SUM(I75:I83)</f>
        <v>0</v>
      </c>
      <c r="J84" s="621">
        <f t="shared" si="39"/>
        <v>0</v>
      </c>
      <c r="K84" s="303">
        <f>SUM(K75:K83)</f>
        <v>0</v>
      </c>
      <c r="L84" s="621">
        <f>SUM(L75:L83)</f>
        <v>0</v>
      </c>
      <c r="M84" s="621">
        <f t="shared" ref="M84:N84" si="40">SUM(M75:M83)</f>
        <v>25173.907199999998</v>
      </c>
      <c r="N84" s="621">
        <f t="shared" si="40"/>
        <v>0</v>
      </c>
      <c r="O84" s="621">
        <f t="shared" si="39"/>
        <v>0</v>
      </c>
      <c r="P84" s="621">
        <f t="shared" si="39"/>
        <v>275329.50531947997</v>
      </c>
      <c r="Q84" s="621">
        <f t="shared" si="39"/>
        <v>0</v>
      </c>
      <c r="R84" s="622">
        <f>SUM(R75:R83)</f>
        <v>0</v>
      </c>
      <c r="S84" s="621">
        <f t="shared" ref="S84:V84" si="41">SUM(S75:S83)</f>
        <v>0</v>
      </c>
      <c r="T84" s="621">
        <f t="shared" si="41"/>
        <v>0</v>
      </c>
      <c r="U84" s="621">
        <f t="shared" si="41"/>
        <v>300503.41251947999</v>
      </c>
      <c r="V84" s="621">
        <f t="shared" si="41"/>
        <v>7022165.2225194797</v>
      </c>
    </row>
    <row r="85" spans="1:22">
      <c r="A85" s="759">
        <v>78</v>
      </c>
      <c r="B85" s="199" t="s">
        <v>233</v>
      </c>
      <c r="C85" s="196"/>
      <c r="D85" s="433"/>
      <c r="E85" s="832">
        <f t="shared" ref="E85:G85" si="42">E72+E84</f>
        <v>17110118</v>
      </c>
      <c r="F85" s="433">
        <f t="shared" si="42"/>
        <v>3304161.7199999997</v>
      </c>
      <c r="G85" s="635">
        <f t="shared" si="42"/>
        <v>20414279.720000003</v>
      </c>
      <c r="I85" s="635">
        <f t="shared" ref="I85:Q85" si="43">I72+I84</f>
        <v>0</v>
      </c>
      <c r="J85" s="635">
        <f t="shared" si="43"/>
        <v>0</v>
      </c>
      <c r="K85" s="698">
        <f>K72+K84</f>
        <v>0</v>
      </c>
      <c r="L85" s="635">
        <f>L72+L84</f>
        <v>0</v>
      </c>
      <c r="M85" s="635">
        <f t="shared" ref="M85:N85" si="44">M72+M84</f>
        <v>77164.839599999992</v>
      </c>
      <c r="N85" s="635">
        <f t="shared" si="44"/>
        <v>0</v>
      </c>
      <c r="O85" s="635">
        <f t="shared" si="43"/>
        <v>0</v>
      </c>
      <c r="P85" s="635">
        <f>P72+P84+P57</f>
        <v>904453.37531963992</v>
      </c>
      <c r="Q85" s="635">
        <f t="shared" si="43"/>
        <v>0</v>
      </c>
      <c r="R85" s="636">
        <f>R72+R84</f>
        <v>925749.91111111105</v>
      </c>
      <c r="S85" s="635">
        <f t="shared" ref="S85:V85" si="45">S72+S84</f>
        <v>0</v>
      </c>
      <c r="T85" s="635">
        <f t="shared" si="45"/>
        <v>0</v>
      </c>
      <c r="U85" s="635">
        <f t="shared" si="45"/>
        <v>1894085.3392307516</v>
      </c>
      <c r="V85" s="635">
        <f t="shared" si="45"/>
        <v>22308365.059230752</v>
      </c>
    </row>
    <row r="86" spans="1:22">
      <c r="A86" s="446">
        <v>79</v>
      </c>
      <c r="B86" s="195"/>
      <c r="C86" s="196"/>
      <c r="D86" s="615"/>
      <c r="E86" s="616"/>
      <c r="F86" s="615"/>
      <c r="G86" s="618"/>
    </row>
    <row r="87" spans="1:22">
      <c r="A87" s="759">
        <v>80</v>
      </c>
      <c r="B87" s="199" t="s">
        <v>234</v>
      </c>
      <c r="C87" s="196"/>
      <c r="D87" s="615"/>
      <c r="E87" s="616"/>
      <c r="F87" s="615"/>
      <c r="G87" s="618"/>
    </row>
    <row r="88" spans="1:22">
      <c r="A88" s="446">
        <v>81</v>
      </c>
      <c r="B88" s="197" t="s">
        <v>235</v>
      </c>
      <c r="C88" s="198" t="s">
        <v>236</v>
      </c>
      <c r="D88" s="615"/>
      <c r="E88" s="625">
        <v>996</v>
      </c>
      <c r="F88" s="615">
        <v>108519.03999999999</v>
      </c>
      <c r="G88" s="618">
        <f>SUM(E88:F88)</f>
        <v>109515.04</v>
      </c>
      <c r="P88" s="423">
        <f>+'Restate &amp; Pro Forma Wage Adjust'!Q33</f>
        <v>7666.5093120000001</v>
      </c>
      <c r="U88" s="436">
        <f>SUM(I88:T88)</f>
        <v>7666.5093120000001</v>
      </c>
      <c r="V88" s="436">
        <f>+G88+U88</f>
        <v>117181.54931199999</v>
      </c>
    </row>
    <row r="89" spans="1:22">
      <c r="A89" s="759">
        <v>82</v>
      </c>
      <c r="B89" s="197" t="s">
        <v>237</v>
      </c>
      <c r="C89" s="198" t="s">
        <v>238</v>
      </c>
      <c r="D89" s="615"/>
      <c r="E89" s="625">
        <v>413011.73</v>
      </c>
      <c r="F89" s="615">
        <v>157749.41</v>
      </c>
      <c r="G89" s="618">
        <f>SUM(E89:F89)</f>
        <v>570761.14</v>
      </c>
      <c r="M89" s="423">
        <f>+'Restate &amp; Pro Forma Wage Adjust'!P60</f>
        <v>2671.8998999999999</v>
      </c>
      <c r="P89" s="423">
        <f>+'Restate &amp; Pro Forma Wage Adjust'!Q34+'Restate &amp; Pro Forma Wage Adjust'!Q60</f>
        <v>28707.336992909994</v>
      </c>
      <c r="U89" s="436">
        <f>SUM(I89:T89)</f>
        <v>31379.236892909994</v>
      </c>
      <c r="V89" s="436">
        <f>+G89+U89</f>
        <v>602140.37689290999</v>
      </c>
    </row>
    <row r="90" spans="1:22">
      <c r="A90" s="446">
        <v>83</v>
      </c>
      <c r="B90" s="197" t="s">
        <v>239</v>
      </c>
      <c r="C90" s="198" t="s">
        <v>240</v>
      </c>
      <c r="D90" s="615"/>
      <c r="E90" s="625">
        <v>424249</v>
      </c>
      <c r="F90" s="615">
        <v>3656426.6</v>
      </c>
      <c r="G90" s="618">
        <f>SUM(E90:F90)</f>
        <v>4080675.6</v>
      </c>
      <c r="M90" s="423">
        <f>+'Restate &amp; Pro Forma Wage Adjust'!P61</f>
        <v>687.55470000000003</v>
      </c>
      <c r="P90" s="423">
        <f>+'Restate &amp; Pro Forma Wage Adjust'!Q35+'Restate &amp; Pro Forma Wage Adjust'!Q61</f>
        <v>194837.21737623002</v>
      </c>
      <c r="U90" s="436">
        <f>SUM(I90:T90)</f>
        <v>195524.77207623003</v>
      </c>
      <c r="V90" s="436">
        <f>+G90+U90</f>
        <v>4276200.3720762301</v>
      </c>
    </row>
    <row r="91" spans="1:22">
      <c r="A91" s="759">
        <v>84</v>
      </c>
      <c r="B91" s="197" t="s">
        <v>241</v>
      </c>
      <c r="C91" s="198" t="s">
        <v>23</v>
      </c>
      <c r="D91" s="615"/>
      <c r="E91" s="625">
        <v>964263.95</v>
      </c>
      <c r="F91" s="615">
        <v>29953.66</v>
      </c>
      <c r="G91" s="618">
        <f>SUM(E91:F91)</f>
        <v>994217.61</v>
      </c>
      <c r="I91" s="302">
        <f>+I28*'Exh MCP-4 - Conversion Factor'!C8</f>
        <v>-11674.481745569734</v>
      </c>
      <c r="J91" s="302"/>
      <c r="K91" s="302">
        <f>+K28*'Exh MCP-4 - Conversion Factor'!C8</f>
        <v>59987.818232679398</v>
      </c>
      <c r="L91" s="302">
        <f>+L28*'Exh MCP-4 - Conversion Factor'!$C$8</f>
        <v>3711.5366409017465</v>
      </c>
      <c r="M91" s="302"/>
      <c r="N91" s="302"/>
      <c r="O91" s="302"/>
      <c r="P91" s="302"/>
      <c r="Q91" s="302">
        <f>+Q28*'Exh MCP-4 - Conversion Factor'!$C$8</f>
        <v>5149.5800078617403</v>
      </c>
      <c r="U91" s="436">
        <f>SUM(I91:T91)</f>
        <v>57174.453135873147</v>
      </c>
      <c r="V91" s="436">
        <f>+G91+U91</f>
        <v>1051392.0631358731</v>
      </c>
    </row>
    <row r="92" spans="1:22">
      <c r="A92" s="446">
        <v>85</v>
      </c>
      <c r="B92" s="197" t="s">
        <v>242</v>
      </c>
      <c r="C92" s="198" t="s">
        <v>243</v>
      </c>
      <c r="D92" s="615"/>
      <c r="E92" s="625">
        <v>0</v>
      </c>
      <c r="F92" s="615">
        <v>99081.279999999999</v>
      </c>
      <c r="G92" s="618">
        <f>SUM(E92:F92)</f>
        <v>99081.279999999999</v>
      </c>
      <c r="U92" s="436">
        <f>SUM(I92:T92)</f>
        <v>0</v>
      </c>
      <c r="V92" s="436">
        <f>+G92+U92</f>
        <v>99081.279999999999</v>
      </c>
    </row>
    <row r="93" spans="1:22">
      <c r="A93" s="759">
        <v>86</v>
      </c>
      <c r="B93" s="199" t="s">
        <v>244</v>
      </c>
      <c r="C93" s="196"/>
      <c r="D93" s="619"/>
      <c r="E93" s="829">
        <f t="shared" ref="E93:R93" si="46">SUM(E88:E92)</f>
        <v>1802520.68</v>
      </c>
      <c r="F93" s="619">
        <f t="shared" si="46"/>
        <v>4051729.99</v>
      </c>
      <c r="G93" s="621">
        <f t="shared" si="46"/>
        <v>5854250.6700000009</v>
      </c>
      <c r="I93" s="621">
        <f t="shared" si="46"/>
        <v>-11674.481745569734</v>
      </c>
      <c r="J93" s="621">
        <f t="shared" si="46"/>
        <v>0</v>
      </c>
      <c r="K93" s="303">
        <f>SUM(K88:K92)</f>
        <v>59987.818232679398</v>
      </c>
      <c r="L93" s="621">
        <f t="shared" si="46"/>
        <v>3711.5366409017465</v>
      </c>
      <c r="M93" s="621">
        <f t="shared" ref="M93:N93" si="47">SUM(M88:M92)</f>
        <v>3359.4546</v>
      </c>
      <c r="N93" s="621">
        <f t="shared" si="47"/>
        <v>0</v>
      </c>
      <c r="O93" s="621">
        <f t="shared" si="46"/>
        <v>0</v>
      </c>
      <c r="P93" s="796">
        <f>SUM(P88:P92)</f>
        <v>231211.06368114002</v>
      </c>
      <c r="Q93" s="621">
        <f t="shared" si="46"/>
        <v>5149.5800078617403</v>
      </c>
      <c r="R93" s="622">
        <f t="shared" si="46"/>
        <v>0</v>
      </c>
      <c r="S93" s="621">
        <f t="shared" ref="S93:V93" si="48">SUM(S88:S92)</f>
        <v>0</v>
      </c>
      <c r="T93" s="621">
        <f t="shared" si="48"/>
        <v>0</v>
      </c>
      <c r="U93" s="621">
        <f t="shared" si="48"/>
        <v>291744.97141701315</v>
      </c>
      <c r="V93" s="621">
        <f t="shared" si="48"/>
        <v>6145995.6414170144</v>
      </c>
    </row>
    <row r="94" spans="1:22">
      <c r="A94" s="446">
        <v>87</v>
      </c>
      <c r="B94" s="195"/>
      <c r="C94" s="196"/>
      <c r="D94" s="615"/>
      <c r="E94" s="616"/>
      <c r="F94" s="615"/>
      <c r="G94" s="618"/>
    </row>
    <row r="95" spans="1:22">
      <c r="A95" s="759">
        <v>88</v>
      </c>
      <c r="B95" s="199" t="s">
        <v>245</v>
      </c>
      <c r="C95" s="196"/>
      <c r="D95" s="615"/>
      <c r="E95" s="616"/>
      <c r="F95" s="615"/>
      <c r="G95" s="618"/>
    </row>
    <row r="96" spans="1:22">
      <c r="A96" s="446">
        <v>89</v>
      </c>
      <c r="B96" s="197" t="s">
        <v>246</v>
      </c>
      <c r="C96" s="198" t="s">
        <v>236</v>
      </c>
      <c r="D96" s="615"/>
      <c r="E96" s="625">
        <v>0</v>
      </c>
      <c r="F96" s="615" t="s">
        <v>724</v>
      </c>
      <c r="G96" s="618">
        <f>SUM(E96:F96)</f>
        <v>0</v>
      </c>
      <c r="U96" s="436">
        <f>SUM(I96:T96)</f>
        <v>0</v>
      </c>
      <c r="V96" s="436">
        <f>+G96+U96</f>
        <v>0</v>
      </c>
    </row>
    <row r="97" spans="1:22">
      <c r="A97" s="759">
        <v>90</v>
      </c>
      <c r="B97" s="197" t="s">
        <v>247</v>
      </c>
      <c r="C97" s="198" t="s">
        <v>248</v>
      </c>
      <c r="D97" s="615"/>
      <c r="E97" s="625">
        <v>6755862.1899999995</v>
      </c>
      <c r="F97" s="615">
        <v>157320.38</v>
      </c>
      <c r="G97" s="618">
        <f>SUM(E97:F97)</f>
        <v>6913182.5699999994</v>
      </c>
      <c r="L97" s="699"/>
      <c r="M97" s="699"/>
      <c r="N97" s="699"/>
      <c r="P97" s="423">
        <f>+'Restate &amp; Pro Forma Wage Adjust'!Q36</f>
        <v>37686.579744000002</v>
      </c>
      <c r="U97" s="436">
        <f>SUM(I97:T97)</f>
        <v>37686.579744000002</v>
      </c>
      <c r="V97" s="436">
        <f>+G97+U97</f>
        <v>6950869.1497439994</v>
      </c>
    </row>
    <row r="98" spans="1:22">
      <c r="A98" s="446">
        <v>91</v>
      </c>
      <c r="B98" s="197" t="s">
        <v>249</v>
      </c>
      <c r="C98" s="198" t="s">
        <v>250</v>
      </c>
      <c r="D98" s="615"/>
      <c r="E98" s="625">
        <v>28538.39</v>
      </c>
      <c r="F98" s="615">
        <v>99786.85</v>
      </c>
      <c r="G98" s="618">
        <f>SUM(E98:F98)</f>
        <v>128325.24</v>
      </c>
      <c r="U98" s="436">
        <f t="shared" ref="U98:U99" si="49">SUM(I98:T98)</f>
        <v>0</v>
      </c>
      <c r="V98" s="436">
        <f>+G98+U98</f>
        <v>128325.24</v>
      </c>
    </row>
    <row r="99" spans="1:22">
      <c r="A99" s="759">
        <v>92</v>
      </c>
      <c r="B99" s="639" t="s">
        <v>251</v>
      </c>
      <c r="C99" s="198" t="s">
        <v>252</v>
      </c>
      <c r="D99" s="617"/>
      <c r="E99" s="625">
        <v>0</v>
      </c>
      <c r="F99" s="615">
        <v>269961.65000000002</v>
      </c>
      <c r="G99" s="626">
        <f>SUM(E99:F99)</f>
        <v>269961.65000000002</v>
      </c>
      <c r="P99" s="423">
        <f>+'Restate &amp; Pro Forma Wage Adjust'!Q37</f>
        <v>19410.898655999998</v>
      </c>
      <c r="U99" s="436">
        <f t="shared" si="49"/>
        <v>19410.898655999998</v>
      </c>
      <c r="V99" s="436">
        <f>+G99+U99</f>
        <v>289372.548656</v>
      </c>
    </row>
    <row r="100" spans="1:22">
      <c r="A100" s="446">
        <v>93</v>
      </c>
      <c r="B100" s="623" t="s">
        <v>253</v>
      </c>
      <c r="C100" s="196"/>
      <c r="D100" s="619"/>
      <c r="E100" s="829">
        <f t="shared" ref="E100:R100" si="50">SUM(E96:E99)</f>
        <v>6784400.5799999991</v>
      </c>
      <c r="F100" s="619">
        <f t="shared" si="50"/>
        <v>527068.88</v>
      </c>
      <c r="G100" s="621">
        <f t="shared" si="50"/>
        <v>7311469.46</v>
      </c>
      <c r="I100" s="621">
        <f t="shared" si="50"/>
        <v>0</v>
      </c>
      <c r="J100" s="621">
        <f t="shared" si="50"/>
        <v>0</v>
      </c>
      <c r="K100" s="303">
        <f>SUM(K96:K99)</f>
        <v>0</v>
      </c>
      <c r="L100" s="621">
        <f t="shared" si="50"/>
        <v>0</v>
      </c>
      <c r="M100" s="621">
        <f t="shared" ref="M100:N100" si="51">SUM(M96:M99)</f>
        <v>0</v>
      </c>
      <c r="N100" s="621">
        <f t="shared" si="51"/>
        <v>0</v>
      </c>
      <c r="O100" s="621">
        <f t="shared" si="50"/>
        <v>0</v>
      </c>
      <c r="P100" s="621">
        <f>SUM(P96:P99)</f>
        <v>57097.4784</v>
      </c>
      <c r="Q100" s="621">
        <f t="shared" si="50"/>
        <v>0</v>
      </c>
      <c r="R100" s="622">
        <f t="shared" si="50"/>
        <v>0</v>
      </c>
      <c r="S100" s="621">
        <f t="shared" ref="S100:V100" si="52">SUM(S96:S99)</f>
        <v>0</v>
      </c>
      <c r="T100" s="621">
        <f t="shared" si="52"/>
        <v>0</v>
      </c>
      <c r="U100" s="621">
        <f t="shared" si="52"/>
        <v>57097.4784</v>
      </c>
      <c r="V100" s="621">
        <f t="shared" si="52"/>
        <v>7368566.9383999994</v>
      </c>
    </row>
    <row r="101" spans="1:22">
      <c r="A101" s="759">
        <v>94</v>
      </c>
      <c r="B101" s="195"/>
      <c r="C101" s="196"/>
      <c r="D101" s="615"/>
      <c r="E101" s="616"/>
      <c r="F101" s="615"/>
      <c r="G101" s="618"/>
    </row>
    <row r="102" spans="1:22">
      <c r="A102" s="446">
        <v>95</v>
      </c>
      <c r="B102" s="199" t="s">
        <v>254</v>
      </c>
      <c r="C102" s="196"/>
      <c r="D102" s="615"/>
      <c r="E102" s="616"/>
      <c r="F102" s="615"/>
      <c r="G102" s="618"/>
    </row>
    <row r="103" spans="1:22">
      <c r="A103" s="759">
        <v>96</v>
      </c>
      <c r="B103" s="197" t="s">
        <v>255</v>
      </c>
      <c r="C103" s="198" t="s">
        <v>236</v>
      </c>
      <c r="D103" s="617"/>
      <c r="E103" s="625">
        <v>0</v>
      </c>
      <c r="F103" s="617">
        <v>0</v>
      </c>
      <c r="G103" s="626">
        <f>SUM(E103:F103)</f>
        <v>0</v>
      </c>
      <c r="U103" s="436">
        <f>SUM(I103:T103)</f>
        <v>0</v>
      </c>
      <c r="V103" s="436">
        <f>+G103+U103</f>
        <v>0</v>
      </c>
    </row>
    <row r="104" spans="1:22">
      <c r="A104" s="446">
        <v>97</v>
      </c>
      <c r="B104" s="197" t="s">
        <v>256</v>
      </c>
      <c r="C104" s="198" t="s">
        <v>257</v>
      </c>
      <c r="D104" s="617"/>
      <c r="E104" s="625">
        <v>0</v>
      </c>
      <c r="F104" s="617">
        <v>3181.46</v>
      </c>
      <c r="G104" s="626">
        <f>SUM(E104:F104)</f>
        <v>3181.46</v>
      </c>
      <c r="P104" s="423">
        <f>+'Restate &amp; Pro Forma Wage Adjust'!Q38</f>
        <v>218.0352</v>
      </c>
      <c r="U104" s="436">
        <f>SUM(I104:T104)</f>
        <v>218.0352</v>
      </c>
      <c r="V104" s="436">
        <f>+G104+U104</f>
        <v>3399.4951999999998</v>
      </c>
    </row>
    <row r="105" spans="1:22">
      <c r="A105" s="759">
        <v>98</v>
      </c>
      <c r="B105" s="197" t="s">
        <v>258</v>
      </c>
      <c r="C105" s="198" t="s">
        <v>57</v>
      </c>
      <c r="D105" s="617"/>
      <c r="E105" s="625">
        <v>1795</v>
      </c>
      <c r="F105" s="617">
        <v>432.23</v>
      </c>
      <c r="G105" s="626">
        <f>SUM(E105:F105)</f>
        <v>2227.23</v>
      </c>
      <c r="J105" s="431">
        <f>-'Advertising Adj'!F23</f>
        <v>-1977.2275</v>
      </c>
      <c r="U105" s="436">
        <f>SUM(I105:T105)</f>
        <v>-1977.2275</v>
      </c>
      <c r="V105" s="436">
        <f>+G105+U105</f>
        <v>250.00250000000005</v>
      </c>
    </row>
    <row r="106" spans="1:22">
      <c r="A106" s="446">
        <v>99</v>
      </c>
      <c r="B106" s="197" t="s">
        <v>259</v>
      </c>
      <c r="C106" s="198" t="s">
        <v>260</v>
      </c>
      <c r="D106" s="617"/>
      <c r="E106" s="625">
        <v>0</v>
      </c>
      <c r="F106" s="617">
        <v>0</v>
      </c>
      <c r="G106" s="626">
        <f>SUM(E106:F106)</f>
        <v>0</v>
      </c>
      <c r="U106" s="436">
        <f>SUM(I106:T106)</f>
        <v>0</v>
      </c>
      <c r="V106" s="436">
        <f>+G106+U106</f>
        <v>0</v>
      </c>
    </row>
    <row r="107" spans="1:22">
      <c r="A107" s="759">
        <v>100</v>
      </c>
      <c r="B107" s="199" t="s">
        <v>261</v>
      </c>
      <c r="C107" s="196"/>
      <c r="D107" s="620"/>
      <c r="E107" s="633">
        <f t="shared" ref="E107:R107" si="53">SUM(E103:E106)</f>
        <v>1795</v>
      </c>
      <c r="F107" s="620">
        <f t="shared" si="53"/>
        <v>3613.69</v>
      </c>
      <c r="G107" s="303">
        <f t="shared" si="53"/>
        <v>5408.6900000000005</v>
      </c>
      <c r="I107" s="621">
        <f t="shared" si="53"/>
        <v>0</v>
      </c>
      <c r="J107" s="621">
        <f t="shared" si="53"/>
        <v>-1977.2275</v>
      </c>
      <c r="K107" s="303">
        <f>SUM(K103:K106)</f>
        <v>0</v>
      </c>
      <c r="L107" s="621">
        <f t="shared" si="53"/>
        <v>0</v>
      </c>
      <c r="M107" s="621">
        <f t="shared" ref="M107:N107" si="54">SUM(M103:M106)</f>
        <v>0</v>
      </c>
      <c r="N107" s="621">
        <f t="shared" si="54"/>
        <v>0</v>
      </c>
      <c r="O107" s="621">
        <f t="shared" si="53"/>
        <v>0</v>
      </c>
      <c r="P107" s="621">
        <f t="shared" si="53"/>
        <v>218.0352</v>
      </c>
      <c r="Q107" s="621">
        <f t="shared" si="53"/>
        <v>0</v>
      </c>
      <c r="R107" s="622">
        <f t="shared" si="53"/>
        <v>0</v>
      </c>
      <c r="S107" s="303">
        <f t="shared" ref="S107:V107" si="55">SUM(S103:S106)</f>
        <v>0</v>
      </c>
      <c r="T107" s="303">
        <f t="shared" si="55"/>
        <v>0</v>
      </c>
      <c r="U107" s="303">
        <f t="shared" si="55"/>
        <v>-1759.1922999999999</v>
      </c>
      <c r="V107" s="303">
        <f t="shared" si="55"/>
        <v>3649.4976999999999</v>
      </c>
    </row>
    <row r="108" spans="1:22">
      <c r="A108" s="446">
        <v>101</v>
      </c>
      <c r="B108" s="195"/>
      <c r="C108" s="196"/>
      <c r="D108" s="615"/>
      <c r="E108" s="616"/>
      <c r="F108" s="615"/>
      <c r="G108" s="618"/>
    </row>
    <row r="109" spans="1:22">
      <c r="A109" s="759">
        <v>102</v>
      </c>
      <c r="B109" s="199" t="s">
        <v>262</v>
      </c>
      <c r="C109" s="196"/>
      <c r="D109" s="615"/>
      <c r="E109" s="616"/>
      <c r="F109" s="615"/>
      <c r="G109" s="618"/>
    </row>
    <row r="110" spans="1:22">
      <c r="A110" s="446">
        <v>103</v>
      </c>
      <c r="B110" s="197" t="s">
        <v>263</v>
      </c>
      <c r="C110" s="198" t="s">
        <v>264</v>
      </c>
      <c r="D110" s="615"/>
      <c r="E110" s="616">
        <v>0</v>
      </c>
      <c r="F110" s="615">
        <v>6618215.96</v>
      </c>
      <c r="G110" s="618">
        <f t="shared" ref="G110:G120" si="56">SUM(E110:F110)</f>
        <v>6618215.96</v>
      </c>
      <c r="M110" s="423">
        <f>+'Restate &amp; Pro Forma Wage Adjust'!P62</f>
        <v>0</v>
      </c>
      <c r="P110" s="423">
        <f>+'Restate &amp; Pro Forma Wage Adjust'!Q39+'Restate &amp; Pro Forma Wage Adjust'!Q62+'Restate &amp; Pro Forma Wage Adjust'!Q111</f>
        <v>703729.25344980019</v>
      </c>
      <c r="U110" s="436">
        <f t="shared" ref="U110:U120" si="57">SUM(I110:T110)</f>
        <v>703729.25344980019</v>
      </c>
      <c r="V110" s="436">
        <f t="shared" ref="V110:V120" si="58">+G110+U110</f>
        <v>7321945.2134498004</v>
      </c>
    </row>
    <row r="111" spans="1:22">
      <c r="A111" s="759">
        <v>104</v>
      </c>
      <c r="B111" s="197" t="s">
        <v>265</v>
      </c>
      <c r="C111" s="198" t="s">
        <v>266</v>
      </c>
      <c r="D111" s="615"/>
      <c r="E111" s="616">
        <v>11772.37</v>
      </c>
      <c r="F111" s="615">
        <v>3386224.98</v>
      </c>
      <c r="G111" s="618">
        <f t="shared" si="56"/>
        <v>3397997.35</v>
      </c>
      <c r="M111" s="423"/>
      <c r="P111" s="423">
        <f>+'Restate &amp; Pro Forma Wage Adjust'!Q40+'Restate &amp; Pro Forma Wage Adjust'!Q63</f>
        <v>52.334805000000003</v>
      </c>
      <c r="U111" s="436">
        <f t="shared" si="57"/>
        <v>52.334805000000003</v>
      </c>
      <c r="V111" s="436">
        <f t="shared" si="58"/>
        <v>3398049.6848050002</v>
      </c>
    </row>
    <row r="112" spans="1:22">
      <c r="A112" s="446">
        <v>105</v>
      </c>
      <c r="B112" s="197" t="s">
        <v>267</v>
      </c>
      <c r="C112" s="198" t="s">
        <v>268</v>
      </c>
      <c r="D112" s="615"/>
      <c r="E112" s="616">
        <v>40984.11000000003</v>
      </c>
      <c r="F112" s="615">
        <v>554640.89</v>
      </c>
      <c r="G112" s="618">
        <f t="shared" si="56"/>
        <v>595625</v>
      </c>
      <c r="U112" s="436">
        <f t="shared" si="57"/>
        <v>0</v>
      </c>
      <c r="V112" s="436">
        <f t="shared" si="58"/>
        <v>595625</v>
      </c>
    </row>
    <row r="113" spans="1:22">
      <c r="A113" s="759">
        <v>106</v>
      </c>
      <c r="B113" s="197" t="s">
        <v>269</v>
      </c>
      <c r="C113" s="198" t="s">
        <v>270</v>
      </c>
      <c r="D113" s="615"/>
      <c r="E113" s="625">
        <v>0</v>
      </c>
      <c r="F113" s="615">
        <v>82965.17</v>
      </c>
      <c r="G113" s="618">
        <f t="shared" si="56"/>
        <v>82965.17</v>
      </c>
      <c r="U113" s="436">
        <f t="shared" si="57"/>
        <v>0</v>
      </c>
      <c r="V113" s="436">
        <f t="shared" si="58"/>
        <v>82965.17</v>
      </c>
    </row>
    <row r="114" spans="1:22">
      <c r="A114" s="446">
        <v>107</v>
      </c>
      <c r="B114" s="197" t="s">
        <v>271</v>
      </c>
      <c r="C114" s="198" t="s">
        <v>272</v>
      </c>
      <c r="D114" s="615"/>
      <c r="E114" s="616">
        <v>548561.33000000007</v>
      </c>
      <c r="F114" s="615">
        <v>778178.95</v>
      </c>
      <c r="G114" s="618">
        <f t="shared" si="56"/>
        <v>1326740.28</v>
      </c>
      <c r="U114" s="436">
        <f t="shared" si="57"/>
        <v>0</v>
      </c>
      <c r="V114" s="436">
        <f t="shared" si="58"/>
        <v>1326740.28</v>
      </c>
    </row>
    <row r="115" spans="1:22">
      <c r="A115" s="759">
        <v>108</v>
      </c>
      <c r="B115" s="197" t="s">
        <v>273</v>
      </c>
      <c r="C115" s="198" t="s">
        <v>274</v>
      </c>
      <c r="D115" s="615"/>
      <c r="E115" s="616">
        <v>2943437.84</v>
      </c>
      <c r="F115" s="615">
        <v>2254570.4900000002</v>
      </c>
      <c r="G115" s="618">
        <f t="shared" si="56"/>
        <v>5198008.33</v>
      </c>
      <c r="M115" s="423">
        <f>+'Restate &amp; Pro Forma Wage Adjust'!P64</f>
        <v>0</v>
      </c>
      <c r="N115" s="431">
        <f>+'Executive Incentives'!B30</f>
        <v>-1230735.4200000002</v>
      </c>
      <c r="P115" s="423">
        <f>+'Restate &amp; Pro Forma Wage Adjust'!Q41+'Restate &amp; Pro Forma Wage Adjust'!Q64</f>
        <v>1745.797599</v>
      </c>
      <c r="U115" s="436">
        <f t="shared" si="57"/>
        <v>-1228989.6224010002</v>
      </c>
      <c r="V115" s="436">
        <f t="shared" si="58"/>
        <v>3969018.7075990001</v>
      </c>
    </row>
    <row r="116" spans="1:22">
      <c r="A116" s="446">
        <v>109</v>
      </c>
      <c r="B116" s="197" t="s">
        <v>275</v>
      </c>
      <c r="C116" s="198" t="s">
        <v>276</v>
      </c>
      <c r="D116" s="617"/>
      <c r="E116" s="625">
        <v>113736.19</v>
      </c>
      <c r="F116" s="615">
        <v>0</v>
      </c>
      <c r="G116" s="626">
        <f t="shared" si="56"/>
        <v>113736.19</v>
      </c>
      <c r="U116" s="436">
        <f t="shared" si="57"/>
        <v>0</v>
      </c>
      <c r="V116" s="436">
        <f t="shared" si="58"/>
        <v>113736.19</v>
      </c>
    </row>
    <row r="117" spans="1:22">
      <c r="A117" s="759">
        <v>110</v>
      </c>
      <c r="B117" s="197" t="s">
        <v>277</v>
      </c>
      <c r="C117" s="198" t="s">
        <v>278</v>
      </c>
      <c r="D117" s="617"/>
      <c r="E117" s="616">
        <v>2440</v>
      </c>
      <c r="F117" s="615">
        <v>23295.65</v>
      </c>
      <c r="G117" s="626">
        <f t="shared" si="56"/>
        <v>25735.65</v>
      </c>
      <c r="J117" s="431">
        <f>-'Advertising Adj'!F160</f>
        <v>-25714.466148000007</v>
      </c>
      <c r="U117" s="436">
        <f t="shared" si="57"/>
        <v>-25714.466148000007</v>
      </c>
      <c r="V117" s="436">
        <f t="shared" si="58"/>
        <v>21.183851999994658</v>
      </c>
    </row>
    <row r="118" spans="1:22">
      <c r="A118" s="446">
        <v>111</v>
      </c>
      <c r="B118" s="197" t="s">
        <v>279</v>
      </c>
      <c r="C118" s="198" t="s">
        <v>280</v>
      </c>
      <c r="D118" s="615"/>
      <c r="E118" s="625">
        <v>206733.56999999998</v>
      </c>
      <c r="F118" s="615">
        <v>575154.72</v>
      </c>
      <c r="G118" s="618">
        <f t="shared" si="56"/>
        <v>781888.28999999992</v>
      </c>
      <c r="U118" s="436">
        <f t="shared" si="57"/>
        <v>0</v>
      </c>
      <c r="V118" s="436">
        <f t="shared" si="58"/>
        <v>781888.28999999992</v>
      </c>
    </row>
    <row r="119" spans="1:22">
      <c r="A119" s="759">
        <v>112</v>
      </c>
      <c r="B119" s="197" t="s">
        <v>281</v>
      </c>
      <c r="C119" s="198" t="s">
        <v>211</v>
      </c>
      <c r="D119" s="615"/>
      <c r="E119" s="616">
        <v>0</v>
      </c>
      <c r="F119" s="615">
        <v>1072996.2</v>
      </c>
      <c r="G119" s="618">
        <f t="shared" si="56"/>
        <v>1072996.2</v>
      </c>
      <c r="U119" s="436">
        <f t="shared" si="57"/>
        <v>0</v>
      </c>
      <c r="V119" s="436">
        <f t="shared" si="58"/>
        <v>1072996.2</v>
      </c>
    </row>
    <row r="120" spans="1:22">
      <c r="A120" s="446">
        <v>113</v>
      </c>
      <c r="B120" s="197" t="s">
        <v>282</v>
      </c>
      <c r="C120" s="198" t="s">
        <v>283</v>
      </c>
      <c r="D120" s="433"/>
      <c r="E120" s="832">
        <v>42192.83</v>
      </c>
      <c r="F120" s="433">
        <v>4794.2</v>
      </c>
      <c r="G120" s="635">
        <f t="shared" si="56"/>
        <v>46987.03</v>
      </c>
      <c r="M120" s="423">
        <f>+'Restate &amp; Pro Forma Wage Adjust'!P65</f>
        <v>39.050400000000003</v>
      </c>
      <c r="P120" s="423">
        <f>+'Restate &amp; Pro Forma Wage Adjust'!Q65</f>
        <v>158.07267336000001</v>
      </c>
      <c r="U120" s="436">
        <f t="shared" si="57"/>
        <v>197.12307336000001</v>
      </c>
      <c r="V120" s="436">
        <f t="shared" si="58"/>
        <v>47184.153073360001</v>
      </c>
    </row>
    <row r="121" spans="1:22">
      <c r="A121" s="759">
        <v>114</v>
      </c>
      <c r="B121" s="195"/>
      <c r="C121" s="196"/>
      <c r="D121" s="615"/>
      <c r="E121" s="616">
        <f t="shared" ref="E121:Q121" si="59">SUM(E110:E120)</f>
        <v>3909858.2399999998</v>
      </c>
      <c r="F121" s="615">
        <f t="shared" si="59"/>
        <v>15351037.209999999</v>
      </c>
      <c r="G121" s="618">
        <f t="shared" si="59"/>
        <v>19260895.449999999</v>
      </c>
      <c r="I121" s="618">
        <f t="shared" si="59"/>
        <v>0</v>
      </c>
      <c r="J121" s="618">
        <f t="shared" si="59"/>
        <v>-25714.466148000007</v>
      </c>
      <c r="K121" s="626">
        <f>SUM(K110:K120)</f>
        <v>0</v>
      </c>
      <c r="L121" s="618">
        <f t="shared" si="59"/>
        <v>0</v>
      </c>
      <c r="M121" s="700">
        <f>SUM(M110:M120)</f>
        <v>39.050400000000003</v>
      </c>
      <c r="N121" s="618">
        <f t="shared" ref="N121" si="60">SUM(N110:N120)</f>
        <v>-1230735.4200000002</v>
      </c>
      <c r="O121" s="618">
        <f t="shared" si="59"/>
        <v>0</v>
      </c>
      <c r="P121" s="618">
        <f t="shared" si="59"/>
        <v>705685.45852716023</v>
      </c>
      <c r="Q121" s="618">
        <f t="shared" si="59"/>
        <v>0</v>
      </c>
      <c r="R121" s="634"/>
      <c r="S121" s="618">
        <f t="shared" ref="S121:V121" si="61">SUM(S110:S120)</f>
        <v>0</v>
      </c>
      <c r="T121" s="618">
        <f t="shared" si="61"/>
        <v>0</v>
      </c>
      <c r="U121" s="618">
        <f t="shared" si="61"/>
        <v>-550725.37722084008</v>
      </c>
      <c r="V121" s="618">
        <f t="shared" si="61"/>
        <v>18710170.072779156</v>
      </c>
    </row>
    <row r="122" spans="1:22">
      <c r="A122" s="446">
        <v>115</v>
      </c>
      <c r="B122" s="197" t="s">
        <v>284</v>
      </c>
      <c r="C122" s="198" t="s">
        <v>285</v>
      </c>
      <c r="D122" s="615"/>
      <c r="E122" s="616">
        <v>-91985.2</v>
      </c>
      <c r="F122" s="615">
        <v>-218797.07</v>
      </c>
      <c r="G122" s="618">
        <f>SUM(E122:F122)</f>
        <v>-310782.27</v>
      </c>
      <c r="U122" s="436">
        <f>SUM(I122:T122)</f>
        <v>0</v>
      </c>
      <c r="V122" s="436">
        <f>+G122+U122</f>
        <v>-310782.27</v>
      </c>
    </row>
    <row r="123" spans="1:22">
      <c r="A123" s="759">
        <v>116</v>
      </c>
      <c r="B123" s="199" t="s">
        <v>286</v>
      </c>
      <c r="C123" s="196"/>
      <c r="D123" s="619"/>
      <c r="E123" s="829">
        <f t="shared" ref="E123:Q123" si="62">E121+E122</f>
        <v>3817873.0399999996</v>
      </c>
      <c r="F123" s="619">
        <f t="shared" si="62"/>
        <v>15132240.139999999</v>
      </c>
      <c r="G123" s="621">
        <f t="shared" si="62"/>
        <v>18950113.18</v>
      </c>
      <c r="I123" s="621">
        <f t="shared" si="62"/>
        <v>0</v>
      </c>
      <c r="J123" s="621">
        <f t="shared" si="62"/>
        <v>-25714.466148000007</v>
      </c>
      <c r="K123" s="303">
        <f>K121+K122</f>
        <v>0</v>
      </c>
      <c r="L123" s="621">
        <f t="shared" si="62"/>
        <v>0</v>
      </c>
      <c r="M123" s="621">
        <f t="shared" ref="M123:N123" si="63">M121+M122</f>
        <v>39.050400000000003</v>
      </c>
      <c r="N123" s="621">
        <f t="shared" si="63"/>
        <v>-1230735.4200000002</v>
      </c>
      <c r="O123" s="621">
        <f t="shared" si="62"/>
        <v>0</v>
      </c>
      <c r="P123" s="621">
        <f t="shared" si="62"/>
        <v>705685.45852716023</v>
      </c>
      <c r="Q123" s="621">
        <f t="shared" si="62"/>
        <v>0</v>
      </c>
      <c r="R123" s="622"/>
      <c r="S123" s="621">
        <f t="shared" ref="S123:V123" si="64">S121+S122</f>
        <v>0</v>
      </c>
      <c r="T123" s="621">
        <f t="shared" si="64"/>
        <v>0</v>
      </c>
      <c r="U123" s="621">
        <f t="shared" si="64"/>
        <v>-550725.37722084008</v>
      </c>
      <c r="V123" s="621">
        <f t="shared" si="64"/>
        <v>18399387.802779157</v>
      </c>
    </row>
    <row r="124" spans="1:22">
      <c r="A124" s="446">
        <v>117</v>
      </c>
      <c r="B124" s="195"/>
      <c r="C124" s="196"/>
      <c r="D124" s="615"/>
      <c r="E124" s="616"/>
      <c r="F124" s="615"/>
      <c r="G124" s="618"/>
    </row>
    <row r="125" spans="1:22" ht="16.5" thickBot="1">
      <c r="A125" s="759">
        <v>118</v>
      </c>
      <c r="B125" s="911" t="s">
        <v>287</v>
      </c>
      <c r="C125" s="912"/>
      <c r="D125" s="628">
        <f t="shared" ref="D125:G125" si="65">D85+D93+D100+D107+D123+D57</f>
        <v>0</v>
      </c>
      <c r="E125" s="831">
        <f t="shared" si="65"/>
        <v>29520155.969999999</v>
      </c>
      <c r="F125" s="628">
        <f t="shared" si="65"/>
        <v>23335393.859999999</v>
      </c>
      <c r="G125" s="629">
        <f t="shared" si="65"/>
        <v>52855549.829999998</v>
      </c>
    </row>
    <row r="126" spans="1:22" ht="16.5" thickTop="1">
      <c r="A126" s="446">
        <v>119</v>
      </c>
      <c r="B126" s="195"/>
      <c r="C126" s="196"/>
      <c r="D126" s="615"/>
      <c r="E126" s="616"/>
      <c r="F126" s="615"/>
      <c r="G126" s="618"/>
    </row>
    <row r="127" spans="1:22">
      <c r="A127" s="759">
        <v>120</v>
      </c>
      <c r="B127" s="199" t="s">
        <v>288</v>
      </c>
      <c r="C127" s="196"/>
      <c r="D127" s="615"/>
      <c r="E127" s="616"/>
      <c r="F127" s="615"/>
      <c r="G127" s="618"/>
    </row>
    <row r="128" spans="1:22">
      <c r="A128" s="446">
        <v>121</v>
      </c>
      <c r="B128" s="197" t="s">
        <v>289</v>
      </c>
      <c r="C128" s="198" t="s">
        <v>290</v>
      </c>
      <c r="D128" s="615"/>
      <c r="E128" s="616">
        <v>0</v>
      </c>
      <c r="F128" s="615">
        <v>24915117.609999999</v>
      </c>
      <c r="G128" s="618">
        <f t="shared" ref="G128:G134" si="66">SUM(E128:F128)</f>
        <v>24915117.609999999</v>
      </c>
      <c r="L128" s="431">
        <f>+'EOP Depreciation Expense Adj'!E58</f>
        <v>2932909.6036830023</v>
      </c>
      <c r="Q128" s="431">
        <f>+'Pro Forma Plant Additions'!E18</f>
        <v>2695058.5614869548</v>
      </c>
      <c r="U128" s="436">
        <f t="shared" ref="U128:U134" si="67">SUM(I128:T128)</f>
        <v>5627968.1651699571</v>
      </c>
      <c r="V128" s="436">
        <f t="shared" ref="V128:V134" si="68">+G128+U128</f>
        <v>30543085.775169957</v>
      </c>
    </row>
    <row r="129" spans="1:22">
      <c r="A129" s="759">
        <v>122</v>
      </c>
      <c r="B129" s="195"/>
      <c r="C129" s="198" t="s">
        <v>291</v>
      </c>
      <c r="D129" s="617"/>
      <c r="E129" s="616">
        <v>0</v>
      </c>
      <c r="F129" s="615">
        <v>0</v>
      </c>
      <c r="G129" s="626">
        <f t="shared" si="66"/>
        <v>0</v>
      </c>
      <c r="U129" s="436">
        <f t="shared" si="67"/>
        <v>0</v>
      </c>
      <c r="V129" s="436">
        <f t="shared" si="68"/>
        <v>0</v>
      </c>
    </row>
    <row r="130" spans="1:22">
      <c r="A130" s="446">
        <v>123</v>
      </c>
      <c r="B130" s="195"/>
      <c r="C130" s="198" t="s">
        <v>292</v>
      </c>
      <c r="D130" s="617"/>
      <c r="E130" s="616">
        <v>0</v>
      </c>
      <c r="F130" s="615">
        <v>0</v>
      </c>
      <c r="G130" s="626">
        <f t="shared" si="66"/>
        <v>0</v>
      </c>
      <c r="U130" s="436">
        <f t="shared" si="67"/>
        <v>0</v>
      </c>
      <c r="V130" s="436">
        <f t="shared" si="68"/>
        <v>0</v>
      </c>
    </row>
    <row r="131" spans="1:22">
      <c r="A131" s="759">
        <v>124</v>
      </c>
      <c r="B131" s="195"/>
      <c r="C131" s="198" t="s">
        <v>293</v>
      </c>
      <c r="D131" s="615"/>
      <c r="E131" s="625">
        <v>0</v>
      </c>
      <c r="F131" s="615">
        <v>0</v>
      </c>
      <c r="G131" s="618">
        <f t="shared" si="66"/>
        <v>0</v>
      </c>
      <c r="U131" s="436">
        <f t="shared" si="67"/>
        <v>0</v>
      </c>
      <c r="V131" s="436">
        <f t="shared" si="68"/>
        <v>0</v>
      </c>
    </row>
    <row r="132" spans="1:22">
      <c r="A132" s="446">
        <v>125</v>
      </c>
      <c r="B132" s="195"/>
      <c r="C132" s="198" t="s">
        <v>294</v>
      </c>
      <c r="D132" s="617"/>
      <c r="E132" s="616">
        <v>0</v>
      </c>
      <c r="F132" s="615">
        <v>0</v>
      </c>
      <c r="G132" s="626">
        <f t="shared" si="66"/>
        <v>0</v>
      </c>
      <c r="U132" s="436">
        <f t="shared" si="67"/>
        <v>0</v>
      </c>
      <c r="V132" s="436">
        <f t="shared" si="68"/>
        <v>0</v>
      </c>
    </row>
    <row r="133" spans="1:22">
      <c r="A133" s="759">
        <v>126</v>
      </c>
      <c r="B133" s="195"/>
      <c r="C133" s="198" t="s">
        <v>295</v>
      </c>
      <c r="D133" s="617"/>
      <c r="E133" s="616">
        <v>0</v>
      </c>
      <c r="F133" s="615">
        <v>0</v>
      </c>
      <c r="G133" s="626">
        <f t="shared" si="66"/>
        <v>0</v>
      </c>
      <c r="U133" s="436">
        <f t="shared" si="67"/>
        <v>0</v>
      </c>
      <c r="V133" s="436">
        <f t="shared" si="68"/>
        <v>0</v>
      </c>
    </row>
    <row r="134" spans="1:22">
      <c r="A134" s="446">
        <v>127</v>
      </c>
      <c r="B134" s="197" t="s">
        <v>296</v>
      </c>
      <c r="C134" s="198" t="s">
        <v>297</v>
      </c>
      <c r="D134" s="617"/>
      <c r="E134" s="616">
        <v>0</v>
      </c>
      <c r="F134" s="615">
        <v>0</v>
      </c>
      <c r="G134" s="626">
        <f t="shared" si="66"/>
        <v>0</v>
      </c>
      <c r="U134" s="436">
        <f t="shared" si="67"/>
        <v>0</v>
      </c>
      <c r="V134" s="436">
        <f t="shared" si="68"/>
        <v>0</v>
      </c>
    </row>
    <row r="135" spans="1:22">
      <c r="A135" s="759">
        <v>128</v>
      </c>
      <c r="B135" s="199" t="s">
        <v>298</v>
      </c>
      <c r="C135" s="196"/>
      <c r="D135" s="619"/>
      <c r="E135" s="829">
        <f t="shared" ref="E135:R135" si="69">SUM(E128:E134)</f>
        <v>0</v>
      </c>
      <c r="F135" s="619">
        <f t="shared" si="69"/>
        <v>24915117.609999999</v>
      </c>
      <c r="G135" s="621">
        <f t="shared" si="69"/>
        <v>24915117.609999999</v>
      </c>
      <c r="I135" s="621">
        <f t="shared" si="69"/>
        <v>0</v>
      </c>
      <c r="J135" s="621">
        <f t="shared" si="69"/>
        <v>0</v>
      </c>
      <c r="K135" s="303">
        <f>SUM(K128:K134)</f>
        <v>0</v>
      </c>
      <c r="L135" s="621">
        <f t="shared" si="69"/>
        <v>2932909.6036830023</v>
      </c>
      <c r="M135" s="621">
        <f t="shared" ref="M135:N135" si="70">SUM(M128:M134)</f>
        <v>0</v>
      </c>
      <c r="N135" s="621">
        <f t="shared" si="70"/>
        <v>0</v>
      </c>
      <c r="O135" s="621">
        <f t="shared" si="69"/>
        <v>0</v>
      </c>
      <c r="P135" s="621">
        <f t="shared" si="69"/>
        <v>0</v>
      </c>
      <c r="Q135" s="621">
        <f t="shared" si="69"/>
        <v>2695058.5614869548</v>
      </c>
      <c r="R135" s="622">
        <f t="shared" si="69"/>
        <v>0</v>
      </c>
      <c r="S135" s="621">
        <f t="shared" ref="S135:V135" si="71">SUM(S128:S134)</f>
        <v>0</v>
      </c>
      <c r="T135" s="621">
        <f t="shared" si="71"/>
        <v>0</v>
      </c>
      <c r="U135" s="621">
        <f t="shared" si="71"/>
        <v>5627968.1651699571</v>
      </c>
      <c r="V135" s="621">
        <f t="shared" si="71"/>
        <v>30543085.775169957</v>
      </c>
    </row>
    <row r="136" spans="1:22">
      <c r="A136" s="446">
        <v>129</v>
      </c>
      <c r="B136" s="195"/>
      <c r="C136" s="196"/>
      <c r="D136" s="615"/>
      <c r="E136" s="616"/>
      <c r="F136" s="615"/>
      <c r="G136" s="618"/>
    </row>
    <row r="137" spans="1:22">
      <c r="A137" s="759">
        <v>130</v>
      </c>
      <c r="B137" s="624" t="s">
        <v>299</v>
      </c>
      <c r="C137" s="196" t="s">
        <v>37</v>
      </c>
      <c r="D137" s="617"/>
      <c r="E137" s="625">
        <v>0</v>
      </c>
      <c r="F137" s="617">
        <v>0</v>
      </c>
      <c r="G137" s="626">
        <f>SUM(E137:F137)</f>
        <v>0</v>
      </c>
    </row>
    <row r="138" spans="1:22">
      <c r="A138" s="446">
        <v>131</v>
      </c>
      <c r="B138" s="195"/>
      <c r="C138" s="196"/>
      <c r="D138" s="615"/>
      <c r="E138" s="616"/>
      <c r="F138" s="615"/>
      <c r="G138" s="618"/>
      <c r="U138" s="436"/>
      <c r="V138" s="436"/>
    </row>
    <row r="139" spans="1:22">
      <c r="A139" s="759">
        <v>132</v>
      </c>
      <c r="B139" s="199" t="s">
        <v>300</v>
      </c>
      <c r="C139" s="196"/>
      <c r="D139" s="615"/>
      <c r="E139" s="616"/>
      <c r="F139" s="615"/>
      <c r="G139" s="618"/>
    </row>
    <row r="140" spans="1:22">
      <c r="A140" s="446">
        <v>133</v>
      </c>
      <c r="B140" s="197" t="s">
        <v>301</v>
      </c>
      <c r="C140" s="198" t="s">
        <v>302</v>
      </c>
      <c r="D140" s="433"/>
      <c r="E140" s="832">
        <v>3202159.25</v>
      </c>
      <c r="F140" s="433">
        <v>973855.27</v>
      </c>
      <c r="G140" s="635">
        <f>SUM(E140:F140)</f>
        <v>4176014.52</v>
      </c>
      <c r="M140" s="423">
        <f>+'Restate &amp; Pro Forma Wage Adjust'!P17</f>
        <v>6163.0958619000021</v>
      </c>
      <c r="P140" s="431">
        <f>+'Restate &amp; Pro Forma Wage Adjust'!Q17</f>
        <v>108841.00287307221</v>
      </c>
      <c r="Q140" s="431">
        <f>+'Pro Forma Plant Additions'!E12</f>
        <v>765625.05402376899</v>
      </c>
      <c r="U140" s="436">
        <f>SUM(I140:T140)</f>
        <v>880629.15275874117</v>
      </c>
      <c r="V140" s="436">
        <f>+G140+U140</f>
        <v>5056643.6727587413</v>
      </c>
    </row>
    <row r="141" spans="1:22">
      <c r="A141" s="759">
        <v>134</v>
      </c>
      <c r="B141" s="195"/>
      <c r="C141" s="196"/>
      <c r="D141" s="615"/>
      <c r="E141" s="616"/>
      <c r="F141" s="615"/>
      <c r="G141" s="618"/>
    </row>
    <row r="142" spans="1:22">
      <c r="A142" s="446">
        <v>135</v>
      </c>
      <c r="B142" s="199" t="s">
        <v>303</v>
      </c>
      <c r="C142" s="196"/>
      <c r="D142" s="615"/>
      <c r="E142" s="616"/>
      <c r="F142" s="615"/>
      <c r="G142" s="618"/>
    </row>
    <row r="143" spans="1:22">
      <c r="A143" s="759">
        <v>136</v>
      </c>
      <c r="B143" s="197" t="s">
        <v>304</v>
      </c>
      <c r="C143" s="198" t="s">
        <v>305</v>
      </c>
      <c r="D143" s="617"/>
      <c r="E143" s="625">
        <v>-10887316.07</v>
      </c>
      <c r="F143" s="617">
        <v>0</v>
      </c>
      <c r="G143" s="626">
        <f>+E143</f>
        <v>-10887316.07</v>
      </c>
      <c r="I143" s="302">
        <f>(I28-I53-I93)*'Exh MCP-4 - Conversion Factor'!C33</f>
        <v>-582714.75663879036</v>
      </c>
      <c r="J143" s="302">
        <f>(J28-SUM(J105+J117))*'Exh MCP-4 - Conversion Factor'!C33</f>
        <v>5815.255666080001</v>
      </c>
      <c r="K143" s="302">
        <f>(K28-K53-K93)*'Exh MCP-4 - Conversion Factor'!C33</f>
        <v>2994204.5963635934</v>
      </c>
      <c r="L143" s="302">
        <f>(L28-L53-L93-L135)*'Exh MCP-4 - Conversion Factor'!C33</f>
        <v>-430655.06986343185</v>
      </c>
      <c r="M143" s="431">
        <f>+M28-SUM(M51+M54+M85+M93+M100+M107+M123+M135+M140)*'Exh MCP-4 - Conversion Factor'!C33</f>
        <v>-18212.552496998997</v>
      </c>
      <c r="N143" s="431">
        <f>+(N28-N123)*'Exh MCP-4 - Conversion Factor'!C33</f>
        <v>258454.43820000003</v>
      </c>
      <c r="O143" s="431">
        <f>+'Interest Coord. Adj.'!H16</f>
        <v>91861.358542880698</v>
      </c>
      <c r="P143" s="431">
        <f>+P28-SUM(P85+P93+P57+P100+P107+P123+P135+P140)*'Exh MCP-4 - Conversion Factor'!C33</f>
        <v>-424365.73216821259</v>
      </c>
      <c r="Q143" s="431">
        <f>+Q28-SUM(Q135+Q140)*'Exh MCP-4 - Conversion Factor'!C33</f>
        <v>554283.66074274806</v>
      </c>
      <c r="R143" s="603">
        <f>+(R28-R72)*'Exh MCP-4 - Conversion Factor'!C33</f>
        <v>-194407.4813333333</v>
      </c>
      <c r="S143" s="640"/>
      <c r="U143" s="436">
        <f t="shared" ref="U143:U148" si="72">SUM(I143:T143)</f>
        <v>2254263.7170145353</v>
      </c>
      <c r="V143" s="436">
        <f t="shared" ref="V143:V148" si="73">+G143+U143</f>
        <v>-8633052.352985464</v>
      </c>
    </row>
    <row r="144" spans="1:22">
      <c r="A144" s="446">
        <v>137</v>
      </c>
      <c r="B144" s="197" t="s">
        <v>304</v>
      </c>
      <c r="C144" s="198" t="s">
        <v>306</v>
      </c>
      <c r="D144" s="617"/>
      <c r="E144" s="625">
        <v>0</v>
      </c>
      <c r="F144" s="617">
        <v>0</v>
      </c>
      <c r="G144" s="626">
        <f t="shared" ref="G144:G148" si="74">SUM(E144:F144)</f>
        <v>0</v>
      </c>
      <c r="U144" s="436">
        <f t="shared" si="72"/>
        <v>0</v>
      </c>
      <c r="V144" s="436">
        <f t="shared" si="73"/>
        <v>0</v>
      </c>
    </row>
    <row r="145" spans="1:22">
      <c r="A145" s="759">
        <v>138</v>
      </c>
      <c r="B145" s="197" t="s">
        <v>307</v>
      </c>
      <c r="C145" s="198" t="s">
        <v>308</v>
      </c>
      <c r="D145" s="617"/>
      <c r="E145" s="625">
        <v>32227813.57</v>
      </c>
      <c r="F145" s="617">
        <v>0</v>
      </c>
      <c r="G145" s="626">
        <f t="shared" si="74"/>
        <v>32227813.57</v>
      </c>
      <c r="U145" s="436">
        <f t="shared" si="72"/>
        <v>0</v>
      </c>
      <c r="V145" s="436">
        <f t="shared" si="73"/>
        <v>32227813.57</v>
      </c>
    </row>
    <row r="146" spans="1:22">
      <c r="A146" s="446">
        <v>139</v>
      </c>
      <c r="B146" s="197" t="s">
        <v>307</v>
      </c>
      <c r="C146" s="198" t="s">
        <v>309</v>
      </c>
      <c r="D146" s="617"/>
      <c r="E146" s="625">
        <v>0</v>
      </c>
      <c r="F146" s="617">
        <v>0</v>
      </c>
      <c r="G146" s="626">
        <f t="shared" si="74"/>
        <v>0</v>
      </c>
      <c r="U146" s="436">
        <f t="shared" si="72"/>
        <v>0</v>
      </c>
      <c r="V146" s="436">
        <f t="shared" si="73"/>
        <v>0</v>
      </c>
    </row>
    <row r="147" spans="1:22">
      <c r="A147" s="759">
        <v>140</v>
      </c>
      <c r="B147" s="197" t="s">
        <v>310</v>
      </c>
      <c r="C147" s="198" t="s">
        <v>311</v>
      </c>
      <c r="D147" s="617"/>
      <c r="E147" s="625">
        <v>-22532955.920000002</v>
      </c>
      <c r="F147" s="617">
        <v>0</v>
      </c>
      <c r="G147" s="626">
        <f t="shared" si="74"/>
        <v>-22532955.920000002</v>
      </c>
      <c r="U147" s="436">
        <f t="shared" si="72"/>
        <v>0</v>
      </c>
      <c r="V147" s="436">
        <f t="shared" si="73"/>
        <v>-22532955.920000002</v>
      </c>
    </row>
    <row r="148" spans="1:22">
      <c r="A148" s="446">
        <v>141</v>
      </c>
      <c r="B148" s="197" t="s">
        <v>312</v>
      </c>
      <c r="C148" s="198" t="s">
        <v>313</v>
      </c>
      <c r="D148" s="615"/>
      <c r="E148" s="625">
        <v>0</v>
      </c>
      <c r="F148" s="617">
        <v>-31741.09</v>
      </c>
      <c r="G148" s="626">
        <f t="shared" si="74"/>
        <v>-31741.09</v>
      </c>
      <c r="U148" s="436">
        <f t="shared" si="72"/>
        <v>0</v>
      </c>
      <c r="V148" s="436">
        <f t="shared" si="73"/>
        <v>-31741.09</v>
      </c>
    </row>
    <row r="149" spans="1:22">
      <c r="A149" s="759">
        <v>142</v>
      </c>
      <c r="B149" s="199" t="s">
        <v>314</v>
      </c>
      <c r="C149" s="196"/>
      <c r="D149" s="619"/>
      <c r="E149" s="829">
        <f t="shared" ref="E149:G149" si="75">SUM(E143:E148)</f>
        <v>-1192458.4200000018</v>
      </c>
      <c r="F149" s="619">
        <f t="shared" si="75"/>
        <v>-31741.09</v>
      </c>
      <c r="G149" s="621">
        <f t="shared" si="75"/>
        <v>-1224199.5100000019</v>
      </c>
      <c r="I149" s="621">
        <f t="shared" ref="I149:P149" si="76">SUM(I143:I148)</f>
        <v>-582714.75663879036</v>
      </c>
      <c r="J149" s="621">
        <f t="shared" si="76"/>
        <v>5815.255666080001</v>
      </c>
      <c r="K149" s="303">
        <f>SUM(K143:K148)</f>
        <v>2994204.5963635934</v>
      </c>
      <c r="L149" s="621">
        <f>SUM(L143:L148)</f>
        <v>-430655.06986343185</v>
      </c>
      <c r="M149" s="621">
        <f t="shared" ref="M149:N149" si="77">SUM(M143:M148)</f>
        <v>-18212.552496998997</v>
      </c>
      <c r="N149" s="621">
        <f t="shared" si="77"/>
        <v>258454.43820000003</v>
      </c>
      <c r="O149" s="621">
        <f t="shared" si="76"/>
        <v>91861.358542880698</v>
      </c>
      <c r="P149" s="621">
        <f t="shared" si="76"/>
        <v>-424365.73216821259</v>
      </c>
      <c r="Q149" s="621">
        <f>SUM(Q143:Q148)</f>
        <v>554283.66074274806</v>
      </c>
      <c r="R149" s="622">
        <f t="shared" ref="R149:U149" si="78">SUM(R143:R148)</f>
        <v>-194407.4813333333</v>
      </c>
      <c r="S149" s="621">
        <f t="shared" si="78"/>
        <v>0</v>
      </c>
      <c r="T149" s="621">
        <f t="shared" si="78"/>
        <v>0</v>
      </c>
      <c r="U149" s="621">
        <f t="shared" si="78"/>
        <v>2254263.7170145353</v>
      </c>
      <c r="V149" s="621">
        <f>SUM(V143:V148)</f>
        <v>1030064.2070145345</v>
      </c>
    </row>
    <row r="150" spans="1:22">
      <c r="A150" s="446">
        <v>143</v>
      </c>
      <c r="B150" s="199" t="s">
        <v>315</v>
      </c>
      <c r="C150" s="196"/>
      <c r="D150" s="615"/>
      <c r="E150" s="616">
        <f t="shared" ref="E150:G150" si="79">E85+E93+E100+E107+E123+E135+E137+E140+E149+E57</f>
        <v>31529856.799999997</v>
      </c>
      <c r="F150" s="615">
        <f t="shared" si="79"/>
        <v>49192625.649999999</v>
      </c>
      <c r="G150" s="618">
        <f t="shared" si="79"/>
        <v>80722482.449999988</v>
      </c>
      <c r="I150" s="618">
        <f t="shared" ref="I150:R150" si="80">I85+I93+I100+I107+I123+I135+I137+I140+I149+I57+I53</f>
        <v>-712066.78216836008</v>
      </c>
      <c r="J150" s="618">
        <f t="shared" si="80"/>
        <v>-21876.437981920008</v>
      </c>
      <c r="K150" s="618">
        <f t="shared" si="80"/>
        <v>3658863.2908226727</v>
      </c>
      <c r="L150" s="618">
        <f t="shared" si="80"/>
        <v>2543377.968057672</v>
      </c>
      <c r="M150" s="618">
        <f t="shared" si="80"/>
        <v>68513.88796490099</v>
      </c>
      <c r="N150" s="618">
        <f t="shared" si="80"/>
        <v>-972280.98180000018</v>
      </c>
      <c r="O150" s="618">
        <f t="shared" si="80"/>
        <v>91861.358542880698</v>
      </c>
      <c r="P150" s="618">
        <f t="shared" si="80"/>
        <v>1596423.4686327998</v>
      </c>
      <c r="Q150" s="618">
        <f t="shared" si="80"/>
        <v>4072024.0792157338</v>
      </c>
      <c r="R150" s="618">
        <f t="shared" si="80"/>
        <v>731342.42977777775</v>
      </c>
      <c r="S150" s="618"/>
      <c r="T150" s="618"/>
      <c r="U150" s="618">
        <f t="shared" ref="U150:V150" si="81">U85+U93+U100+U107+U123+U135+U137+U140+U149+U57+U53</f>
        <v>11042899.494264159</v>
      </c>
      <c r="V150" s="618">
        <f t="shared" si="81"/>
        <v>112397664.87426414</v>
      </c>
    </row>
    <row r="151" spans="1:22" ht="16.5" thickBot="1">
      <c r="A151" s="759">
        <v>144</v>
      </c>
      <c r="B151" s="199" t="s">
        <v>316</v>
      </c>
      <c r="C151" s="196"/>
      <c r="D151" s="641">
        <f t="shared" ref="D151:G151" si="82">D54-D150</f>
        <v>0</v>
      </c>
      <c r="E151" s="835">
        <f t="shared" si="82"/>
        <v>69868896.579999968</v>
      </c>
      <c r="F151" s="641">
        <f t="shared" si="82"/>
        <v>-49064511.710000001</v>
      </c>
      <c r="G151" s="642">
        <f t="shared" si="82"/>
        <v>20804384.869999975</v>
      </c>
      <c r="I151" s="701">
        <f t="shared" ref="I151:R151" si="83">+I28-I150</f>
        <v>-2192117.4178316402</v>
      </c>
      <c r="J151" s="701">
        <f t="shared" si="83"/>
        <v>21876.437981920008</v>
      </c>
      <c r="K151" s="701">
        <f t="shared" si="83"/>
        <v>11263912.52917733</v>
      </c>
      <c r="L151" s="701">
        <f t="shared" si="83"/>
        <v>-1620083.3580576722</v>
      </c>
      <c r="M151" s="701">
        <f t="shared" si="83"/>
        <v>-68513.88796490099</v>
      </c>
      <c r="N151" s="701">
        <f t="shared" si="83"/>
        <v>972280.98180000018</v>
      </c>
      <c r="O151" s="701">
        <f t="shared" si="83"/>
        <v>-91861.358542880698</v>
      </c>
      <c r="P151" s="701">
        <f t="shared" si="83"/>
        <v>-1596423.4686327998</v>
      </c>
      <c r="Q151" s="701">
        <f t="shared" si="83"/>
        <v>-2790996.8592157336</v>
      </c>
      <c r="R151" s="701">
        <f t="shared" si="83"/>
        <v>-731342.42977777775</v>
      </c>
      <c r="S151" s="642">
        <f t="shared" ref="S151:T151" si="84">S54-S150</f>
        <v>0</v>
      </c>
      <c r="T151" s="642">
        <f t="shared" si="84"/>
        <v>0</v>
      </c>
      <c r="U151" s="642">
        <f>U28-U150</f>
        <v>3180013.9557358418</v>
      </c>
      <c r="V151" s="642">
        <f>V54-V150</f>
        <v>1774114.4427418262</v>
      </c>
    </row>
    <row r="152" spans="1:22" ht="16.5" thickTop="1">
      <c r="A152" s="446">
        <v>145</v>
      </c>
      <c r="B152" s="195"/>
      <c r="C152" s="196"/>
      <c r="D152" s="615"/>
      <c r="E152" s="616"/>
      <c r="F152" s="615"/>
      <c r="G152" s="618"/>
      <c r="V152" s="643"/>
    </row>
    <row r="153" spans="1:22">
      <c r="A153" s="759">
        <v>146</v>
      </c>
      <c r="B153" s="199" t="s">
        <v>317</v>
      </c>
      <c r="C153" s="196"/>
      <c r="D153" s="615"/>
      <c r="E153" s="616"/>
      <c r="F153" s="615"/>
      <c r="G153" s="618"/>
    </row>
    <row r="154" spans="1:22">
      <c r="A154" s="446">
        <v>147</v>
      </c>
      <c r="B154" s="197" t="s">
        <v>85</v>
      </c>
      <c r="C154" s="198" t="s">
        <v>318</v>
      </c>
      <c r="D154" s="615"/>
      <c r="E154" s="625">
        <v>0</v>
      </c>
      <c r="F154" s="615">
        <v>10728252.16</v>
      </c>
      <c r="G154" s="618">
        <f t="shared" ref="G154:G159" si="85">SUM(E154:F154)</f>
        <v>10728252.16</v>
      </c>
    </row>
    <row r="155" spans="1:22">
      <c r="A155" s="759">
        <v>148</v>
      </c>
      <c r="B155" s="197" t="s">
        <v>86</v>
      </c>
      <c r="C155" s="198" t="s">
        <v>87</v>
      </c>
      <c r="D155" s="615"/>
      <c r="E155" s="625">
        <v>0</v>
      </c>
      <c r="F155" s="615">
        <v>163903.29</v>
      </c>
      <c r="G155" s="618">
        <f t="shared" si="85"/>
        <v>163903.29</v>
      </c>
    </row>
    <row r="156" spans="1:22">
      <c r="A156" s="446">
        <v>149</v>
      </c>
      <c r="B156" s="197" t="s">
        <v>88</v>
      </c>
      <c r="C156" s="198" t="s">
        <v>89</v>
      </c>
      <c r="D156" s="615"/>
      <c r="E156" s="625">
        <v>0</v>
      </c>
      <c r="F156" s="615">
        <v>30949.200000000001</v>
      </c>
      <c r="G156" s="618">
        <f t="shared" si="85"/>
        <v>30949.200000000001</v>
      </c>
    </row>
    <row r="157" spans="1:22">
      <c r="A157" s="759">
        <v>150</v>
      </c>
      <c r="B157" s="197" t="s">
        <v>319</v>
      </c>
      <c r="C157" s="198" t="s">
        <v>320</v>
      </c>
      <c r="D157" s="615"/>
      <c r="E157" s="616">
        <v>16599.79</v>
      </c>
      <c r="F157" s="617">
        <v>27556.980000000003</v>
      </c>
      <c r="G157" s="618">
        <f t="shared" si="85"/>
        <v>44156.770000000004</v>
      </c>
    </row>
    <row r="158" spans="1:22">
      <c r="A158" s="446">
        <v>151</v>
      </c>
      <c r="B158" s="197" t="s">
        <v>321</v>
      </c>
      <c r="C158" s="198" t="s">
        <v>322</v>
      </c>
      <c r="D158" s="615"/>
      <c r="E158" s="625">
        <v>0</v>
      </c>
      <c r="F158" s="615">
        <v>916125.99</v>
      </c>
      <c r="G158" s="618">
        <f t="shared" si="85"/>
        <v>916125.99</v>
      </c>
    </row>
    <row r="159" spans="1:22">
      <c r="A159" s="759">
        <v>152</v>
      </c>
      <c r="B159" s="197" t="s">
        <v>323</v>
      </c>
      <c r="C159" s="198" t="s">
        <v>324</v>
      </c>
      <c r="D159" s="615"/>
      <c r="E159" s="616">
        <v>-556211.24</v>
      </c>
      <c r="F159" s="617">
        <v>-50804.21</v>
      </c>
      <c r="G159" s="618">
        <f t="shared" si="85"/>
        <v>-607015.44999999995</v>
      </c>
    </row>
    <row r="160" spans="1:22">
      <c r="A160" s="446">
        <v>153</v>
      </c>
      <c r="B160" s="199" t="s">
        <v>325</v>
      </c>
      <c r="C160" s="196"/>
      <c r="D160" s="619"/>
      <c r="E160" s="829">
        <f t="shared" ref="E160:G160" si="86">SUM(E154:E159)</f>
        <v>-539611.44999999995</v>
      </c>
      <c r="F160" s="619">
        <f t="shared" si="86"/>
        <v>11815983.409999998</v>
      </c>
      <c r="G160" s="621">
        <f t="shared" si="86"/>
        <v>11276371.959999999</v>
      </c>
    </row>
    <row r="161" spans="1:7">
      <c r="A161" s="759">
        <v>154</v>
      </c>
      <c r="B161" s="195"/>
      <c r="C161" s="196"/>
      <c r="D161" s="615"/>
      <c r="E161" s="616"/>
      <c r="F161" s="615"/>
      <c r="G161" s="618"/>
    </row>
    <row r="162" spans="1:7">
      <c r="A162" s="446">
        <v>155</v>
      </c>
      <c r="B162" s="199" t="s">
        <v>326</v>
      </c>
      <c r="C162" s="196"/>
      <c r="D162" s="615"/>
      <c r="E162" s="616"/>
      <c r="F162" s="615"/>
      <c r="G162" s="618"/>
    </row>
    <row r="163" spans="1:7">
      <c r="A163" s="759">
        <v>156</v>
      </c>
      <c r="B163" s="197" t="s">
        <v>327</v>
      </c>
      <c r="C163" s="198" t="s">
        <v>328</v>
      </c>
      <c r="D163" s="617"/>
      <c r="E163" s="625">
        <v>0</v>
      </c>
      <c r="F163" s="617">
        <v>0</v>
      </c>
      <c r="G163" s="626">
        <f t="shared" ref="G163:G172" si="87">SUM(E163:F163)</f>
        <v>0</v>
      </c>
    </row>
    <row r="164" spans="1:7">
      <c r="A164" s="446">
        <v>157</v>
      </c>
      <c r="B164" s="197" t="s">
        <v>329</v>
      </c>
      <c r="C164" s="198" t="s">
        <v>330</v>
      </c>
      <c r="D164" s="617"/>
      <c r="E164" s="625">
        <v>0</v>
      </c>
      <c r="F164" s="617">
        <v>0</v>
      </c>
      <c r="G164" s="626">
        <f t="shared" si="87"/>
        <v>0</v>
      </c>
    </row>
    <row r="165" spans="1:7">
      <c r="A165" s="759">
        <v>158</v>
      </c>
      <c r="B165" s="197" t="s">
        <v>331</v>
      </c>
      <c r="C165" s="198" t="s">
        <v>332</v>
      </c>
      <c r="D165" s="615"/>
      <c r="E165" s="625">
        <v>0</v>
      </c>
      <c r="F165" s="617">
        <v>6144.23</v>
      </c>
      <c r="G165" s="618">
        <f t="shared" si="87"/>
        <v>6144.23</v>
      </c>
    </row>
    <row r="166" spans="1:7">
      <c r="A166" s="446">
        <v>159</v>
      </c>
      <c r="B166" s="197" t="s">
        <v>333</v>
      </c>
      <c r="C166" s="198" t="s">
        <v>334</v>
      </c>
      <c r="D166" s="617"/>
      <c r="E166" s="625">
        <v>0</v>
      </c>
      <c r="F166" s="617">
        <v>0</v>
      </c>
      <c r="G166" s="626">
        <f t="shared" si="87"/>
        <v>0</v>
      </c>
    </row>
    <row r="167" spans="1:7">
      <c r="A167" s="759">
        <v>160</v>
      </c>
      <c r="B167" s="197" t="s">
        <v>335</v>
      </c>
      <c r="C167" s="198" t="s">
        <v>336</v>
      </c>
      <c r="D167" s="617"/>
      <c r="E167" s="625">
        <v>0</v>
      </c>
      <c r="F167" s="617">
        <v>0</v>
      </c>
      <c r="G167" s="626">
        <f t="shared" si="87"/>
        <v>0</v>
      </c>
    </row>
    <row r="168" spans="1:7">
      <c r="A168" s="446">
        <v>161</v>
      </c>
      <c r="B168" s="197" t="s">
        <v>337</v>
      </c>
      <c r="C168" s="198" t="s">
        <v>338</v>
      </c>
      <c r="D168" s="615"/>
      <c r="E168" s="625">
        <v>4632392.6399999997</v>
      </c>
      <c r="F168" s="617">
        <v>38052.92</v>
      </c>
      <c r="G168" s="618">
        <f t="shared" si="87"/>
        <v>4670445.5599999996</v>
      </c>
    </row>
    <row r="169" spans="1:7">
      <c r="A169" s="759">
        <v>162</v>
      </c>
      <c r="B169" s="197" t="s">
        <v>339</v>
      </c>
      <c r="C169" s="198" t="s">
        <v>340</v>
      </c>
      <c r="D169" s="617"/>
      <c r="E169" s="625">
        <v>-88.059999999997672</v>
      </c>
      <c r="F169" s="617">
        <v>0</v>
      </c>
      <c r="G169" s="626">
        <f t="shared" si="87"/>
        <v>-88.059999999997672</v>
      </c>
    </row>
    <row r="170" spans="1:7">
      <c r="A170" s="446">
        <v>163</v>
      </c>
      <c r="B170" s="644">
        <v>408.2</v>
      </c>
      <c r="C170" s="198" t="s">
        <v>341</v>
      </c>
      <c r="D170" s="617"/>
      <c r="E170" s="625">
        <v>-1072.1199999999999</v>
      </c>
      <c r="F170" s="617">
        <v>0</v>
      </c>
      <c r="G170" s="626">
        <f t="shared" si="87"/>
        <v>-1072.1199999999999</v>
      </c>
    </row>
    <row r="171" spans="1:7">
      <c r="A171" s="759">
        <v>164</v>
      </c>
      <c r="B171" s="197" t="s">
        <v>342</v>
      </c>
      <c r="C171" s="198" t="s">
        <v>343</v>
      </c>
      <c r="D171" s="615"/>
      <c r="E171" s="625">
        <v>0</v>
      </c>
      <c r="F171" s="617">
        <v>3558.630000000001</v>
      </c>
      <c r="G171" s="618">
        <f t="shared" si="87"/>
        <v>3558.630000000001</v>
      </c>
    </row>
    <row r="172" spans="1:7">
      <c r="A172" s="446">
        <v>165</v>
      </c>
      <c r="B172" s="197" t="s">
        <v>344</v>
      </c>
      <c r="C172" s="198" t="s">
        <v>544</v>
      </c>
      <c r="D172" s="615"/>
      <c r="E172" s="625">
        <v>0</v>
      </c>
      <c r="F172" s="617">
        <v>934.33</v>
      </c>
      <c r="G172" s="618">
        <f t="shared" si="87"/>
        <v>934.33</v>
      </c>
    </row>
    <row r="173" spans="1:7">
      <c r="A173" s="759">
        <v>166</v>
      </c>
      <c r="B173" s="199" t="s">
        <v>345</v>
      </c>
      <c r="C173" s="196"/>
      <c r="D173" s="619"/>
      <c r="E173" s="829">
        <f t="shared" ref="E173:G173" si="88">SUM(E163:E172)</f>
        <v>4631232.46</v>
      </c>
      <c r="F173" s="619">
        <f t="shared" si="88"/>
        <v>48690.11</v>
      </c>
      <c r="G173" s="621">
        <f t="shared" si="88"/>
        <v>4679922.57</v>
      </c>
    </row>
    <row r="174" spans="1:7">
      <c r="A174" s="446">
        <v>167</v>
      </c>
      <c r="B174" s="195"/>
      <c r="C174" s="196"/>
      <c r="D174" s="615"/>
      <c r="E174" s="616"/>
      <c r="F174" s="615"/>
      <c r="G174" s="618"/>
    </row>
    <row r="175" spans="1:7">
      <c r="A175" s="759">
        <v>168</v>
      </c>
      <c r="B175" s="199" t="s">
        <v>346</v>
      </c>
      <c r="C175" s="196"/>
      <c r="D175" s="615"/>
      <c r="E175" s="616"/>
      <c r="F175" s="615"/>
      <c r="G175" s="618"/>
    </row>
    <row r="176" spans="1:7">
      <c r="A176" s="446">
        <v>169</v>
      </c>
      <c r="B176" s="197" t="s">
        <v>347</v>
      </c>
      <c r="C176" s="198" t="s">
        <v>348</v>
      </c>
      <c r="D176" s="615"/>
      <c r="E176" s="616">
        <v>616283.49</v>
      </c>
      <c r="F176" s="615">
        <v>0</v>
      </c>
      <c r="G176" s="618">
        <f t="shared" ref="G176:G185" si="89">SUM(E176:F176)</f>
        <v>616283.49</v>
      </c>
    </row>
    <row r="177" spans="1:7">
      <c r="A177" s="759">
        <v>170</v>
      </c>
      <c r="B177" s="197" t="s">
        <v>347</v>
      </c>
      <c r="C177" s="198" t="s">
        <v>349</v>
      </c>
      <c r="D177" s="617"/>
      <c r="E177" s="625">
        <v>0</v>
      </c>
      <c r="F177" s="615">
        <v>0</v>
      </c>
      <c r="G177" s="626">
        <f t="shared" si="89"/>
        <v>0</v>
      </c>
    </row>
    <row r="178" spans="1:7">
      <c r="A178" s="446">
        <v>171</v>
      </c>
      <c r="B178" s="197" t="s">
        <v>350</v>
      </c>
      <c r="C178" s="198" t="s">
        <v>351</v>
      </c>
      <c r="D178" s="617"/>
      <c r="E178" s="625">
        <v>528076.93999999994</v>
      </c>
      <c r="F178" s="615">
        <v>0</v>
      </c>
      <c r="G178" s="626">
        <f t="shared" si="89"/>
        <v>528076.93999999994</v>
      </c>
    </row>
    <row r="179" spans="1:7">
      <c r="A179" s="759">
        <v>172</v>
      </c>
      <c r="B179" s="197" t="s">
        <v>352</v>
      </c>
      <c r="C179" s="198" t="s">
        <v>353</v>
      </c>
      <c r="D179" s="617"/>
      <c r="E179" s="625">
        <v>-41623.26</v>
      </c>
      <c r="F179" s="615">
        <v>0</v>
      </c>
      <c r="G179" s="626">
        <f t="shared" si="89"/>
        <v>-41623.26</v>
      </c>
    </row>
    <row r="180" spans="1:7">
      <c r="A180" s="446">
        <v>173</v>
      </c>
      <c r="B180" s="197" t="s">
        <v>354</v>
      </c>
      <c r="C180" s="198" t="s">
        <v>355</v>
      </c>
      <c r="D180" s="617"/>
      <c r="E180" s="625">
        <v>0</v>
      </c>
      <c r="F180" s="615">
        <v>0</v>
      </c>
      <c r="G180" s="626">
        <f t="shared" si="89"/>
        <v>0</v>
      </c>
    </row>
    <row r="181" spans="1:7">
      <c r="A181" s="759">
        <v>174</v>
      </c>
      <c r="B181" s="197" t="s">
        <v>356</v>
      </c>
      <c r="C181" s="198" t="s">
        <v>357</v>
      </c>
      <c r="D181" s="615"/>
      <c r="E181" s="616">
        <v>20051.07</v>
      </c>
      <c r="F181" s="615">
        <v>159831.21</v>
      </c>
      <c r="G181" s="618">
        <f t="shared" si="89"/>
        <v>179882.28</v>
      </c>
    </row>
    <row r="182" spans="1:7">
      <c r="A182" s="446">
        <v>175</v>
      </c>
      <c r="B182" s="197" t="s">
        <v>358</v>
      </c>
      <c r="C182" s="198" t="s">
        <v>359</v>
      </c>
      <c r="D182" s="617"/>
      <c r="E182" s="625">
        <v>0</v>
      </c>
      <c r="F182" s="615">
        <v>-588785.82999999996</v>
      </c>
      <c r="G182" s="626">
        <f t="shared" si="89"/>
        <v>-588785.82999999996</v>
      </c>
    </row>
    <row r="183" spans="1:7">
      <c r="A183" s="759">
        <v>176</v>
      </c>
      <c r="B183" s="197" t="s">
        <v>360</v>
      </c>
      <c r="C183" s="198" t="s">
        <v>361</v>
      </c>
      <c r="D183" s="617"/>
      <c r="E183" s="625">
        <v>0</v>
      </c>
      <c r="F183" s="615">
        <v>71.14</v>
      </c>
      <c r="G183" s="626">
        <f t="shared" si="89"/>
        <v>71.14</v>
      </c>
    </row>
    <row r="184" spans="1:7">
      <c r="A184" s="446">
        <v>177</v>
      </c>
      <c r="B184" s="197" t="s">
        <v>362</v>
      </c>
      <c r="C184" s="198" t="s">
        <v>363</v>
      </c>
      <c r="D184" s="615"/>
      <c r="E184" s="616">
        <v>0</v>
      </c>
      <c r="F184" s="615">
        <v>230210.98</v>
      </c>
      <c r="G184" s="618">
        <f t="shared" si="89"/>
        <v>230210.98</v>
      </c>
    </row>
    <row r="185" spans="1:7">
      <c r="A185" s="759">
        <v>178</v>
      </c>
      <c r="B185" s="197" t="s">
        <v>364</v>
      </c>
      <c r="C185" s="198" t="s">
        <v>365</v>
      </c>
      <c r="D185" s="617"/>
      <c r="E185" s="625">
        <v>1555.7800000000279</v>
      </c>
      <c r="F185" s="615">
        <v>0</v>
      </c>
      <c r="G185" s="626">
        <f t="shared" si="89"/>
        <v>1555.7800000000279</v>
      </c>
    </row>
    <row r="186" spans="1:7">
      <c r="A186" s="446">
        <v>179</v>
      </c>
      <c r="B186" s="199" t="s">
        <v>366</v>
      </c>
      <c r="C186" s="196"/>
      <c r="D186" s="619"/>
      <c r="E186" s="829">
        <f t="shared" ref="E186:G186" si="90">SUM(E176:E185)</f>
        <v>1124344.02</v>
      </c>
      <c r="F186" s="619">
        <f t="shared" si="90"/>
        <v>-198672.49999999997</v>
      </c>
      <c r="G186" s="621">
        <f t="shared" si="90"/>
        <v>925671.52</v>
      </c>
    </row>
    <row r="187" spans="1:7" ht="16.5" thickBot="1">
      <c r="A187" s="759">
        <v>180</v>
      </c>
      <c r="B187" s="645" t="s">
        <v>367</v>
      </c>
      <c r="C187" s="646"/>
      <c r="D187" s="641">
        <f>D151-D160-D173-D186</f>
        <v>0</v>
      </c>
      <c r="E187" s="835">
        <f>E151-E160+E173-E186</f>
        <v>73915396.469999969</v>
      </c>
      <c r="F187" s="641">
        <f t="shared" ref="F187:G187" si="91">F151-F160+F173-F186</f>
        <v>-60633132.509999998</v>
      </c>
      <c r="G187" s="642">
        <f t="shared" si="91"/>
        <v>13282263.959999977</v>
      </c>
    </row>
    <row r="188" spans="1:7" ht="16.5" thickTop="1"/>
  </sheetData>
  <mergeCells count="20">
    <mergeCell ref="B13:C13"/>
    <mergeCell ref="B125:C125"/>
    <mergeCell ref="B11:C12"/>
    <mergeCell ref="E11:G11"/>
    <mergeCell ref="E12:G12"/>
    <mergeCell ref="C1:G1"/>
    <mergeCell ref="C2:G2"/>
    <mergeCell ref="C3:G3"/>
    <mergeCell ref="C4:G4"/>
    <mergeCell ref="C5:G5"/>
    <mergeCell ref="K1:Q1"/>
    <mergeCell ref="K2:Q2"/>
    <mergeCell ref="K3:Q3"/>
    <mergeCell ref="K4:Q4"/>
    <mergeCell ref="K5:Q5"/>
    <mergeCell ref="S1:T1"/>
    <mergeCell ref="S2:T2"/>
    <mergeCell ref="S3:T3"/>
    <mergeCell ref="S4:T4"/>
    <mergeCell ref="S5:T5"/>
  </mergeCells>
  <printOptions horizontalCentered="1"/>
  <pageMargins left="0.7" right="0.7" top="0.75" bottom="0.75" header="0.3" footer="0.3"/>
  <pageSetup scale="50" fitToHeight="0" orientation="landscape" r:id="rId1"/>
  <headerFooter scaleWithDoc="0" alignWithMargins="0">
    <oddHeader>&amp;RPage &amp;P of &amp;N</oddHeader>
    <oddFooter>&amp;LElectronic Tab Name:&amp;A</oddFooter>
  </headerFooter>
  <rowBreaks count="1" manualBreakCount="1">
    <brk id="158" max="7" man="1"/>
  </rowBreaks>
  <colBreaks count="1" manualBreakCount="1">
    <brk id="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I20"/>
  <sheetViews>
    <sheetView view="pageBreakPreview" zoomScale="60" zoomScaleNormal="100" workbookViewId="0">
      <selection activeCell="G24" sqref="F24:G24"/>
    </sheetView>
  </sheetViews>
  <sheetFormatPr defaultRowHeight="15.75"/>
  <cols>
    <col min="1" max="1" width="8.42578125" style="4" bestFit="1" customWidth="1"/>
    <col min="2" max="2" width="37.5703125" style="4" bestFit="1" customWidth="1"/>
    <col min="3" max="3" width="3.85546875" style="4" customWidth="1"/>
    <col min="4" max="4" width="22" style="4" bestFit="1" customWidth="1"/>
    <col min="5" max="6" width="9.140625" style="4"/>
    <col min="7" max="7" width="15.42578125" style="4" customWidth="1"/>
    <col min="8" max="8" width="22" style="4" bestFit="1" customWidth="1"/>
    <col min="9" max="16384" width="9.140625" style="4"/>
  </cols>
  <sheetData>
    <row r="1" spans="1:9">
      <c r="A1" s="904" t="s">
        <v>60</v>
      </c>
      <c r="B1" s="904"/>
      <c r="C1" s="904"/>
      <c r="D1" s="904"/>
      <c r="E1" s="904"/>
      <c r="F1" s="904"/>
      <c r="G1" s="904"/>
      <c r="H1" s="904"/>
      <c r="I1" s="904"/>
    </row>
    <row r="2" spans="1:9">
      <c r="A2" s="904" t="s">
        <v>1865</v>
      </c>
      <c r="B2" s="904"/>
      <c r="C2" s="904"/>
      <c r="D2" s="904"/>
      <c r="E2" s="904"/>
      <c r="F2" s="904"/>
      <c r="G2" s="904"/>
      <c r="H2" s="904"/>
      <c r="I2" s="904"/>
    </row>
    <row r="3" spans="1:9">
      <c r="A3" s="904" t="s">
        <v>1298</v>
      </c>
      <c r="B3" s="904"/>
      <c r="C3" s="904"/>
      <c r="D3" s="904"/>
      <c r="E3" s="904"/>
      <c r="F3" s="904"/>
      <c r="G3" s="904"/>
      <c r="H3" s="904"/>
      <c r="I3" s="904"/>
    </row>
    <row r="4" spans="1:9">
      <c r="A4" s="904" t="s">
        <v>41</v>
      </c>
      <c r="B4" s="904"/>
      <c r="C4" s="904"/>
      <c r="D4" s="904"/>
      <c r="E4" s="904"/>
      <c r="F4" s="904"/>
      <c r="G4" s="904"/>
      <c r="H4" s="904"/>
      <c r="I4" s="904"/>
    </row>
    <row r="5" spans="1:9">
      <c r="A5" s="904" t="s">
        <v>1864</v>
      </c>
      <c r="B5" s="904"/>
      <c r="C5" s="904"/>
      <c r="D5" s="904"/>
      <c r="E5" s="904"/>
      <c r="F5" s="904"/>
      <c r="G5" s="904"/>
      <c r="H5" s="904"/>
      <c r="I5" s="904"/>
    </row>
    <row r="9" spans="1:9">
      <c r="A9" s="10" t="s">
        <v>799</v>
      </c>
      <c r="B9" s="6" t="s">
        <v>803</v>
      </c>
      <c r="C9" s="6"/>
      <c r="D9" s="6" t="s">
        <v>801</v>
      </c>
      <c r="H9" s="6" t="s">
        <v>802</v>
      </c>
    </row>
    <row r="10" spans="1:9">
      <c r="A10" s="6">
        <v>1</v>
      </c>
      <c r="D10" s="6" t="s">
        <v>369</v>
      </c>
      <c r="H10" s="6" t="s">
        <v>1827</v>
      </c>
    </row>
    <row r="11" spans="1:9">
      <c r="A11" s="6">
        <v>2</v>
      </c>
      <c r="D11" s="6" t="s">
        <v>370</v>
      </c>
      <c r="H11" s="6" t="s">
        <v>370</v>
      </c>
    </row>
    <row r="12" spans="1:9">
      <c r="A12" s="6">
        <v>3</v>
      </c>
      <c r="D12" s="26" t="s">
        <v>1867</v>
      </c>
      <c r="E12" s="24"/>
      <c r="F12" s="24"/>
      <c r="G12" s="24"/>
      <c r="H12" s="26" t="s">
        <v>1867</v>
      </c>
    </row>
    <row r="13" spans="1:9">
      <c r="A13" s="6">
        <v>4</v>
      </c>
      <c r="B13" s="4" t="s">
        <v>957</v>
      </c>
      <c r="D13" s="431">
        <f>+'Plant in Serv &amp; Accum Depr'!AF165</f>
        <v>835867891.49633491</v>
      </c>
      <c r="E13" s="24" t="s">
        <v>1006</v>
      </c>
      <c r="F13" s="24"/>
      <c r="G13" s="24"/>
      <c r="H13" s="431">
        <f>+'Plant in Serv &amp; Accum Depr'!AD165</f>
        <v>866945220.73952997</v>
      </c>
    </row>
    <row r="14" spans="1:9">
      <c r="A14" s="6">
        <v>5</v>
      </c>
      <c r="B14" s="4" t="s">
        <v>958</v>
      </c>
      <c r="D14" s="466">
        <f>-'Plant in Serv &amp; Accum Depr'!AF171</f>
        <v>-389781047.94520426</v>
      </c>
      <c r="E14" s="24" t="s">
        <v>1006</v>
      </c>
      <c r="F14" s="24"/>
      <c r="G14" s="24"/>
      <c r="H14" s="466">
        <f>-'Plant in Serv &amp; Accum Depr'!AD171</f>
        <v>-397219164.69433802</v>
      </c>
    </row>
    <row r="15" spans="1:9">
      <c r="A15" s="6">
        <v>6</v>
      </c>
      <c r="B15" s="4" t="s">
        <v>368</v>
      </c>
      <c r="D15" s="200">
        <f>+D13+D14</f>
        <v>446086843.55113065</v>
      </c>
      <c r="E15" s="24"/>
      <c r="F15" s="24"/>
      <c r="G15" s="24"/>
      <c r="H15" s="200">
        <f>+H13+H14</f>
        <v>469726056.04519194</v>
      </c>
    </row>
    <row r="16" spans="1:9">
      <c r="A16" s="6">
        <v>7</v>
      </c>
      <c r="B16" s="4" t="s">
        <v>959</v>
      </c>
      <c r="D16" s="200">
        <f>+'Adv for Const. &amp; Def Tax'!AX23</f>
        <v>-3800412.8362500002</v>
      </c>
      <c r="E16" s="24" t="s">
        <v>1007</v>
      </c>
      <c r="F16" s="24"/>
      <c r="G16" s="24"/>
      <c r="H16" s="200">
        <f>+'Adv for Const. &amp; Def Tax'!AU23</f>
        <v>-3755550.64</v>
      </c>
    </row>
    <row r="17" spans="1:8">
      <c r="A17" s="6">
        <v>8</v>
      </c>
      <c r="B17" s="4" t="s">
        <v>960</v>
      </c>
      <c r="D17" s="200">
        <f>+'Adv for Const. &amp; Def Tax'!AX43</f>
        <v>-75625049.641666636</v>
      </c>
      <c r="E17" s="24" t="s">
        <v>1007</v>
      </c>
      <c r="F17" s="24"/>
      <c r="G17" s="24"/>
      <c r="H17" s="200">
        <f>+'Adv for Const. &amp; Def Tax'!AU43</f>
        <v>-77673011.209999993</v>
      </c>
    </row>
    <row r="18" spans="1:8">
      <c r="A18" s="6">
        <v>9</v>
      </c>
      <c r="B18" s="4" t="s">
        <v>961</v>
      </c>
      <c r="D18" s="684">
        <f>+' Working Capital (AMA)'!Y708</f>
        <v>7565010.5869378978</v>
      </c>
      <c r="E18" s="24" t="s">
        <v>1008</v>
      </c>
      <c r="F18" s="24"/>
      <c r="G18" s="24"/>
      <c r="H18" s="684">
        <f>+D18</f>
        <v>7565010.5869378978</v>
      </c>
    </row>
    <row r="19" spans="1:8">
      <c r="A19" s="6">
        <v>10</v>
      </c>
      <c r="B19" s="4" t="s">
        <v>962</v>
      </c>
      <c r="D19" s="685">
        <f>+D15+D16+D17+D18</f>
        <v>374226391.6601519</v>
      </c>
      <c r="E19" s="24"/>
      <c r="F19" s="24"/>
      <c r="G19" s="24"/>
      <c r="H19" s="685">
        <f>+H15+H16+H17+H18</f>
        <v>395862504.78212988</v>
      </c>
    </row>
    <row r="20" spans="1:8">
      <c r="D20" s="24"/>
      <c r="E20" s="24"/>
      <c r="F20" s="24"/>
      <c r="G20" s="24"/>
      <c r="H20" s="24"/>
    </row>
  </sheetData>
  <mergeCells count="5">
    <mergeCell ref="A1:I1"/>
    <mergeCell ref="A2:I2"/>
    <mergeCell ref="A3:I3"/>
    <mergeCell ref="A4:I4"/>
    <mergeCell ref="A5:I5"/>
  </mergeCells>
  <printOptions horizontalCentered="1"/>
  <pageMargins left="0.7" right="0.7" top="0.75" bottom="0.75" header="0.3" footer="0.3"/>
  <pageSetup scale="83" orientation="landscape" r:id="rId1"/>
  <headerFooter scaleWithDoc="0" alignWithMargins="0">
    <oddHeader>&amp;RPage &amp;P of &amp;N</oddHeader>
    <oddFooter>&amp;LElectronic Tab Name:&amp;A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AI171"/>
  <sheetViews>
    <sheetView view="pageBreakPreview" zoomScale="73" zoomScaleNormal="30" zoomScaleSheetLayoutView="73" workbookViewId="0">
      <selection activeCell="G24" sqref="F24:G24"/>
    </sheetView>
  </sheetViews>
  <sheetFormatPr defaultRowHeight="15.75"/>
  <cols>
    <col min="1" max="1" width="9.28515625" style="446" bestFit="1" customWidth="1"/>
    <col min="2" max="2" width="17.7109375" style="24" customWidth="1"/>
    <col min="3" max="3" width="44" style="24" bestFit="1" customWidth="1"/>
    <col min="4" max="4" width="19.28515625" style="24" customWidth="1"/>
    <col min="5" max="5" width="20.28515625" style="24" bestFit="1" customWidth="1"/>
    <col min="6" max="6" width="20.140625" style="24" bestFit="1" customWidth="1"/>
    <col min="7" max="7" width="20.5703125" style="24" bestFit="1" customWidth="1"/>
    <col min="8" max="8" width="18.7109375" style="24" bestFit="1" customWidth="1"/>
    <col min="9" max="9" width="20.5703125" style="24" bestFit="1" customWidth="1"/>
    <col min="10" max="10" width="18.85546875" style="24" bestFit="1" customWidth="1"/>
    <col min="11" max="11" width="20.5703125" style="24" bestFit="1" customWidth="1"/>
    <col min="12" max="13" width="19.5703125" style="24" bestFit="1" customWidth="1"/>
    <col min="14" max="14" width="18.85546875" style="24" bestFit="1" customWidth="1"/>
    <col min="15" max="15" width="19.5703125" style="24" bestFit="1" customWidth="1"/>
    <col min="16" max="16" width="19.85546875" style="24" bestFit="1" customWidth="1"/>
    <col min="17" max="17" width="19.5703125" style="24" bestFit="1" customWidth="1"/>
    <col min="18" max="18" width="18.7109375" style="24" bestFit="1" customWidth="1"/>
    <col min="19" max="19" width="19.5703125" style="24" bestFit="1" customWidth="1"/>
    <col min="20" max="20" width="18.140625" style="24" bestFit="1" customWidth="1"/>
    <col min="21" max="21" width="19.5703125" style="24" bestFit="1" customWidth="1"/>
    <col min="22" max="22" width="19.140625" style="24" bestFit="1" customWidth="1"/>
    <col min="23" max="23" width="19.5703125" style="24" bestFit="1" customWidth="1"/>
    <col min="24" max="24" width="20.42578125" style="24" bestFit="1" customWidth="1"/>
    <col min="25" max="25" width="20.28515625" style="24" bestFit="1" customWidth="1"/>
    <col min="26" max="26" width="19.28515625" style="24" bestFit="1" customWidth="1"/>
    <col min="27" max="27" width="20.28515625" style="24" bestFit="1" customWidth="1"/>
    <col min="28" max="28" width="19.5703125" style="24" bestFit="1" customWidth="1"/>
    <col min="29" max="29" width="20.28515625" style="24" bestFit="1" customWidth="1"/>
    <col min="30" max="30" width="19.140625" style="24" bestFit="1" customWidth="1"/>
    <col min="31" max="31" width="25.5703125" style="24" customWidth="1"/>
    <col min="32" max="32" width="34.5703125" style="24" bestFit="1" customWidth="1"/>
    <col min="33" max="16384" width="9.140625" style="24"/>
  </cols>
  <sheetData>
    <row r="1" spans="1:35">
      <c r="A1" s="904" t="s">
        <v>60</v>
      </c>
      <c r="B1" s="904"/>
      <c r="C1" s="904"/>
      <c r="D1" s="904"/>
      <c r="E1" s="904"/>
      <c r="F1" s="904"/>
      <c r="G1" s="904"/>
      <c r="H1" s="904"/>
      <c r="I1" s="904"/>
      <c r="J1" s="904"/>
      <c r="K1" s="904"/>
      <c r="L1" s="904"/>
      <c r="M1" s="904" t="s">
        <v>60</v>
      </c>
      <c r="N1" s="904"/>
      <c r="O1" s="904"/>
      <c r="P1" s="904"/>
      <c r="Q1" s="904"/>
      <c r="R1" s="904"/>
      <c r="S1" s="904"/>
      <c r="T1" s="904"/>
      <c r="U1" s="904"/>
      <c r="V1" s="904"/>
      <c r="W1" s="904"/>
      <c r="X1" s="904"/>
      <c r="Y1" s="904" t="s">
        <v>60</v>
      </c>
      <c r="Z1" s="904"/>
      <c r="AA1" s="904"/>
      <c r="AB1" s="904"/>
      <c r="AC1" s="904"/>
      <c r="AD1" s="904"/>
      <c r="AE1" s="904"/>
      <c r="AF1" s="904"/>
      <c r="AG1" s="3"/>
      <c r="AH1" s="3"/>
      <c r="AI1" s="3"/>
    </row>
    <row r="2" spans="1:35">
      <c r="A2" s="904" t="s">
        <v>1865</v>
      </c>
      <c r="B2" s="904"/>
      <c r="C2" s="904"/>
      <c r="D2" s="904"/>
      <c r="E2" s="904"/>
      <c r="F2" s="904"/>
      <c r="G2" s="904"/>
      <c r="H2" s="904"/>
      <c r="I2" s="904"/>
      <c r="J2" s="904"/>
      <c r="K2" s="904"/>
      <c r="L2" s="904"/>
      <c r="M2" s="904" t="str">
        <f>+A2</f>
        <v>UG 20_____</v>
      </c>
      <c r="N2" s="904"/>
      <c r="O2" s="904"/>
      <c r="P2" s="904"/>
      <c r="Q2" s="904"/>
      <c r="R2" s="904"/>
      <c r="S2" s="904"/>
      <c r="T2" s="904"/>
      <c r="U2" s="904"/>
      <c r="V2" s="904"/>
      <c r="W2" s="904"/>
      <c r="X2" s="904"/>
      <c r="Y2" s="904" t="str">
        <f>+M2</f>
        <v>UG 20_____</v>
      </c>
      <c r="Z2" s="904"/>
      <c r="AA2" s="904"/>
      <c r="AB2" s="904"/>
      <c r="AC2" s="904"/>
      <c r="AD2" s="904"/>
      <c r="AE2" s="904"/>
      <c r="AF2" s="904"/>
      <c r="AG2" s="3"/>
      <c r="AH2" s="3"/>
      <c r="AI2" s="3"/>
    </row>
    <row r="3" spans="1:35">
      <c r="A3" s="904" t="s">
        <v>1349</v>
      </c>
      <c r="B3" s="904"/>
      <c r="C3" s="904"/>
      <c r="D3" s="904"/>
      <c r="E3" s="904"/>
      <c r="F3" s="904"/>
      <c r="G3" s="904"/>
      <c r="H3" s="904"/>
      <c r="I3" s="904"/>
      <c r="J3" s="904"/>
      <c r="K3" s="904"/>
      <c r="L3" s="904"/>
      <c r="M3" s="904" t="str">
        <f>+A3</f>
        <v>MCP WP-1.3</v>
      </c>
      <c r="N3" s="904"/>
      <c r="O3" s="904"/>
      <c r="P3" s="904"/>
      <c r="Q3" s="904"/>
      <c r="R3" s="904"/>
      <c r="S3" s="904"/>
      <c r="T3" s="904"/>
      <c r="U3" s="904"/>
      <c r="V3" s="904"/>
      <c r="W3" s="904"/>
      <c r="X3" s="904"/>
      <c r="Y3" s="904" t="str">
        <f>+M3</f>
        <v>MCP WP-1.3</v>
      </c>
      <c r="Z3" s="904"/>
      <c r="AA3" s="904"/>
      <c r="AB3" s="904"/>
      <c r="AC3" s="904"/>
      <c r="AD3" s="904"/>
      <c r="AE3" s="904"/>
      <c r="AF3" s="904"/>
      <c r="AG3" s="3"/>
      <c r="AH3" s="3"/>
      <c r="AI3" s="3"/>
    </row>
    <row r="4" spans="1:35">
      <c r="A4" s="904" t="s">
        <v>1035</v>
      </c>
      <c r="B4" s="904"/>
      <c r="C4" s="904"/>
      <c r="D4" s="904"/>
      <c r="E4" s="904"/>
      <c r="F4" s="904"/>
      <c r="G4" s="904"/>
      <c r="H4" s="904"/>
      <c r="I4" s="904"/>
      <c r="J4" s="904"/>
      <c r="K4" s="904"/>
      <c r="L4" s="904"/>
      <c r="M4" s="904" t="s">
        <v>1035</v>
      </c>
      <c r="N4" s="904"/>
      <c r="O4" s="904"/>
      <c r="P4" s="904"/>
      <c r="Q4" s="904"/>
      <c r="R4" s="904"/>
      <c r="S4" s="904"/>
      <c r="T4" s="904"/>
      <c r="U4" s="904"/>
      <c r="V4" s="904"/>
      <c r="W4" s="904"/>
      <c r="X4" s="904"/>
      <c r="Y4" s="904" t="s">
        <v>1035</v>
      </c>
      <c r="Z4" s="904"/>
      <c r="AA4" s="904"/>
      <c r="AB4" s="904"/>
      <c r="AC4" s="904"/>
      <c r="AD4" s="904"/>
      <c r="AE4" s="904"/>
      <c r="AF4" s="904"/>
      <c r="AG4" s="3"/>
      <c r="AH4" s="3"/>
      <c r="AI4" s="3"/>
    </row>
    <row r="5" spans="1:35">
      <c r="A5" s="904" t="s">
        <v>1864</v>
      </c>
      <c r="B5" s="904"/>
      <c r="C5" s="904"/>
      <c r="D5" s="904"/>
      <c r="E5" s="904"/>
      <c r="F5" s="904"/>
      <c r="G5" s="904"/>
      <c r="H5" s="904"/>
      <c r="I5" s="904"/>
      <c r="J5" s="904"/>
      <c r="K5" s="904"/>
      <c r="L5" s="904"/>
      <c r="M5" s="904" t="str">
        <f>+A5</f>
        <v>Twelve Months Ended December 31, 2019</v>
      </c>
      <c r="N5" s="904"/>
      <c r="O5" s="904"/>
      <c r="P5" s="904"/>
      <c r="Q5" s="904"/>
      <c r="R5" s="904"/>
      <c r="S5" s="904"/>
      <c r="T5" s="904"/>
      <c r="U5" s="904"/>
      <c r="V5" s="904"/>
      <c r="W5" s="904"/>
      <c r="X5" s="904"/>
      <c r="Y5" s="904" t="str">
        <f>+M5</f>
        <v>Twelve Months Ended December 31, 2019</v>
      </c>
      <c r="Z5" s="904"/>
      <c r="AA5" s="904"/>
      <c r="AB5" s="904"/>
      <c r="AC5" s="904"/>
      <c r="AD5" s="904"/>
      <c r="AE5" s="904"/>
      <c r="AF5" s="904"/>
      <c r="AG5" s="3"/>
      <c r="AH5" s="3"/>
      <c r="AI5" s="3"/>
    </row>
    <row r="7" spans="1:35" s="446" customFormat="1">
      <c r="B7" s="446" t="s">
        <v>803</v>
      </c>
      <c r="C7" s="446" t="s">
        <v>801</v>
      </c>
      <c r="D7" s="446" t="s">
        <v>802</v>
      </c>
      <c r="E7" s="446" t="s">
        <v>805</v>
      </c>
      <c r="F7" s="446" t="s">
        <v>806</v>
      </c>
      <c r="G7" s="446" t="s">
        <v>807</v>
      </c>
      <c r="H7" s="446" t="s">
        <v>808</v>
      </c>
      <c r="I7" s="446" t="s">
        <v>809</v>
      </c>
      <c r="J7" s="446" t="s">
        <v>810</v>
      </c>
      <c r="K7" s="446" t="s">
        <v>811</v>
      </c>
      <c r="L7" s="446" t="s">
        <v>812</v>
      </c>
      <c r="M7" s="446" t="s">
        <v>813</v>
      </c>
      <c r="N7" s="446" t="s">
        <v>814</v>
      </c>
      <c r="O7" s="446" t="s">
        <v>815</v>
      </c>
      <c r="P7" s="446" t="s">
        <v>816</v>
      </c>
      <c r="Q7" s="446" t="s">
        <v>1020</v>
      </c>
      <c r="R7" s="446" t="s">
        <v>1021</v>
      </c>
      <c r="S7" s="446" t="s">
        <v>1022</v>
      </c>
      <c r="T7" s="446" t="s">
        <v>1023</v>
      </c>
      <c r="U7" s="446" t="s">
        <v>1024</v>
      </c>
      <c r="V7" s="446" t="s">
        <v>1025</v>
      </c>
      <c r="W7" s="446" t="s">
        <v>1026</v>
      </c>
      <c r="X7" s="446" t="s">
        <v>1027</v>
      </c>
      <c r="Y7" s="446" t="s">
        <v>1028</v>
      </c>
      <c r="Z7" s="446" t="s">
        <v>1029</v>
      </c>
      <c r="AA7" s="446" t="s">
        <v>1030</v>
      </c>
      <c r="AB7" s="446" t="s">
        <v>753</v>
      </c>
      <c r="AC7" s="446" t="s">
        <v>1031</v>
      </c>
      <c r="AD7" s="446" t="s">
        <v>1032</v>
      </c>
      <c r="AE7" s="446" t="s">
        <v>1033</v>
      </c>
      <c r="AF7" s="446" t="s">
        <v>1034</v>
      </c>
    </row>
    <row r="8" spans="1:35">
      <c r="A8" s="446" t="s">
        <v>662</v>
      </c>
      <c r="B8" s="447" t="s">
        <v>823</v>
      </c>
      <c r="C8" s="447" t="s">
        <v>824</v>
      </c>
      <c r="D8" s="447" t="s">
        <v>77</v>
      </c>
      <c r="E8" s="447" t="s">
        <v>1372</v>
      </c>
      <c r="F8" s="447" t="s">
        <v>1373</v>
      </c>
      <c r="G8" s="447" t="s">
        <v>2255</v>
      </c>
      <c r="H8" s="447" t="s">
        <v>2256</v>
      </c>
      <c r="I8" s="447" t="s">
        <v>2257</v>
      </c>
      <c r="J8" s="447" t="s">
        <v>2258</v>
      </c>
      <c r="K8" s="447" t="s">
        <v>2259</v>
      </c>
      <c r="L8" s="447" t="s">
        <v>2260</v>
      </c>
      <c r="M8" s="447" t="s">
        <v>2261</v>
      </c>
      <c r="N8" s="447" t="s">
        <v>2262</v>
      </c>
      <c r="O8" s="447" t="s">
        <v>2263</v>
      </c>
      <c r="P8" s="447" t="s">
        <v>2264</v>
      </c>
      <c r="Q8" s="447" t="s">
        <v>2265</v>
      </c>
      <c r="R8" s="447" t="s">
        <v>2266</v>
      </c>
      <c r="S8" s="447" t="s">
        <v>2267</v>
      </c>
      <c r="T8" s="447" t="s">
        <v>2268</v>
      </c>
      <c r="U8" s="447" t="s">
        <v>2269</v>
      </c>
      <c r="V8" s="447" t="s">
        <v>2270</v>
      </c>
      <c r="W8" s="447" t="s">
        <v>2271</v>
      </c>
      <c r="X8" s="447" t="s">
        <v>2272</v>
      </c>
      <c r="Y8" s="447" t="s">
        <v>2273</v>
      </c>
      <c r="Z8" s="447" t="s">
        <v>2274</v>
      </c>
      <c r="AA8" s="447" t="s">
        <v>2275</v>
      </c>
      <c r="AB8" s="447" t="s">
        <v>2276</v>
      </c>
      <c r="AC8" s="447" t="s">
        <v>2277</v>
      </c>
      <c r="AD8" s="447" t="s">
        <v>2278</v>
      </c>
      <c r="AE8" s="447" t="s">
        <v>825</v>
      </c>
      <c r="AF8" s="447" t="s">
        <v>826</v>
      </c>
    </row>
    <row r="9" spans="1:35">
      <c r="A9" s="446">
        <v>1</v>
      </c>
      <c r="B9" s="448" t="s">
        <v>83</v>
      </c>
      <c r="C9" s="448" t="s">
        <v>734</v>
      </c>
      <c r="D9" s="449"/>
      <c r="E9" s="449"/>
      <c r="F9" s="449"/>
      <c r="G9" s="449"/>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row>
    <row r="10" spans="1:35">
      <c r="A10" s="446">
        <v>2</v>
      </c>
      <c r="C10" s="450" t="s">
        <v>827</v>
      </c>
      <c r="D10" s="451" t="s">
        <v>829</v>
      </c>
      <c r="E10" s="452">
        <v>73666.720000000001</v>
      </c>
      <c r="F10" s="452">
        <v>73666.820000000007</v>
      </c>
      <c r="G10" s="452">
        <v>73666.720000000001</v>
      </c>
      <c r="H10" s="452">
        <v>73666.820000000007</v>
      </c>
      <c r="I10" s="452">
        <v>73666.720000000001</v>
      </c>
      <c r="J10" s="452">
        <v>73666.820000000007</v>
      </c>
      <c r="K10" s="452">
        <v>73666.720000000001</v>
      </c>
      <c r="L10" s="452">
        <v>73666.820000000007</v>
      </c>
      <c r="M10" s="452">
        <v>73666.720000000001</v>
      </c>
      <c r="N10" s="452">
        <v>73666.820000000007</v>
      </c>
      <c r="O10" s="452">
        <v>73666.720000000001</v>
      </c>
      <c r="P10" s="452">
        <v>73666.820000000007</v>
      </c>
      <c r="Q10" s="452">
        <v>73666.720000000001</v>
      </c>
      <c r="R10" s="452">
        <v>73666.820000000007</v>
      </c>
      <c r="S10" s="452">
        <v>73666.720000000001</v>
      </c>
      <c r="T10" s="452">
        <v>73666.820000000007</v>
      </c>
      <c r="U10" s="452">
        <v>73666.720000000001</v>
      </c>
      <c r="V10" s="452">
        <v>73666.820000000007</v>
      </c>
      <c r="W10" s="452">
        <v>73666.720000000001</v>
      </c>
      <c r="X10" s="452">
        <v>73666.820000000007</v>
      </c>
      <c r="Y10" s="452">
        <v>73666.720000000001</v>
      </c>
      <c r="Z10" s="452">
        <v>73666.820000000007</v>
      </c>
      <c r="AA10" s="452">
        <v>73666.720000000001</v>
      </c>
      <c r="AB10" s="452">
        <v>73666.820000000007</v>
      </c>
      <c r="AC10" s="452">
        <v>73666.720000000001</v>
      </c>
      <c r="AD10" s="452">
        <v>73666.720000000001</v>
      </c>
      <c r="AE10" s="452">
        <f>+(E10+AC10+(+G10+I10+K10+M10+O10+Q10+S10+U10+W10+Y10+AA10)*2)/24</f>
        <v>73666.719999999987</v>
      </c>
      <c r="AF10" s="452">
        <f>+(F10+AD10+(+H10+J10+L10+N10+P10+R10+T10+V10+X10+Z10+AB10)*2)/24</f>
        <v>73666.815833333356</v>
      </c>
    </row>
    <row r="11" spans="1:35">
      <c r="A11" s="446">
        <v>3</v>
      </c>
      <c r="C11" s="450" t="s">
        <v>828</v>
      </c>
      <c r="D11" s="451" t="s">
        <v>829</v>
      </c>
      <c r="E11" s="452">
        <v>113374.44</v>
      </c>
      <c r="F11" s="452">
        <v>12857.710000000001</v>
      </c>
      <c r="G11" s="452">
        <v>113374.44</v>
      </c>
      <c r="H11" s="452">
        <v>13093.91</v>
      </c>
      <c r="I11" s="452">
        <v>113374.44</v>
      </c>
      <c r="J11" s="452">
        <v>13330.11</v>
      </c>
      <c r="K11" s="452">
        <v>113374.44</v>
      </c>
      <c r="L11" s="452">
        <v>13566.31</v>
      </c>
      <c r="M11" s="452">
        <v>113374.44</v>
      </c>
      <c r="N11" s="452">
        <v>13802.51</v>
      </c>
      <c r="O11" s="452">
        <v>113374.44</v>
      </c>
      <c r="P11" s="452">
        <v>14038.710000000001</v>
      </c>
      <c r="Q11" s="452">
        <v>113374.44</v>
      </c>
      <c r="R11" s="452">
        <v>14274.91</v>
      </c>
      <c r="S11" s="452">
        <v>113374.44</v>
      </c>
      <c r="T11" s="452">
        <v>14511.11</v>
      </c>
      <c r="U11" s="452">
        <v>113374.44</v>
      </c>
      <c r="V11" s="452">
        <v>14747.31</v>
      </c>
      <c r="W11" s="452">
        <v>113374.44</v>
      </c>
      <c r="X11" s="452">
        <v>14983.51</v>
      </c>
      <c r="Y11" s="452">
        <v>113374.44</v>
      </c>
      <c r="Z11" s="452">
        <v>15219.710000000001</v>
      </c>
      <c r="AA11" s="452">
        <v>113374.44</v>
      </c>
      <c r="AB11" s="452">
        <v>15455.91</v>
      </c>
      <c r="AC11" s="452">
        <v>113374.44</v>
      </c>
      <c r="AD11" s="452">
        <v>15692.11</v>
      </c>
      <c r="AE11" s="452">
        <f>+(E11+AC11+(+G11+I11+K11+M11+O11+Q11+S11+U11+W11+Y11+AA11)*2)/24</f>
        <v>113374.43999999996</v>
      </c>
      <c r="AF11" s="452">
        <f t="shared" ref="AF11:AF46" si="0">+(F11+AD11+(+H11+J11+L11+N11+P11+R11+T11+V11+X11+Z11+AB11)*2)/24</f>
        <v>14274.910000000002</v>
      </c>
    </row>
    <row r="12" spans="1:35">
      <c r="A12" s="446">
        <v>4</v>
      </c>
      <c r="C12" s="450" t="s">
        <v>1350</v>
      </c>
      <c r="D12" s="451" t="s">
        <v>829</v>
      </c>
      <c r="E12" s="452">
        <v>1016861.1</v>
      </c>
      <c r="F12" s="452">
        <v>33896.959999999999</v>
      </c>
      <c r="G12" s="452">
        <v>1016861.1</v>
      </c>
      <c r="H12" s="452">
        <v>36015.42</v>
      </c>
      <c r="I12" s="452">
        <v>1016861.1</v>
      </c>
      <c r="J12" s="452">
        <v>38133.879999999997</v>
      </c>
      <c r="K12" s="452">
        <v>1016861.1</v>
      </c>
      <c r="L12" s="452">
        <v>40252.340000000004</v>
      </c>
      <c r="M12" s="452">
        <v>1016861.1</v>
      </c>
      <c r="N12" s="452">
        <v>42370.8</v>
      </c>
      <c r="O12" s="452">
        <v>1016861.1</v>
      </c>
      <c r="P12" s="452">
        <v>44489.26</v>
      </c>
      <c r="Q12" s="452">
        <v>1016861.1</v>
      </c>
      <c r="R12" s="452">
        <v>46607.72</v>
      </c>
      <c r="S12" s="452">
        <v>1016861.1</v>
      </c>
      <c r="T12" s="452">
        <v>48726.18</v>
      </c>
      <c r="U12" s="452">
        <v>1016861.1</v>
      </c>
      <c r="V12" s="452">
        <v>50844.639999999999</v>
      </c>
      <c r="W12" s="452">
        <v>1016861.1</v>
      </c>
      <c r="X12" s="452">
        <v>52963.1</v>
      </c>
      <c r="Y12" s="452">
        <v>1016861.1</v>
      </c>
      <c r="Z12" s="452">
        <v>55081.56</v>
      </c>
      <c r="AA12" s="452">
        <v>1016861.1</v>
      </c>
      <c r="AB12" s="452">
        <v>57200.020000000004</v>
      </c>
      <c r="AC12" s="452">
        <v>1016861.1</v>
      </c>
      <c r="AD12" s="452">
        <v>59318.48</v>
      </c>
      <c r="AE12" s="452">
        <f t="shared" ref="AE12:AE46" si="1">+(E12+AC12+(+G12+I12+K12+M12+O12+Q12+S12+U12+W12+Y12+AA12)*2)/24</f>
        <v>1016861.0999999997</v>
      </c>
      <c r="AF12" s="452">
        <f t="shared" si="0"/>
        <v>46607.72</v>
      </c>
    </row>
    <row r="13" spans="1:35">
      <c r="A13" s="446">
        <v>5</v>
      </c>
      <c r="C13" s="450" t="s">
        <v>1351</v>
      </c>
      <c r="D13" s="451" t="s">
        <v>829</v>
      </c>
      <c r="E13" s="452">
        <v>1817585.2000000002</v>
      </c>
      <c r="F13" s="452">
        <v>45439.68</v>
      </c>
      <c r="G13" s="452">
        <v>1817585.2000000002</v>
      </c>
      <c r="H13" s="452">
        <v>49226.32</v>
      </c>
      <c r="I13" s="452">
        <v>1817585.2000000002</v>
      </c>
      <c r="J13" s="452">
        <v>53012.959999999999</v>
      </c>
      <c r="K13" s="452">
        <v>1817585.2000000002</v>
      </c>
      <c r="L13" s="452">
        <v>56799.6</v>
      </c>
      <c r="M13" s="452">
        <v>1817585.2000000002</v>
      </c>
      <c r="N13" s="452">
        <v>60586.239999999998</v>
      </c>
      <c r="O13" s="452">
        <v>1817585.2000000002</v>
      </c>
      <c r="P13" s="452">
        <v>64372.880000000005</v>
      </c>
      <c r="Q13" s="452">
        <v>1817585.2000000002</v>
      </c>
      <c r="R13" s="452">
        <v>68159.520000000004</v>
      </c>
      <c r="S13" s="452">
        <v>1817585.2000000002</v>
      </c>
      <c r="T13" s="452">
        <v>71946.16</v>
      </c>
      <c r="U13" s="452">
        <v>1817585.2000000002</v>
      </c>
      <c r="V13" s="452">
        <v>75732.800000000003</v>
      </c>
      <c r="W13" s="452">
        <v>1817585.2000000002</v>
      </c>
      <c r="X13" s="452">
        <v>79519.44</v>
      </c>
      <c r="Y13" s="452">
        <v>1817585.2000000002</v>
      </c>
      <c r="Z13" s="452">
        <v>83306.080000000002</v>
      </c>
      <c r="AA13" s="452">
        <v>1817585.2000000002</v>
      </c>
      <c r="AB13" s="452">
        <v>87092.72</v>
      </c>
      <c r="AC13" s="452">
        <v>1817585.2000000002</v>
      </c>
      <c r="AD13" s="452">
        <v>90879.360000000001</v>
      </c>
      <c r="AE13" s="452">
        <f t="shared" si="1"/>
        <v>1817585.1999999995</v>
      </c>
      <c r="AF13" s="452">
        <f t="shared" si="0"/>
        <v>68159.520000000004</v>
      </c>
    </row>
    <row r="14" spans="1:35">
      <c r="A14" s="446">
        <v>6</v>
      </c>
      <c r="C14" s="450" t="s">
        <v>830</v>
      </c>
      <c r="D14" s="451" t="s">
        <v>829</v>
      </c>
      <c r="E14" s="452">
        <v>13130.54</v>
      </c>
      <c r="F14" s="452">
        <v>0</v>
      </c>
      <c r="G14" s="452">
        <v>13130.54</v>
      </c>
      <c r="H14" s="452">
        <v>0</v>
      </c>
      <c r="I14" s="452">
        <v>13130.54</v>
      </c>
      <c r="J14" s="452">
        <v>0</v>
      </c>
      <c r="K14" s="452">
        <v>13130.54</v>
      </c>
      <c r="L14" s="452">
        <v>0</v>
      </c>
      <c r="M14" s="452">
        <v>13130.54</v>
      </c>
      <c r="N14" s="452">
        <v>0</v>
      </c>
      <c r="O14" s="452">
        <v>13130.54</v>
      </c>
      <c r="P14" s="452">
        <v>0</v>
      </c>
      <c r="Q14" s="452">
        <v>13130.54</v>
      </c>
      <c r="R14" s="452">
        <v>0</v>
      </c>
      <c r="S14" s="452">
        <v>13130.54</v>
      </c>
      <c r="T14" s="452">
        <v>0</v>
      </c>
      <c r="U14" s="452">
        <v>13130.54</v>
      </c>
      <c r="V14" s="452">
        <v>0</v>
      </c>
      <c r="W14" s="452">
        <v>13130.54</v>
      </c>
      <c r="X14" s="452">
        <v>0</v>
      </c>
      <c r="Y14" s="452">
        <v>13130.54</v>
      </c>
      <c r="Z14" s="452">
        <v>0</v>
      </c>
      <c r="AA14" s="452">
        <v>13130.54</v>
      </c>
      <c r="AB14" s="452">
        <v>0</v>
      </c>
      <c r="AC14" s="452">
        <v>13130.54</v>
      </c>
      <c r="AD14" s="452">
        <v>0</v>
      </c>
      <c r="AE14" s="452">
        <f t="shared" si="1"/>
        <v>13130.540000000006</v>
      </c>
      <c r="AF14" s="452">
        <f t="shared" si="0"/>
        <v>0</v>
      </c>
    </row>
    <row r="15" spans="1:35">
      <c r="A15" s="446">
        <v>7</v>
      </c>
      <c r="C15" s="450" t="s">
        <v>831</v>
      </c>
      <c r="D15" s="451" t="s">
        <v>829</v>
      </c>
      <c r="E15" s="452">
        <v>7692.66</v>
      </c>
      <c r="F15" s="452">
        <v>6570.3600000000006</v>
      </c>
      <c r="G15" s="452">
        <v>7692.66</v>
      </c>
      <c r="H15" s="452">
        <v>6580.49</v>
      </c>
      <c r="I15" s="452">
        <v>7692.66</v>
      </c>
      <c r="J15" s="452">
        <v>6590.62</v>
      </c>
      <c r="K15" s="452">
        <v>7692.66</v>
      </c>
      <c r="L15" s="452">
        <v>6600.75</v>
      </c>
      <c r="M15" s="452">
        <v>7692.66</v>
      </c>
      <c r="N15" s="452">
        <v>6610.88</v>
      </c>
      <c r="O15" s="452">
        <v>7692.66</v>
      </c>
      <c r="P15" s="452">
        <v>6621.01</v>
      </c>
      <c r="Q15" s="452">
        <v>7692.66</v>
      </c>
      <c r="R15" s="452">
        <v>6631.14</v>
      </c>
      <c r="S15" s="452">
        <v>7692.66</v>
      </c>
      <c r="T15" s="452">
        <v>6641.27</v>
      </c>
      <c r="U15" s="452">
        <v>7692.66</v>
      </c>
      <c r="V15" s="452">
        <v>6651.4000000000005</v>
      </c>
      <c r="W15" s="452">
        <v>7692.66</v>
      </c>
      <c r="X15" s="452">
        <v>6661.53</v>
      </c>
      <c r="Y15" s="452">
        <v>7692.66</v>
      </c>
      <c r="Z15" s="452">
        <v>6671.66</v>
      </c>
      <c r="AA15" s="452">
        <v>7692.66</v>
      </c>
      <c r="AB15" s="452">
        <v>6681.79</v>
      </c>
      <c r="AC15" s="452">
        <v>7692.66</v>
      </c>
      <c r="AD15" s="452">
        <v>6691.92</v>
      </c>
      <c r="AE15" s="452">
        <f t="shared" si="1"/>
        <v>7692.6600000000026</v>
      </c>
      <c r="AF15" s="452">
        <f t="shared" si="0"/>
        <v>6631.1399999999994</v>
      </c>
    </row>
    <row r="16" spans="1:35">
      <c r="A16" s="446">
        <v>8</v>
      </c>
      <c r="C16" s="450" t="s">
        <v>832</v>
      </c>
      <c r="D16" s="451" t="s">
        <v>829</v>
      </c>
      <c r="E16" s="452">
        <v>6203474.7999999998</v>
      </c>
      <c r="F16" s="452">
        <v>3617351.33</v>
      </c>
      <c r="G16" s="452">
        <v>6203474.7999999998</v>
      </c>
      <c r="H16" s="452">
        <v>3626759.93</v>
      </c>
      <c r="I16" s="452">
        <v>6203474.7999999998</v>
      </c>
      <c r="J16" s="452">
        <v>3636168.5300000003</v>
      </c>
      <c r="K16" s="452">
        <v>6203474.7999999998</v>
      </c>
      <c r="L16" s="452">
        <v>3645577.13</v>
      </c>
      <c r="M16" s="452">
        <v>6203474.7999999998</v>
      </c>
      <c r="N16" s="452">
        <v>3654985.73</v>
      </c>
      <c r="O16" s="452">
        <v>6203474.7999999998</v>
      </c>
      <c r="P16" s="452">
        <v>3664394.33</v>
      </c>
      <c r="Q16" s="452">
        <v>6203474.7999999998</v>
      </c>
      <c r="R16" s="452">
        <v>3673802.93</v>
      </c>
      <c r="S16" s="452">
        <v>6203474.7999999998</v>
      </c>
      <c r="T16" s="452">
        <v>3683211.5300000003</v>
      </c>
      <c r="U16" s="452">
        <v>6203474.7999999998</v>
      </c>
      <c r="V16" s="452">
        <v>3692620.13</v>
      </c>
      <c r="W16" s="452">
        <v>6203474.7999999998</v>
      </c>
      <c r="X16" s="452">
        <v>3702028.73</v>
      </c>
      <c r="Y16" s="452">
        <v>6203474.7999999998</v>
      </c>
      <c r="Z16" s="452">
        <v>3711437.33</v>
      </c>
      <c r="AA16" s="452">
        <v>6203474.7999999998</v>
      </c>
      <c r="AB16" s="452">
        <v>3720845.93</v>
      </c>
      <c r="AC16" s="452">
        <v>6203474.7999999998</v>
      </c>
      <c r="AD16" s="452">
        <v>3730254.5300000003</v>
      </c>
      <c r="AE16" s="452">
        <f t="shared" si="1"/>
        <v>6203474.799999998</v>
      </c>
      <c r="AF16" s="452">
        <f t="shared" si="0"/>
        <v>3673802.9299999997</v>
      </c>
    </row>
    <row r="17" spans="1:32">
      <c r="A17" s="446">
        <v>9</v>
      </c>
      <c r="C17" s="450" t="s">
        <v>833</v>
      </c>
      <c r="D17" s="451" t="s">
        <v>829</v>
      </c>
      <c r="E17" s="452">
        <v>36161.700000000004</v>
      </c>
      <c r="F17" s="452">
        <v>-4119.8</v>
      </c>
      <c r="G17" s="452">
        <v>36161.700000000004</v>
      </c>
      <c r="H17" s="452">
        <v>-4107.45</v>
      </c>
      <c r="I17" s="452">
        <v>36161.700000000004</v>
      </c>
      <c r="J17" s="452">
        <v>-4095.1</v>
      </c>
      <c r="K17" s="452">
        <v>36161.700000000004</v>
      </c>
      <c r="L17" s="452">
        <v>-4082.75</v>
      </c>
      <c r="M17" s="452">
        <v>36161.700000000004</v>
      </c>
      <c r="N17" s="452">
        <v>-4070.4</v>
      </c>
      <c r="O17" s="452">
        <v>36161.700000000004</v>
      </c>
      <c r="P17" s="452">
        <v>-4058.05</v>
      </c>
      <c r="Q17" s="452">
        <v>36161.700000000004</v>
      </c>
      <c r="R17" s="452">
        <v>-4045.7000000000003</v>
      </c>
      <c r="S17" s="452">
        <v>36161.700000000004</v>
      </c>
      <c r="T17" s="452">
        <v>-4033.35</v>
      </c>
      <c r="U17" s="452">
        <v>36161.700000000004</v>
      </c>
      <c r="V17" s="452">
        <v>-4021</v>
      </c>
      <c r="W17" s="452">
        <v>36161.700000000004</v>
      </c>
      <c r="X17" s="452">
        <v>-4008.65</v>
      </c>
      <c r="Y17" s="452">
        <v>36161.700000000004</v>
      </c>
      <c r="Z17" s="452">
        <v>-3996.3</v>
      </c>
      <c r="AA17" s="452">
        <v>36161.700000000004</v>
      </c>
      <c r="AB17" s="452">
        <v>-3983.9500000000003</v>
      </c>
      <c r="AC17" s="452">
        <v>36161.700000000004</v>
      </c>
      <c r="AD17" s="452">
        <v>-3971.6</v>
      </c>
      <c r="AE17" s="452">
        <f t="shared" si="1"/>
        <v>36161.700000000004</v>
      </c>
      <c r="AF17" s="452">
        <f t="shared" si="0"/>
        <v>-4045.6999999999994</v>
      </c>
    </row>
    <row r="18" spans="1:32">
      <c r="A18" s="446">
        <v>10</v>
      </c>
      <c r="C18" s="450" t="s">
        <v>834</v>
      </c>
      <c r="D18" s="451" t="s">
        <v>829</v>
      </c>
      <c r="E18" s="452">
        <v>235020</v>
      </c>
      <c r="F18" s="452">
        <v>6734.6100000000006</v>
      </c>
      <c r="G18" s="452">
        <v>235020</v>
      </c>
      <c r="H18" s="452">
        <v>7102.81</v>
      </c>
      <c r="I18" s="452">
        <v>235020</v>
      </c>
      <c r="J18" s="452">
        <v>7471.01</v>
      </c>
      <c r="K18" s="452">
        <v>235020</v>
      </c>
      <c r="L18" s="452">
        <v>7839.21</v>
      </c>
      <c r="M18" s="452">
        <v>235020</v>
      </c>
      <c r="N18" s="452">
        <v>8207.41</v>
      </c>
      <c r="O18" s="452">
        <v>235020</v>
      </c>
      <c r="P18" s="452">
        <v>8575.61</v>
      </c>
      <c r="Q18" s="452">
        <v>235020</v>
      </c>
      <c r="R18" s="452">
        <v>8943.81</v>
      </c>
      <c r="S18" s="452">
        <v>235020</v>
      </c>
      <c r="T18" s="452">
        <v>9312.01</v>
      </c>
      <c r="U18" s="452">
        <v>235020</v>
      </c>
      <c r="V18" s="452">
        <v>9680.2100000000009</v>
      </c>
      <c r="W18" s="452">
        <v>235020</v>
      </c>
      <c r="X18" s="452">
        <v>10048.41</v>
      </c>
      <c r="Y18" s="452">
        <v>235020</v>
      </c>
      <c r="Z18" s="452">
        <v>10416.61</v>
      </c>
      <c r="AA18" s="452">
        <v>235020</v>
      </c>
      <c r="AB18" s="452">
        <v>10784.81</v>
      </c>
      <c r="AC18" s="452">
        <v>235020</v>
      </c>
      <c r="AD18" s="452">
        <v>11153.01</v>
      </c>
      <c r="AE18" s="452">
        <f t="shared" si="1"/>
        <v>235020</v>
      </c>
      <c r="AF18" s="452">
        <f t="shared" si="0"/>
        <v>8943.81</v>
      </c>
    </row>
    <row r="19" spans="1:32">
      <c r="A19" s="446">
        <v>11</v>
      </c>
      <c r="C19" s="450" t="s">
        <v>835</v>
      </c>
      <c r="D19" s="451" t="s">
        <v>829</v>
      </c>
      <c r="E19" s="452">
        <v>142929.49</v>
      </c>
      <c r="F19" s="452">
        <v>0</v>
      </c>
      <c r="G19" s="452">
        <v>142929.49</v>
      </c>
      <c r="H19" s="452">
        <v>0</v>
      </c>
      <c r="I19" s="452">
        <v>142929.49</v>
      </c>
      <c r="J19" s="452">
        <v>0</v>
      </c>
      <c r="K19" s="452">
        <v>142929.49</v>
      </c>
      <c r="L19" s="452">
        <v>0</v>
      </c>
      <c r="M19" s="452">
        <v>142929.49</v>
      </c>
      <c r="N19" s="452">
        <v>0</v>
      </c>
      <c r="O19" s="452">
        <v>142929.49</v>
      </c>
      <c r="P19" s="452">
        <v>0</v>
      </c>
      <c r="Q19" s="452">
        <v>142929.49</v>
      </c>
      <c r="R19" s="452">
        <v>0</v>
      </c>
      <c r="S19" s="452">
        <v>142929.49</v>
      </c>
      <c r="T19" s="452">
        <v>0</v>
      </c>
      <c r="U19" s="452">
        <v>142929.49</v>
      </c>
      <c r="V19" s="452">
        <v>0</v>
      </c>
      <c r="W19" s="452">
        <v>142929.49</v>
      </c>
      <c r="X19" s="452">
        <v>0</v>
      </c>
      <c r="Y19" s="452">
        <v>141860.15</v>
      </c>
      <c r="Z19" s="452">
        <v>0</v>
      </c>
      <c r="AA19" s="452">
        <v>141860.15</v>
      </c>
      <c r="AB19" s="452">
        <v>0</v>
      </c>
      <c r="AC19" s="452">
        <v>141860.15</v>
      </c>
      <c r="AD19" s="452">
        <v>0</v>
      </c>
      <c r="AE19" s="452">
        <f t="shared" si="1"/>
        <v>142706.71083333332</v>
      </c>
      <c r="AF19" s="452">
        <f t="shared" si="0"/>
        <v>0</v>
      </c>
    </row>
    <row r="20" spans="1:32">
      <c r="A20" s="446">
        <v>12</v>
      </c>
      <c r="C20" s="450" t="s">
        <v>836</v>
      </c>
      <c r="D20" s="451" t="s">
        <v>829</v>
      </c>
      <c r="E20" s="452">
        <v>0</v>
      </c>
      <c r="F20" s="452">
        <v>-655.47</v>
      </c>
      <c r="G20" s="452">
        <v>0</v>
      </c>
      <c r="H20" s="452">
        <v>-655.47</v>
      </c>
      <c r="I20" s="452">
        <v>0</v>
      </c>
      <c r="J20" s="452">
        <v>-655.47</v>
      </c>
      <c r="K20" s="452">
        <v>0</v>
      </c>
      <c r="L20" s="452">
        <v>-655.47</v>
      </c>
      <c r="M20" s="452">
        <v>0</v>
      </c>
      <c r="N20" s="452">
        <v>-655.47</v>
      </c>
      <c r="O20" s="452">
        <v>0</v>
      </c>
      <c r="P20" s="452">
        <v>-655.47</v>
      </c>
      <c r="Q20" s="452">
        <v>0</v>
      </c>
      <c r="R20" s="452">
        <v>-655.47</v>
      </c>
      <c r="S20" s="452">
        <v>0</v>
      </c>
      <c r="T20" s="452">
        <v>-655.47</v>
      </c>
      <c r="U20" s="452">
        <v>0</v>
      </c>
      <c r="V20" s="452">
        <v>-655.47</v>
      </c>
      <c r="W20" s="452">
        <v>0</v>
      </c>
      <c r="X20" s="452">
        <v>-655.47</v>
      </c>
      <c r="Y20" s="452">
        <v>0</v>
      </c>
      <c r="Z20" s="452">
        <v>-655.47</v>
      </c>
      <c r="AA20" s="452">
        <v>0</v>
      </c>
      <c r="AB20" s="452">
        <v>-655.47</v>
      </c>
      <c r="AC20" s="452">
        <v>0</v>
      </c>
      <c r="AD20" s="452">
        <v>0</v>
      </c>
      <c r="AE20" s="452">
        <f t="shared" si="1"/>
        <v>0</v>
      </c>
      <c r="AF20" s="452">
        <f t="shared" si="0"/>
        <v>-628.15875000000017</v>
      </c>
    </row>
    <row r="21" spans="1:32">
      <c r="A21" s="446">
        <v>13</v>
      </c>
      <c r="C21" s="450" t="s">
        <v>837</v>
      </c>
      <c r="D21" s="451" t="s">
        <v>829</v>
      </c>
      <c r="E21" s="452">
        <v>363784.97000000003</v>
      </c>
      <c r="F21" s="452">
        <v>259721.56</v>
      </c>
      <c r="G21" s="452">
        <v>363784.97000000003</v>
      </c>
      <c r="H21" s="452">
        <v>260091.41</v>
      </c>
      <c r="I21" s="452">
        <v>363784.97000000003</v>
      </c>
      <c r="J21" s="452">
        <v>260461.26</v>
      </c>
      <c r="K21" s="452">
        <v>363784.97000000003</v>
      </c>
      <c r="L21" s="452">
        <v>260831.11000000002</v>
      </c>
      <c r="M21" s="452">
        <v>363784.97000000003</v>
      </c>
      <c r="N21" s="452">
        <v>261200.96</v>
      </c>
      <c r="O21" s="452">
        <v>363784.97000000003</v>
      </c>
      <c r="P21" s="452">
        <v>261570.81</v>
      </c>
      <c r="Q21" s="452">
        <v>363784.97000000003</v>
      </c>
      <c r="R21" s="452">
        <v>261940.66</v>
      </c>
      <c r="S21" s="452">
        <v>363784.97000000003</v>
      </c>
      <c r="T21" s="452">
        <v>262310.51</v>
      </c>
      <c r="U21" s="452">
        <v>363784.97000000003</v>
      </c>
      <c r="V21" s="452">
        <v>262680.36</v>
      </c>
      <c r="W21" s="452">
        <v>363784.97000000003</v>
      </c>
      <c r="X21" s="452">
        <v>263050.21000000002</v>
      </c>
      <c r="Y21" s="452">
        <v>363784.97000000003</v>
      </c>
      <c r="Z21" s="452">
        <v>263420.06</v>
      </c>
      <c r="AA21" s="452">
        <v>363784.97000000003</v>
      </c>
      <c r="AB21" s="452">
        <v>263789.91000000003</v>
      </c>
      <c r="AC21" s="452">
        <v>363784.97000000003</v>
      </c>
      <c r="AD21" s="452">
        <v>263504.28999999998</v>
      </c>
      <c r="AE21" s="452">
        <f t="shared" si="1"/>
        <v>363784.97000000015</v>
      </c>
      <c r="AF21" s="452">
        <f t="shared" si="0"/>
        <v>261913.34875</v>
      </c>
    </row>
    <row r="22" spans="1:32">
      <c r="A22" s="446">
        <v>14</v>
      </c>
      <c r="C22" s="450" t="s">
        <v>838</v>
      </c>
      <c r="D22" s="451" t="s">
        <v>829</v>
      </c>
      <c r="E22" s="452">
        <v>17457159.5</v>
      </c>
      <c r="F22" s="452">
        <v>5304514.93</v>
      </c>
      <c r="G22" s="452">
        <v>17470148.219999999</v>
      </c>
      <c r="H22" s="452">
        <v>5321077.45</v>
      </c>
      <c r="I22" s="452">
        <v>18880117.309999999</v>
      </c>
      <c r="J22" s="452">
        <v>5339272.26</v>
      </c>
      <c r="K22" s="452">
        <v>18983556.84</v>
      </c>
      <c r="L22" s="452">
        <v>5358939.05</v>
      </c>
      <c r="M22" s="452">
        <v>19288268.719999999</v>
      </c>
      <c r="N22" s="452">
        <v>5378713.5899999999</v>
      </c>
      <c r="O22" s="452">
        <v>19320226.48</v>
      </c>
      <c r="P22" s="452">
        <v>5357731.29</v>
      </c>
      <c r="Q22" s="452">
        <v>21238002.859999999</v>
      </c>
      <c r="R22" s="452">
        <v>5377856.5300000003</v>
      </c>
      <c r="S22" s="452">
        <v>21210910.850000001</v>
      </c>
      <c r="T22" s="452">
        <v>5392398.8799999999</v>
      </c>
      <c r="U22" s="452">
        <v>21217398.07</v>
      </c>
      <c r="V22" s="452">
        <v>5400461.4400000004</v>
      </c>
      <c r="W22" s="452">
        <v>21204115.09</v>
      </c>
      <c r="X22" s="452">
        <v>5385735.6399999997</v>
      </c>
      <c r="Y22" s="452">
        <v>21639150.960000001</v>
      </c>
      <c r="Z22" s="452">
        <v>5407823.2599999998</v>
      </c>
      <c r="AA22" s="452">
        <v>21692115.09</v>
      </c>
      <c r="AB22" s="452">
        <v>5421833.0999999996</v>
      </c>
      <c r="AC22" s="452">
        <v>21829158.440000001</v>
      </c>
      <c r="AD22" s="452">
        <v>5443378.3200000003</v>
      </c>
      <c r="AE22" s="452">
        <f t="shared" si="1"/>
        <v>20148930.788333334</v>
      </c>
      <c r="AF22" s="452">
        <f t="shared" si="0"/>
        <v>5376315.7595833335</v>
      </c>
    </row>
    <row r="23" spans="1:32">
      <c r="A23" s="446">
        <v>15</v>
      </c>
      <c r="C23" s="450" t="s">
        <v>839</v>
      </c>
      <c r="D23" s="451" t="s">
        <v>829</v>
      </c>
      <c r="E23" s="452">
        <v>45568637.829999998</v>
      </c>
      <c r="F23" s="452">
        <v>13807411.17</v>
      </c>
      <c r="G23" s="452">
        <v>45695294.729999997</v>
      </c>
      <c r="H23" s="452">
        <v>13962943.1</v>
      </c>
      <c r="I23" s="452">
        <v>45789592.32</v>
      </c>
      <c r="J23" s="452">
        <v>14120144.15</v>
      </c>
      <c r="K23" s="452">
        <v>46506902.200000003</v>
      </c>
      <c r="L23" s="452">
        <v>14275652.9</v>
      </c>
      <c r="M23" s="452">
        <v>46630250.539999999</v>
      </c>
      <c r="N23" s="452">
        <v>14435260.029999999</v>
      </c>
      <c r="O23" s="452">
        <v>46885998.5</v>
      </c>
      <c r="P23" s="452">
        <v>14590852.130000001</v>
      </c>
      <c r="Q23" s="452">
        <v>47151495.109999999</v>
      </c>
      <c r="R23" s="452">
        <v>14751319.699999999</v>
      </c>
      <c r="S23" s="452">
        <v>47313875.799999997</v>
      </c>
      <c r="T23" s="452">
        <v>14913179.93</v>
      </c>
      <c r="U23" s="452">
        <v>47658949.960000001</v>
      </c>
      <c r="V23" s="452">
        <v>15076018.52</v>
      </c>
      <c r="W23" s="452">
        <v>47763502.090000004</v>
      </c>
      <c r="X23" s="452">
        <v>15240044.74</v>
      </c>
      <c r="Y23" s="452">
        <v>49069094.310000002</v>
      </c>
      <c r="Z23" s="452">
        <v>15404430.789999999</v>
      </c>
      <c r="AA23" s="452">
        <v>49142622.759999998</v>
      </c>
      <c r="AB23" s="452">
        <v>15573310.26</v>
      </c>
      <c r="AC23" s="452">
        <v>49535595.829999998</v>
      </c>
      <c r="AD23" s="452">
        <v>15741269.390000001</v>
      </c>
      <c r="AE23" s="452">
        <f t="shared" si="1"/>
        <v>47263307.929166667</v>
      </c>
      <c r="AF23" s="452">
        <f t="shared" si="0"/>
        <v>14759791.377499998</v>
      </c>
    </row>
    <row r="24" spans="1:32">
      <c r="A24" s="446">
        <v>16</v>
      </c>
      <c r="C24" s="450" t="s">
        <v>840</v>
      </c>
      <c r="D24" s="451" t="s">
        <v>829</v>
      </c>
      <c r="E24" s="452">
        <v>38654414.200000003</v>
      </c>
      <c r="F24" s="452">
        <v>24188794.98</v>
      </c>
      <c r="G24" s="452">
        <v>39227252.979999997</v>
      </c>
      <c r="H24" s="452">
        <v>24254648.25</v>
      </c>
      <c r="I24" s="452">
        <v>39267720.729999997</v>
      </c>
      <c r="J24" s="452">
        <v>24319597</v>
      </c>
      <c r="K24" s="452">
        <v>39323931.909999996</v>
      </c>
      <c r="L24" s="452">
        <v>24387958.300000001</v>
      </c>
      <c r="M24" s="452">
        <v>39325525.289999999</v>
      </c>
      <c r="N24" s="452">
        <v>24459950.809999999</v>
      </c>
      <c r="O24" s="452">
        <v>39692175.439999998</v>
      </c>
      <c r="P24" s="452">
        <v>24528559.890000001</v>
      </c>
      <c r="Q24" s="452">
        <v>39798838.420000002</v>
      </c>
      <c r="R24" s="452">
        <v>24601328.879999999</v>
      </c>
      <c r="S24" s="452">
        <v>39920861.149999999</v>
      </c>
      <c r="T24" s="452">
        <v>24674033.120000001</v>
      </c>
      <c r="U24" s="452">
        <v>39982370.979999997</v>
      </c>
      <c r="V24" s="452">
        <v>24710556.190000001</v>
      </c>
      <c r="W24" s="452">
        <v>40002481.490000002</v>
      </c>
      <c r="X24" s="452">
        <v>24783857.199999999</v>
      </c>
      <c r="Y24" s="452">
        <v>40425636.719999999</v>
      </c>
      <c r="Z24" s="452">
        <v>24851610.649999999</v>
      </c>
      <c r="AA24" s="452">
        <v>40421612.530000001</v>
      </c>
      <c r="AB24" s="452">
        <v>24925597.350000001</v>
      </c>
      <c r="AC24" s="452">
        <v>40643375.299999997</v>
      </c>
      <c r="AD24" s="452">
        <v>24982388.82</v>
      </c>
      <c r="AE24" s="452">
        <f t="shared" si="1"/>
        <v>39753108.532499999</v>
      </c>
      <c r="AF24" s="452">
        <f t="shared" si="0"/>
        <v>24590274.12833333</v>
      </c>
    </row>
    <row r="25" spans="1:32">
      <c r="A25" s="446">
        <v>17</v>
      </c>
      <c r="C25" s="450" t="s">
        <v>841</v>
      </c>
      <c r="D25" s="451" t="s">
        <v>829</v>
      </c>
      <c r="E25" s="452">
        <v>10605833.859999999</v>
      </c>
      <c r="F25" s="452">
        <v>3322284.12</v>
      </c>
      <c r="G25" s="452">
        <v>10611033.15</v>
      </c>
      <c r="H25" s="452">
        <v>3339253.46</v>
      </c>
      <c r="I25" s="452">
        <v>10612003.83</v>
      </c>
      <c r="J25" s="452">
        <v>3356231.12</v>
      </c>
      <c r="K25" s="452">
        <v>10701743.49</v>
      </c>
      <c r="L25" s="452">
        <v>3373210.32</v>
      </c>
      <c r="M25" s="452">
        <v>10727056.119999999</v>
      </c>
      <c r="N25" s="452">
        <v>3390333.11</v>
      </c>
      <c r="O25" s="452">
        <v>10834779.59</v>
      </c>
      <c r="P25" s="452">
        <v>3373235.37</v>
      </c>
      <c r="Q25" s="452">
        <v>10864742.210000001</v>
      </c>
      <c r="R25" s="452">
        <v>3390571.01</v>
      </c>
      <c r="S25" s="452">
        <v>10865881.460000001</v>
      </c>
      <c r="T25" s="452">
        <v>3407954.6</v>
      </c>
      <c r="U25" s="452">
        <v>10868404.310000001</v>
      </c>
      <c r="V25" s="452">
        <v>3425340.01</v>
      </c>
      <c r="W25" s="452">
        <v>10902308.039999999</v>
      </c>
      <c r="X25" s="452">
        <v>3395330.2</v>
      </c>
      <c r="Y25" s="452">
        <v>11004653.49</v>
      </c>
      <c r="Z25" s="452">
        <v>3412773.9</v>
      </c>
      <c r="AA25" s="452">
        <v>11034970.210000001</v>
      </c>
      <c r="AB25" s="452">
        <v>3430381.35</v>
      </c>
      <c r="AC25" s="452">
        <v>11123787.66</v>
      </c>
      <c r="AD25" s="452">
        <v>3441715.64</v>
      </c>
      <c r="AE25" s="452">
        <f t="shared" si="1"/>
        <v>10824365.554999998</v>
      </c>
      <c r="AF25" s="452">
        <f t="shared" si="0"/>
        <v>3389717.8608333338</v>
      </c>
    </row>
    <row r="26" spans="1:32">
      <c r="A26" s="446">
        <v>18</v>
      </c>
      <c r="C26" s="450" t="s">
        <v>842</v>
      </c>
      <c r="D26" s="451" t="s">
        <v>829</v>
      </c>
      <c r="E26" s="452">
        <v>43368051.479999997</v>
      </c>
      <c r="F26" s="452">
        <v>15985848.4</v>
      </c>
      <c r="G26" s="452">
        <v>43642773.369999997</v>
      </c>
      <c r="H26" s="452">
        <v>16121384.460000001</v>
      </c>
      <c r="I26" s="452">
        <v>43821322.840000004</v>
      </c>
      <c r="J26" s="452">
        <v>16258278.9</v>
      </c>
      <c r="K26" s="452">
        <v>43959282.869999997</v>
      </c>
      <c r="L26" s="452">
        <v>16395604.93</v>
      </c>
      <c r="M26" s="452">
        <v>44409052.390000001</v>
      </c>
      <c r="N26" s="452">
        <v>16537214.27</v>
      </c>
      <c r="O26" s="452">
        <v>44816983.840000004</v>
      </c>
      <c r="P26" s="452">
        <v>16678859.439999999</v>
      </c>
      <c r="Q26" s="452">
        <v>45173782.859999999</v>
      </c>
      <c r="R26" s="452">
        <v>16823767.690000001</v>
      </c>
      <c r="S26" s="452">
        <v>45605928.149999999</v>
      </c>
      <c r="T26" s="452">
        <v>16969030.879999999</v>
      </c>
      <c r="U26" s="452">
        <v>45821018.869999997</v>
      </c>
      <c r="V26" s="452">
        <v>17116490.050000001</v>
      </c>
      <c r="W26" s="452">
        <v>46175684.920000002</v>
      </c>
      <c r="X26" s="452">
        <v>17264644.670000002</v>
      </c>
      <c r="Y26" s="452">
        <v>46880968.020000003</v>
      </c>
      <c r="Z26" s="452">
        <v>17413105.93</v>
      </c>
      <c r="AA26" s="452">
        <v>47422160.060000002</v>
      </c>
      <c r="AB26" s="452">
        <v>17548901.039999999</v>
      </c>
      <c r="AC26" s="452">
        <v>47881219.5</v>
      </c>
      <c r="AD26" s="452">
        <v>17690092.91</v>
      </c>
      <c r="AE26" s="452">
        <f t="shared" si="1"/>
        <v>45279466.139999993</v>
      </c>
      <c r="AF26" s="452">
        <f t="shared" si="0"/>
        <v>16830437.742916666</v>
      </c>
    </row>
    <row r="27" spans="1:32">
      <c r="A27" s="446">
        <v>19</v>
      </c>
      <c r="C27" s="450" t="s">
        <v>843</v>
      </c>
      <c r="D27" s="451" t="s">
        <v>829</v>
      </c>
      <c r="E27" s="452">
        <v>12916898.949999999</v>
      </c>
      <c r="F27" s="452">
        <v>19573186.780000001</v>
      </c>
      <c r="G27" s="452">
        <v>12906614.18</v>
      </c>
      <c r="H27" s="452">
        <v>19567476.260000002</v>
      </c>
      <c r="I27" s="452">
        <v>12905666.01</v>
      </c>
      <c r="J27" s="452">
        <v>19572503.57</v>
      </c>
      <c r="K27" s="452">
        <v>12898264.699999999</v>
      </c>
      <c r="L27" s="452">
        <v>19591045.690000001</v>
      </c>
      <c r="M27" s="452">
        <v>12898567.27</v>
      </c>
      <c r="N27" s="452">
        <v>19624082.780000001</v>
      </c>
      <c r="O27" s="452">
        <v>12898438.939999999</v>
      </c>
      <c r="P27" s="452">
        <v>19641071.539999999</v>
      </c>
      <c r="Q27" s="452">
        <v>12898454.189999999</v>
      </c>
      <c r="R27" s="452">
        <v>19652965.050000001</v>
      </c>
      <c r="S27" s="452">
        <v>12901082.91</v>
      </c>
      <c r="T27" s="452">
        <v>19683003.539999999</v>
      </c>
      <c r="U27" s="452">
        <v>12901082.91</v>
      </c>
      <c r="V27" s="452">
        <v>19718804.039999999</v>
      </c>
      <c r="W27" s="452">
        <v>12901091.609999999</v>
      </c>
      <c r="X27" s="452">
        <v>19754604.539999999</v>
      </c>
      <c r="Y27" s="452">
        <v>12900367.16</v>
      </c>
      <c r="Z27" s="452">
        <v>19789680.620000001</v>
      </c>
      <c r="AA27" s="452">
        <v>12894722.27</v>
      </c>
      <c r="AB27" s="452">
        <v>19761323.850000001</v>
      </c>
      <c r="AC27" s="452">
        <v>12890838.57</v>
      </c>
      <c r="AD27" s="452">
        <v>19737147.850000001</v>
      </c>
      <c r="AE27" s="452">
        <f t="shared" si="1"/>
        <v>12900685.07583333</v>
      </c>
      <c r="AF27" s="452">
        <f t="shared" si="0"/>
        <v>19667644.06625</v>
      </c>
    </row>
    <row r="28" spans="1:32">
      <c r="A28" s="446">
        <v>20</v>
      </c>
      <c r="C28" s="450" t="s">
        <v>844</v>
      </c>
      <c r="D28" s="451" t="s">
        <v>829</v>
      </c>
      <c r="E28" s="452">
        <v>9659588.1699999999</v>
      </c>
      <c r="F28" s="452">
        <v>3808055.25</v>
      </c>
      <c r="G28" s="452">
        <v>9662626.8800000008</v>
      </c>
      <c r="H28" s="452">
        <v>3819587.83</v>
      </c>
      <c r="I28" s="452">
        <v>9672077.2300000004</v>
      </c>
      <c r="J28" s="452">
        <v>3834461.65</v>
      </c>
      <c r="K28" s="452">
        <v>9677436.7300000004</v>
      </c>
      <c r="L28" s="452">
        <v>3848361.38</v>
      </c>
      <c r="M28" s="452">
        <v>9682944.8800000008</v>
      </c>
      <c r="N28" s="452">
        <v>3863315.95</v>
      </c>
      <c r="O28" s="452">
        <v>9692258.4199999999</v>
      </c>
      <c r="P28" s="452">
        <v>3878294.5300000003</v>
      </c>
      <c r="Q28" s="452">
        <v>9697904.4199999999</v>
      </c>
      <c r="R28" s="452">
        <v>3893317.5300000003</v>
      </c>
      <c r="S28" s="452">
        <v>9701743.0999999996</v>
      </c>
      <c r="T28" s="452">
        <v>3908254.89</v>
      </c>
      <c r="U28" s="452">
        <v>9693953.3300000001</v>
      </c>
      <c r="V28" s="452">
        <v>3914023.5</v>
      </c>
      <c r="W28" s="452">
        <v>9697782.7699999996</v>
      </c>
      <c r="X28" s="452">
        <v>3929049.13</v>
      </c>
      <c r="Y28" s="452">
        <v>9708494.0099999998</v>
      </c>
      <c r="Z28" s="452">
        <v>3944080.7</v>
      </c>
      <c r="AA28" s="452">
        <v>9712786.4100000001</v>
      </c>
      <c r="AB28" s="452">
        <v>3957187.36</v>
      </c>
      <c r="AC28" s="452">
        <v>9717462.2300000004</v>
      </c>
      <c r="AD28" s="452">
        <v>3971953.69</v>
      </c>
      <c r="AE28" s="452">
        <f t="shared" si="1"/>
        <v>9690711.1150000002</v>
      </c>
      <c r="AF28" s="452">
        <f t="shared" si="0"/>
        <v>3889994.91</v>
      </c>
    </row>
    <row r="29" spans="1:32">
      <c r="A29" s="446">
        <v>21</v>
      </c>
      <c r="C29" s="450" t="s">
        <v>845</v>
      </c>
      <c r="D29" s="451" t="s">
        <v>829</v>
      </c>
      <c r="E29" s="452">
        <v>2199897.91</v>
      </c>
      <c r="F29" s="452">
        <v>795547.13</v>
      </c>
      <c r="G29" s="452">
        <v>2190958.23</v>
      </c>
      <c r="H29" s="452">
        <v>787233.38</v>
      </c>
      <c r="I29" s="452">
        <v>2195167.7599999998</v>
      </c>
      <c r="J29" s="452">
        <v>791213.62</v>
      </c>
      <c r="K29" s="452">
        <v>2256522.1800000002</v>
      </c>
      <c r="L29" s="452">
        <v>795201.51</v>
      </c>
      <c r="M29" s="452">
        <v>2259957.19</v>
      </c>
      <c r="N29" s="452">
        <v>797189.95000000007</v>
      </c>
      <c r="O29" s="452">
        <v>2264300.61</v>
      </c>
      <c r="P29" s="452">
        <v>799073.95000000007</v>
      </c>
      <c r="Q29" s="452">
        <v>2263852.5499999998</v>
      </c>
      <c r="R29" s="452">
        <v>803187.43</v>
      </c>
      <c r="S29" s="452">
        <v>2264017.5</v>
      </c>
      <c r="T29" s="452">
        <v>803566.4</v>
      </c>
      <c r="U29" s="452">
        <v>2277306.17</v>
      </c>
      <c r="V29" s="452">
        <v>810036.08000000007</v>
      </c>
      <c r="W29" s="452">
        <v>2388449.0699999998</v>
      </c>
      <c r="X29" s="452">
        <v>801396.1</v>
      </c>
      <c r="Y29" s="452">
        <v>2410067.63</v>
      </c>
      <c r="Z29" s="452">
        <v>802701.49</v>
      </c>
      <c r="AA29" s="452">
        <v>2409988.66</v>
      </c>
      <c r="AB29" s="452">
        <v>805474.12</v>
      </c>
      <c r="AC29" s="452">
        <v>2441943.67</v>
      </c>
      <c r="AD29" s="452">
        <v>808988.32000000007</v>
      </c>
      <c r="AE29" s="452">
        <f t="shared" si="1"/>
        <v>2291792.3616666663</v>
      </c>
      <c r="AF29" s="452">
        <f t="shared" si="0"/>
        <v>799878.47958333325</v>
      </c>
    </row>
    <row r="30" spans="1:32">
      <c r="A30" s="446">
        <v>22</v>
      </c>
      <c r="C30" s="450" t="s">
        <v>846</v>
      </c>
      <c r="D30" s="451" t="s">
        <v>829</v>
      </c>
      <c r="E30" s="452">
        <v>0</v>
      </c>
      <c r="F30" s="452">
        <v>-256.08</v>
      </c>
      <c r="G30" s="452">
        <v>0</v>
      </c>
      <c r="H30" s="452">
        <v>-256.08</v>
      </c>
      <c r="I30" s="452">
        <v>0</v>
      </c>
      <c r="J30" s="452">
        <v>-256.08</v>
      </c>
      <c r="K30" s="452">
        <v>0</v>
      </c>
      <c r="L30" s="452">
        <v>-256.08</v>
      </c>
      <c r="M30" s="452">
        <v>0</v>
      </c>
      <c r="N30" s="452">
        <v>-256.08</v>
      </c>
      <c r="O30" s="452">
        <v>0</v>
      </c>
      <c r="P30" s="452">
        <v>-256.08</v>
      </c>
      <c r="Q30" s="452">
        <v>0</v>
      </c>
      <c r="R30" s="452">
        <v>-256.08</v>
      </c>
      <c r="S30" s="452">
        <v>0</v>
      </c>
      <c r="T30" s="452">
        <v>-256.08</v>
      </c>
      <c r="U30" s="452">
        <v>0</v>
      </c>
      <c r="V30" s="452">
        <v>-256.08</v>
      </c>
      <c r="W30" s="452">
        <v>0</v>
      </c>
      <c r="X30" s="452">
        <v>-256.08</v>
      </c>
      <c r="Y30" s="452">
        <v>0</v>
      </c>
      <c r="Z30" s="452">
        <v>-256.08</v>
      </c>
      <c r="AA30" s="452">
        <v>0</v>
      </c>
      <c r="AB30" s="452">
        <v>-256.08</v>
      </c>
      <c r="AC30" s="452">
        <v>0</v>
      </c>
      <c r="AD30" s="452">
        <v>0</v>
      </c>
      <c r="AE30" s="452">
        <f t="shared" si="1"/>
        <v>0</v>
      </c>
      <c r="AF30" s="452">
        <f t="shared" si="0"/>
        <v>-245.40999999999997</v>
      </c>
    </row>
    <row r="31" spans="1:32">
      <c r="A31" s="446">
        <v>23</v>
      </c>
      <c r="C31" s="450" t="s">
        <v>847</v>
      </c>
      <c r="D31" s="451" t="s">
        <v>829</v>
      </c>
      <c r="E31" s="452">
        <v>493301.43</v>
      </c>
      <c r="F31" s="452">
        <v>309237.99</v>
      </c>
      <c r="G31" s="452">
        <v>493301.43</v>
      </c>
      <c r="H31" s="452">
        <v>309237.99</v>
      </c>
      <c r="I31" s="452">
        <v>493301.43</v>
      </c>
      <c r="J31" s="452">
        <v>309237.99</v>
      </c>
      <c r="K31" s="452">
        <v>493301.43</v>
      </c>
      <c r="L31" s="452">
        <v>309237.99</v>
      </c>
      <c r="M31" s="452">
        <v>493301.43</v>
      </c>
      <c r="N31" s="452">
        <v>309237.99</v>
      </c>
      <c r="O31" s="452">
        <v>493301.43</v>
      </c>
      <c r="P31" s="452">
        <v>309237.99</v>
      </c>
      <c r="Q31" s="452">
        <v>493301.43</v>
      </c>
      <c r="R31" s="452">
        <v>309237.99</v>
      </c>
      <c r="S31" s="452">
        <v>493301.43</v>
      </c>
      <c r="T31" s="452">
        <v>309237.99</v>
      </c>
      <c r="U31" s="452">
        <v>493301.43</v>
      </c>
      <c r="V31" s="452">
        <v>309237.99</v>
      </c>
      <c r="W31" s="452">
        <v>493301.43</v>
      </c>
      <c r="X31" s="452">
        <v>309237.99</v>
      </c>
      <c r="Y31" s="452">
        <v>493301.43</v>
      </c>
      <c r="Z31" s="452">
        <v>309237.99</v>
      </c>
      <c r="AA31" s="452">
        <v>493301.43</v>
      </c>
      <c r="AB31" s="452">
        <v>309237.99</v>
      </c>
      <c r="AC31" s="452">
        <v>493301.43</v>
      </c>
      <c r="AD31" s="452">
        <v>309237.99</v>
      </c>
      <c r="AE31" s="452">
        <f t="shared" si="1"/>
        <v>493301.42999999993</v>
      </c>
      <c r="AF31" s="452">
        <f t="shared" si="0"/>
        <v>309237.99000000005</v>
      </c>
    </row>
    <row r="32" spans="1:32">
      <c r="A32" s="446">
        <v>24</v>
      </c>
      <c r="C32" s="450" t="s">
        <v>848</v>
      </c>
      <c r="D32" s="451" t="s">
        <v>829</v>
      </c>
      <c r="E32" s="452">
        <v>0</v>
      </c>
      <c r="F32" s="452">
        <v>11145.130000000001</v>
      </c>
      <c r="G32" s="452">
        <v>0</v>
      </c>
      <c r="H32" s="452">
        <v>11145.130000000001</v>
      </c>
      <c r="I32" s="452">
        <v>0</v>
      </c>
      <c r="J32" s="452">
        <v>11145.130000000001</v>
      </c>
      <c r="K32" s="452">
        <v>0</v>
      </c>
      <c r="L32" s="452">
        <v>11145.130000000001</v>
      </c>
      <c r="M32" s="452">
        <v>0</v>
      </c>
      <c r="N32" s="452">
        <v>11145.130000000001</v>
      </c>
      <c r="O32" s="452">
        <v>0</v>
      </c>
      <c r="P32" s="452">
        <v>11145.130000000001</v>
      </c>
      <c r="Q32" s="452">
        <v>0</v>
      </c>
      <c r="R32" s="452">
        <v>11145.130000000001</v>
      </c>
      <c r="S32" s="452">
        <v>0</v>
      </c>
      <c r="T32" s="452">
        <v>11145.130000000001</v>
      </c>
      <c r="U32" s="452">
        <v>0</v>
      </c>
      <c r="V32" s="452">
        <v>11145.130000000001</v>
      </c>
      <c r="W32" s="452">
        <v>0</v>
      </c>
      <c r="X32" s="452">
        <v>11145.130000000001</v>
      </c>
      <c r="Y32" s="452">
        <v>0</v>
      </c>
      <c r="Z32" s="452">
        <v>11145.130000000001</v>
      </c>
      <c r="AA32" s="452">
        <v>0</v>
      </c>
      <c r="AB32" s="452">
        <v>11145.130000000001</v>
      </c>
      <c r="AC32" s="452">
        <v>0</v>
      </c>
      <c r="AD32" s="452">
        <v>0</v>
      </c>
      <c r="AE32" s="452">
        <f t="shared" si="1"/>
        <v>0</v>
      </c>
      <c r="AF32" s="452">
        <f t="shared" si="0"/>
        <v>10680.749583333336</v>
      </c>
    </row>
    <row r="33" spans="1:32">
      <c r="A33" s="446">
        <v>25</v>
      </c>
      <c r="C33" s="450" t="s">
        <v>849</v>
      </c>
      <c r="D33" s="451" t="s">
        <v>829</v>
      </c>
      <c r="E33" s="452">
        <v>4516175.41</v>
      </c>
      <c r="F33" s="452">
        <v>1172226.1400000001</v>
      </c>
      <c r="G33" s="452">
        <v>4516175.41</v>
      </c>
      <c r="H33" s="452">
        <v>1176892.8500000001</v>
      </c>
      <c r="I33" s="452">
        <v>4516175.41</v>
      </c>
      <c r="J33" s="452">
        <v>1181559.56</v>
      </c>
      <c r="K33" s="452">
        <v>4516175.41</v>
      </c>
      <c r="L33" s="452">
        <v>1186226.27</v>
      </c>
      <c r="M33" s="452">
        <v>4516175.41</v>
      </c>
      <c r="N33" s="452">
        <v>1190892.98</v>
      </c>
      <c r="O33" s="452">
        <v>4516175.41</v>
      </c>
      <c r="P33" s="452">
        <v>1195559.69</v>
      </c>
      <c r="Q33" s="452">
        <v>4516175.41</v>
      </c>
      <c r="R33" s="452">
        <v>1200226.3999999999</v>
      </c>
      <c r="S33" s="452">
        <v>4516789.8099999996</v>
      </c>
      <c r="T33" s="452">
        <v>1204893.1100000001</v>
      </c>
      <c r="U33" s="452">
        <v>4516789.8099999996</v>
      </c>
      <c r="V33" s="452">
        <v>1209560.46</v>
      </c>
      <c r="W33" s="452">
        <v>4516789.8099999996</v>
      </c>
      <c r="X33" s="452">
        <v>1214227.81</v>
      </c>
      <c r="Y33" s="452">
        <v>4516789.8099999996</v>
      </c>
      <c r="Z33" s="452">
        <v>1218895.1599999999</v>
      </c>
      <c r="AA33" s="452">
        <v>4516789.8099999996</v>
      </c>
      <c r="AB33" s="452">
        <v>1223562.51</v>
      </c>
      <c r="AC33" s="452">
        <v>4516779.63</v>
      </c>
      <c r="AD33" s="452">
        <v>1239374.99</v>
      </c>
      <c r="AE33" s="452">
        <f t="shared" si="1"/>
        <v>4516456.5858333334</v>
      </c>
      <c r="AF33" s="452">
        <f t="shared" si="0"/>
        <v>1200691.4470833333</v>
      </c>
    </row>
    <row r="34" spans="1:32">
      <c r="A34" s="446">
        <v>26</v>
      </c>
      <c r="C34" s="450" t="s">
        <v>850</v>
      </c>
      <c r="D34" s="451" t="s">
        <v>829</v>
      </c>
      <c r="E34" s="452">
        <v>72240.02</v>
      </c>
      <c r="F34" s="452">
        <v>35909.42</v>
      </c>
      <c r="G34" s="452">
        <v>72240.02</v>
      </c>
      <c r="H34" s="452">
        <v>36955.090000000004</v>
      </c>
      <c r="I34" s="452">
        <v>72240.02</v>
      </c>
      <c r="J34" s="452">
        <v>38000.76</v>
      </c>
      <c r="K34" s="452">
        <v>72240.02</v>
      </c>
      <c r="L34" s="452">
        <v>39046.43</v>
      </c>
      <c r="M34" s="452">
        <v>72240.02</v>
      </c>
      <c r="N34" s="452">
        <v>40092.1</v>
      </c>
      <c r="O34" s="452">
        <v>72240.02</v>
      </c>
      <c r="P34" s="452">
        <v>41137.770000000004</v>
      </c>
      <c r="Q34" s="452">
        <v>72240.02</v>
      </c>
      <c r="R34" s="452">
        <v>42183.44</v>
      </c>
      <c r="S34" s="452">
        <v>72240.02</v>
      </c>
      <c r="T34" s="452">
        <v>43229.11</v>
      </c>
      <c r="U34" s="452">
        <v>72240.02</v>
      </c>
      <c r="V34" s="452">
        <v>44274.78</v>
      </c>
      <c r="W34" s="452">
        <v>72240.02</v>
      </c>
      <c r="X34" s="452">
        <v>45320.450000000004</v>
      </c>
      <c r="Y34" s="452">
        <v>72240.02</v>
      </c>
      <c r="Z34" s="452">
        <v>46366.12</v>
      </c>
      <c r="AA34" s="452">
        <v>72240.02</v>
      </c>
      <c r="AB34" s="452">
        <v>47411.79</v>
      </c>
      <c r="AC34" s="452">
        <v>72240.02</v>
      </c>
      <c r="AD34" s="452">
        <v>48457.46</v>
      </c>
      <c r="AE34" s="452">
        <f t="shared" si="1"/>
        <v>72240.02</v>
      </c>
      <c r="AF34" s="452">
        <f t="shared" si="0"/>
        <v>42183.439999999995</v>
      </c>
    </row>
    <row r="35" spans="1:32">
      <c r="A35" s="446">
        <v>27</v>
      </c>
      <c r="C35" s="450" t="s">
        <v>851</v>
      </c>
      <c r="D35" s="451" t="s">
        <v>829</v>
      </c>
      <c r="E35" s="452">
        <v>106237.48</v>
      </c>
      <c r="F35" s="452">
        <v>30427.39</v>
      </c>
      <c r="G35" s="452">
        <v>106237.48</v>
      </c>
      <c r="H35" s="452">
        <v>30868.28</v>
      </c>
      <c r="I35" s="452">
        <v>106237.48</v>
      </c>
      <c r="J35" s="452">
        <v>31309.170000000002</v>
      </c>
      <c r="K35" s="452">
        <v>106237.48</v>
      </c>
      <c r="L35" s="452">
        <v>31750.06</v>
      </c>
      <c r="M35" s="452">
        <v>106237.48</v>
      </c>
      <c r="N35" s="452">
        <v>32190.95</v>
      </c>
      <c r="O35" s="452">
        <v>106237.48</v>
      </c>
      <c r="P35" s="452">
        <v>32631.84</v>
      </c>
      <c r="Q35" s="452">
        <v>106237.48</v>
      </c>
      <c r="R35" s="452">
        <v>33072.730000000003</v>
      </c>
      <c r="S35" s="452">
        <v>106237.48</v>
      </c>
      <c r="T35" s="452">
        <v>33513.620000000003</v>
      </c>
      <c r="U35" s="452">
        <v>106237.48</v>
      </c>
      <c r="V35" s="452">
        <v>33954.51</v>
      </c>
      <c r="W35" s="452">
        <v>106237.48</v>
      </c>
      <c r="X35" s="452">
        <v>34395.4</v>
      </c>
      <c r="Y35" s="452">
        <v>106237.48</v>
      </c>
      <c r="Z35" s="452">
        <v>34836.29</v>
      </c>
      <c r="AA35" s="452">
        <v>106237.48</v>
      </c>
      <c r="AB35" s="452">
        <v>35277.18</v>
      </c>
      <c r="AC35" s="452">
        <v>106237.48</v>
      </c>
      <c r="AD35" s="452">
        <v>35718.07</v>
      </c>
      <c r="AE35" s="452">
        <f t="shared" si="1"/>
        <v>106237.48</v>
      </c>
      <c r="AF35" s="452">
        <f t="shared" si="0"/>
        <v>33072.729999999996</v>
      </c>
    </row>
    <row r="36" spans="1:32">
      <c r="A36" s="446">
        <v>28</v>
      </c>
      <c r="C36" s="450" t="s">
        <v>852</v>
      </c>
      <c r="D36" s="451" t="s">
        <v>829</v>
      </c>
      <c r="E36" s="452">
        <v>105251.23</v>
      </c>
      <c r="F36" s="452">
        <v>77966.2</v>
      </c>
      <c r="G36" s="452">
        <v>105251.23</v>
      </c>
      <c r="H36" s="452">
        <v>78242.490000000005</v>
      </c>
      <c r="I36" s="452">
        <v>105251.23</v>
      </c>
      <c r="J36" s="452">
        <v>78518.78</v>
      </c>
      <c r="K36" s="452">
        <v>105251.23</v>
      </c>
      <c r="L36" s="452">
        <v>78795.070000000007</v>
      </c>
      <c r="M36" s="452">
        <v>84471.150000000009</v>
      </c>
      <c r="N36" s="452">
        <v>58941.279999999999</v>
      </c>
      <c r="O36" s="452">
        <v>84471.150000000009</v>
      </c>
      <c r="P36" s="452">
        <v>59163.020000000004</v>
      </c>
      <c r="Q36" s="452">
        <v>67111.78</v>
      </c>
      <c r="R36" s="452">
        <v>43825.39</v>
      </c>
      <c r="S36" s="452">
        <v>67111.78</v>
      </c>
      <c r="T36" s="452">
        <v>44001.56</v>
      </c>
      <c r="U36" s="452">
        <v>67111.78</v>
      </c>
      <c r="V36" s="452">
        <v>44177.73</v>
      </c>
      <c r="W36" s="452">
        <v>67111.78</v>
      </c>
      <c r="X36" s="452">
        <v>44353.9</v>
      </c>
      <c r="Y36" s="452">
        <v>67111.78</v>
      </c>
      <c r="Z36" s="452">
        <v>44530.07</v>
      </c>
      <c r="AA36" s="452">
        <v>67111.78</v>
      </c>
      <c r="AB36" s="452">
        <v>44706.239999999998</v>
      </c>
      <c r="AC36" s="452">
        <v>67111.78</v>
      </c>
      <c r="AD36" s="452">
        <v>44882.41</v>
      </c>
      <c r="AE36" s="452">
        <f t="shared" si="1"/>
        <v>81129.014583333352</v>
      </c>
      <c r="AF36" s="452">
        <f t="shared" si="0"/>
        <v>56723.31958333333</v>
      </c>
    </row>
    <row r="37" spans="1:32">
      <c r="A37" s="446">
        <v>29</v>
      </c>
      <c r="C37" s="450" t="s">
        <v>853</v>
      </c>
      <c r="D37" s="451" t="s">
        <v>829</v>
      </c>
      <c r="E37" s="452">
        <v>3646897.84</v>
      </c>
      <c r="F37" s="452">
        <v>1302246.3999999999</v>
      </c>
      <c r="G37" s="452">
        <v>3674015.62</v>
      </c>
      <c r="H37" s="452">
        <v>1320936.75</v>
      </c>
      <c r="I37" s="452">
        <v>3768803.6</v>
      </c>
      <c r="J37" s="452">
        <v>1339766.08</v>
      </c>
      <c r="K37" s="452">
        <v>3768979.7</v>
      </c>
      <c r="L37" s="452">
        <v>1359081.2</v>
      </c>
      <c r="M37" s="452">
        <v>3741418.04</v>
      </c>
      <c r="N37" s="452">
        <v>1359820.8900000001</v>
      </c>
      <c r="O37" s="452">
        <v>3743703.71</v>
      </c>
      <c r="P37" s="452">
        <v>1378995.65</v>
      </c>
      <c r="Q37" s="452">
        <v>3743703.71</v>
      </c>
      <c r="R37" s="452">
        <v>1398182.13</v>
      </c>
      <c r="S37" s="452">
        <v>3743437.4699999997</v>
      </c>
      <c r="T37" s="452">
        <v>1417368.6099999999</v>
      </c>
      <c r="U37" s="452">
        <v>3745026.33</v>
      </c>
      <c r="V37" s="452">
        <v>1436553.72</v>
      </c>
      <c r="W37" s="452">
        <v>3745026.33</v>
      </c>
      <c r="X37" s="452">
        <v>1455746.98</v>
      </c>
      <c r="Y37" s="452">
        <v>3745026.33</v>
      </c>
      <c r="Z37" s="452">
        <v>1474940.24</v>
      </c>
      <c r="AA37" s="452">
        <v>3946238.67</v>
      </c>
      <c r="AB37" s="452">
        <v>1494133.5</v>
      </c>
      <c r="AC37" s="452">
        <v>4251446.0999999996</v>
      </c>
      <c r="AD37" s="452">
        <v>1514357.97</v>
      </c>
      <c r="AE37" s="452">
        <f t="shared" si="1"/>
        <v>3776212.6233333331</v>
      </c>
      <c r="AF37" s="452">
        <f t="shared" si="0"/>
        <v>1403652.3279166669</v>
      </c>
    </row>
    <row r="38" spans="1:32">
      <c r="A38" s="446">
        <v>30</v>
      </c>
      <c r="C38" s="450" t="s">
        <v>854</v>
      </c>
      <c r="D38" s="451" t="s">
        <v>829</v>
      </c>
      <c r="E38" s="452">
        <v>0</v>
      </c>
      <c r="F38" s="452">
        <v>0</v>
      </c>
      <c r="G38" s="452">
        <v>0</v>
      </c>
      <c r="H38" s="452">
        <v>0</v>
      </c>
      <c r="I38" s="452">
        <v>0</v>
      </c>
      <c r="J38" s="452">
        <v>0</v>
      </c>
      <c r="K38" s="452">
        <v>0</v>
      </c>
      <c r="L38" s="452">
        <v>0</v>
      </c>
      <c r="M38" s="452">
        <v>0</v>
      </c>
      <c r="N38" s="452">
        <v>0</v>
      </c>
      <c r="O38" s="452">
        <v>0</v>
      </c>
      <c r="P38" s="452">
        <v>0</v>
      </c>
      <c r="Q38" s="452">
        <v>0</v>
      </c>
      <c r="R38" s="452">
        <v>0</v>
      </c>
      <c r="S38" s="452">
        <v>0</v>
      </c>
      <c r="T38" s="452">
        <v>0</v>
      </c>
      <c r="U38" s="452">
        <v>0</v>
      </c>
      <c r="V38" s="452">
        <v>0</v>
      </c>
      <c r="W38" s="452">
        <v>0</v>
      </c>
      <c r="X38" s="452">
        <v>0</v>
      </c>
      <c r="Y38" s="452">
        <v>0</v>
      </c>
      <c r="Z38" s="452">
        <v>0</v>
      </c>
      <c r="AA38" s="452">
        <v>0</v>
      </c>
      <c r="AB38" s="452">
        <v>0</v>
      </c>
      <c r="AC38" s="452">
        <v>0</v>
      </c>
      <c r="AD38" s="452">
        <v>0</v>
      </c>
      <c r="AE38" s="452">
        <f t="shared" si="1"/>
        <v>0</v>
      </c>
      <c r="AF38" s="452">
        <f t="shared" si="0"/>
        <v>0</v>
      </c>
    </row>
    <row r="39" spans="1:32">
      <c r="A39" s="446">
        <v>31</v>
      </c>
      <c r="C39" s="450" t="s">
        <v>855</v>
      </c>
      <c r="D39" s="451" t="s">
        <v>829</v>
      </c>
      <c r="E39" s="452">
        <v>1518441.77</v>
      </c>
      <c r="F39" s="452">
        <v>393444.7</v>
      </c>
      <c r="G39" s="452">
        <v>1537082.6099999999</v>
      </c>
      <c r="H39" s="452">
        <v>397949.41000000003</v>
      </c>
      <c r="I39" s="452">
        <v>1537082.6099999999</v>
      </c>
      <c r="J39" s="452">
        <v>402509.42</v>
      </c>
      <c r="K39" s="452">
        <v>1527620</v>
      </c>
      <c r="L39" s="452">
        <v>385982.58</v>
      </c>
      <c r="M39" s="452">
        <v>1525092.3399999999</v>
      </c>
      <c r="N39" s="452">
        <v>390514.52</v>
      </c>
      <c r="O39" s="452">
        <v>1525092.3399999999</v>
      </c>
      <c r="P39" s="452">
        <v>395038.96</v>
      </c>
      <c r="Q39" s="452">
        <v>1527145.46</v>
      </c>
      <c r="R39" s="452">
        <v>399563.4</v>
      </c>
      <c r="S39" s="452">
        <v>1527145.46</v>
      </c>
      <c r="T39" s="452">
        <v>404093.93</v>
      </c>
      <c r="U39" s="452">
        <v>1527145.46</v>
      </c>
      <c r="V39" s="452">
        <v>408624.46</v>
      </c>
      <c r="W39" s="452">
        <v>1531614.44</v>
      </c>
      <c r="X39" s="452">
        <v>413154.99</v>
      </c>
      <c r="Y39" s="452">
        <v>1543685.6400000001</v>
      </c>
      <c r="Z39" s="452">
        <v>417698.78</v>
      </c>
      <c r="AA39" s="452">
        <v>1543685.6400000001</v>
      </c>
      <c r="AB39" s="452">
        <v>422278.38</v>
      </c>
      <c r="AC39" s="452">
        <v>1555929.2</v>
      </c>
      <c r="AD39" s="452">
        <v>426857.98</v>
      </c>
      <c r="AE39" s="452">
        <f t="shared" si="1"/>
        <v>1532464.7904166665</v>
      </c>
      <c r="AF39" s="452">
        <f t="shared" si="0"/>
        <v>403963.34749999997</v>
      </c>
    </row>
    <row r="40" spans="1:32">
      <c r="A40" s="446">
        <v>32</v>
      </c>
      <c r="C40" s="450" t="s">
        <v>856</v>
      </c>
      <c r="D40" s="451" t="s">
        <v>829</v>
      </c>
      <c r="E40" s="452">
        <v>886803.63</v>
      </c>
      <c r="F40" s="452">
        <v>-435127.25</v>
      </c>
      <c r="G40" s="452">
        <v>955255.33000000007</v>
      </c>
      <c r="H40" s="452">
        <v>-431299.22000000003</v>
      </c>
      <c r="I40" s="452">
        <v>799438.14</v>
      </c>
      <c r="J40" s="452">
        <v>-372616.89</v>
      </c>
      <c r="K40" s="452">
        <v>808258.24</v>
      </c>
      <c r="L40" s="452">
        <v>-369165.98</v>
      </c>
      <c r="M40" s="452">
        <v>808258.24</v>
      </c>
      <c r="N40" s="452">
        <v>-365677</v>
      </c>
      <c r="O40" s="452">
        <v>808258.24</v>
      </c>
      <c r="P40" s="452">
        <v>-362188.02</v>
      </c>
      <c r="Q40" s="452">
        <v>808258.24</v>
      </c>
      <c r="R40" s="452">
        <v>-358699.04</v>
      </c>
      <c r="S40" s="452">
        <v>808258.24</v>
      </c>
      <c r="T40" s="452">
        <v>-355210.06</v>
      </c>
      <c r="U40" s="452">
        <v>794128.08000000007</v>
      </c>
      <c r="V40" s="452">
        <v>-365851.24</v>
      </c>
      <c r="W40" s="452">
        <v>868888.67</v>
      </c>
      <c r="X40" s="452">
        <v>-449000.57</v>
      </c>
      <c r="Y40" s="452">
        <v>868888.67</v>
      </c>
      <c r="Z40" s="452">
        <v>-445249.86</v>
      </c>
      <c r="AA40" s="452">
        <v>868888.67</v>
      </c>
      <c r="AB40" s="452">
        <v>-441499.15</v>
      </c>
      <c r="AC40" s="452">
        <v>966321.15</v>
      </c>
      <c r="AD40" s="452">
        <v>-445256.66000000003</v>
      </c>
      <c r="AE40" s="452">
        <f t="shared" si="1"/>
        <v>843611.76250000019</v>
      </c>
      <c r="AF40" s="452">
        <f t="shared" si="0"/>
        <v>-396387.41541666671</v>
      </c>
    </row>
    <row r="41" spans="1:32">
      <c r="A41" s="446">
        <v>33</v>
      </c>
      <c r="C41" s="450" t="s">
        <v>857</v>
      </c>
      <c r="D41" s="451" t="s">
        <v>829</v>
      </c>
      <c r="E41" s="452">
        <v>337722.04</v>
      </c>
      <c r="F41" s="452">
        <v>60143.21</v>
      </c>
      <c r="G41" s="452">
        <v>338168.17</v>
      </c>
      <c r="H41" s="452">
        <v>61021.29</v>
      </c>
      <c r="I41" s="452">
        <v>338168.17</v>
      </c>
      <c r="J41" s="452">
        <v>61900.53</v>
      </c>
      <c r="K41" s="452">
        <v>338168.17</v>
      </c>
      <c r="L41" s="452">
        <v>62779.770000000004</v>
      </c>
      <c r="M41" s="452">
        <v>338168.17</v>
      </c>
      <c r="N41" s="452">
        <v>63659.01</v>
      </c>
      <c r="O41" s="452">
        <v>338168.17</v>
      </c>
      <c r="P41" s="452">
        <v>64538.25</v>
      </c>
      <c r="Q41" s="452">
        <v>338168.17</v>
      </c>
      <c r="R41" s="452">
        <v>65417.49</v>
      </c>
      <c r="S41" s="452">
        <v>341752.17</v>
      </c>
      <c r="T41" s="452">
        <v>66296.73</v>
      </c>
      <c r="U41" s="452">
        <v>341752.17</v>
      </c>
      <c r="V41" s="452">
        <v>67185.279999999999</v>
      </c>
      <c r="W41" s="452">
        <v>341752.17</v>
      </c>
      <c r="X41" s="452">
        <v>68073.83</v>
      </c>
      <c r="Y41" s="452">
        <v>341752.17</v>
      </c>
      <c r="Z41" s="452">
        <v>68962.38</v>
      </c>
      <c r="AA41" s="452">
        <v>341752.17</v>
      </c>
      <c r="AB41" s="452">
        <v>69850.930000000008</v>
      </c>
      <c r="AC41" s="452">
        <v>341685.37</v>
      </c>
      <c r="AD41" s="452">
        <v>70739.48</v>
      </c>
      <c r="AE41" s="452">
        <f t="shared" si="1"/>
        <v>339789.46458333329</v>
      </c>
      <c r="AF41" s="452">
        <f t="shared" si="0"/>
        <v>65427.236249999994</v>
      </c>
    </row>
    <row r="42" spans="1:32">
      <c r="A42" s="446">
        <v>34</v>
      </c>
      <c r="C42" s="450" t="s">
        <v>858</v>
      </c>
      <c r="D42" s="451" t="s">
        <v>829</v>
      </c>
      <c r="E42" s="452">
        <v>190417.76</v>
      </c>
      <c r="F42" s="452">
        <v>114167.62</v>
      </c>
      <c r="G42" s="452">
        <v>190417.76</v>
      </c>
      <c r="H42" s="452">
        <v>114891.21</v>
      </c>
      <c r="I42" s="452">
        <v>190417.76</v>
      </c>
      <c r="J42" s="452">
        <v>115614.8</v>
      </c>
      <c r="K42" s="452">
        <v>190417.76</v>
      </c>
      <c r="L42" s="452">
        <v>116338.39</v>
      </c>
      <c r="M42" s="452">
        <v>190417.76</v>
      </c>
      <c r="N42" s="452">
        <v>117061.98</v>
      </c>
      <c r="O42" s="452">
        <v>190417.76</v>
      </c>
      <c r="P42" s="452">
        <v>117785.57</v>
      </c>
      <c r="Q42" s="452">
        <v>190417.76</v>
      </c>
      <c r="R42" s="452">
        <v>118509.16</v>
      </c>
      <c r="S42" s="452">
        <v>190417.76</v>
      </c>
      <c r="T42" s="452">
        <v>119232.75</v>
      </c>
      <c r="U42" s="452">
        <v>190417.76</v>
      </c>
      <c r="V42" s="452">
        <v>119956.34</v>
      </c>
      <c r="W42" s="452">
        <v>190417.76</v>
      </c>
      <c r="X42" s="452">
        <v>120679.93000000001</v>
      </c>
      <c r="Y42" s="452">
        <v>190417.76</v>
      </c>
      <c r="Z42" s="452">
        <v>121403.52</v>
      </c>
      <c r="AA42" s="452">
        <v>190417.76</v>
      </c>
      <c r="AB42" s="452">
        <v>122127.11</v>
      </c>
      <c r="AC42" s="452">
        <v>190417.76</v>
      </c>
      <c r="AD42" s="452">
        <v>122850.7</v>
      </c>
      <c r="AE42" s="452">
        <f t="shared" si="1"/>
        <v>190417.76</v>
      </c>
      <c r="AF42" s="452">
        <f t="shared" si="0"/>
        <v>118509.15999999999</v>
      </c>
    </row>
    <row r="43" spans="1:32">
      <c r="A43" s="446">
        <v>35</v>
      </c>
      <c r="C43" s="450" t="s">
        <v>859</v>
      </c>
      <c r="D43" s="451" t="s">
        <v>829</v>
      </c>
      <c r="E43" s="452">
        <v>295285.8</v>
      </c>
      <c r="F43" s="452">
        <v>96472.7</v>
      </c>
      <c r="G43" s="452">
        <v>295285.8</v>
      </c>
      <c r="H43" s="452">
        <v>98778.39</v>
      </c>
      <c r="I43" s="452">
        <v>295285.8</v>
      </c>
      <c r="J43" s="452">
        <v>101084.08</v>
      </c>
      <c r="K43" s="452">
        <v>295285.8</v>
      </c>
      <c r="L43" s="452">
        <v>103389.77</v>
      </c>
      <c r="M43" s="452">
        <v>295285.8</v>
      </c>
      <c r="N43" s="452">
        <v>105695.46</v>
      </c>
      <c r="O43" s="452">
        <v>295285.8</v>
      </c>
      <c r="P43" s="452">
        <v>108001.15000000001</v>
      </c>
      <c r="Q43" s="452">
        <v>295285.8</v>
      </c>
      <c r="R43" s="452">
        <v>110306.84</v>
      </c>
      <c r="S43" s="452">
        <v>295285.8</v>
      </c>
      <c r="T43" s="452">
        <v>112612.53</v>
      </c>
      <c r="U43" s="452">
        <v>295285.8</v>
      </c>
      <c r="V43" s="452">
        <v>114918.22</v>
      </c>
      <c r="W43" s="452">
        <v>295285.8</v>
      </c>
      <c r="X43" s="452">
        <v>117223.91</v>
      </c>
      <c r="Y43" s="452">
        <v>295285.8</v>
      </c>
      <c r="Z43" s="452">
        <v>119529.60000000001</v>
      </c>
      <c r="AA43" s="452">
        <v>295285.8</v>
      </c>
      <c r="AB43" s="452">
        <v>121835.29000000001</v>
      </c>
      <c r="AC43" s="452">
        <v>295285.8</v>
      </c>
      <c r="AD43" s="452">
        <v>124140.98</v>
      </c>
      <c r="AE43" s="452">
        <f t="shared" si="1"/>
        <v>295285.79999999993</v>
      </c>
      <c r="AF43" s="452">
        <f t="shared" si="0"/>
        <v>110306.84000000003</v>
      </c>
    </row>
    <row r="44" spans="1:32">
      <c r="A44" s="446">
        <v>36</v>
      </c>
      <c r="C44" s="450" t="s">
        <v>860</v>
      </c>
      <c r="D44" s="451" t="s">
        <v>829</v>
      </c>
      <c r="E44" s="452">
        <v>1040813.32</v>
      </c>
      <c r="F44" s="452">
        <v>610785.39</v>
      </c>
      <c r="G44" s="452">
        <v>1040813.32</v>
      </c>
      <c r="H44" s="452">
        <v>610898.14</v>
      </c>
      <c r="I44" s="452">
        <v>1040813.32</v>
      </c>
      <c r="J44" s="452">
        <v>611010.89</v>
      </c>
      <c r="K44" s="452">
        <v>1040813.32</v>
      </c>
      <c r="L44" s="452">
        <v>611123.64</v>
      </c>
      <c r="M44" s="452">
        <v>1040813.32</v>
      </c>
      <c r="N44" s="452">
        <v>611236.39</v>
      </c>
      <c r="O44" s="452">
        <v>1040813.32</v>
      </c>
      <c r="P44" s="452">
        <v>611349.14</v>
      </c>
      <c r="Q44" s="452">
        <v>1040813.32</v>
      </c>
      <c r="R44" s="452">
        <v>611461.89</v>
      </c>
      <c r="S44" s="452">
        <v>1040813.32</v>
      </c>
      <c r="T44" s="452">
        <v>611574.64</v>
      </c>
      <c r="U44" s="452">
        <v>1040813.32</v>
      </c>
      <c r="V44" s="452">
        <v>611687.39</v>
      </c>
      <c r="W44" s="452">
        <v>1040813.32</v>
      </c>
      <c r="X44" s="452">
        <v>611800.14</v>
      </c>
      <c r="Y44" s="452">
        <v>1040813.32</v>
      </c>
      <c r="Z44" s="452">
        <v>611912.89</v>
      </c>
      <c r="AA44" s="452">
        <v>1040813.32</v>
      </c>
      <c r="AB44" s="452">
        <v>612025.64</v>
      </c>
      <c r="AC44" s="452">
        <v>1040813.32</v>
      </c>
      <c r="AD44" s="452">
        <v>612138.39</v>
      </c>
      <c r="AE44" s="452">
        <f t="shared" si="1"/>
        <v>1040813.3200000002</v>
      </c>
      <c r="AF44" s="452">
        <f t="shared" si="0"/>
        <v>611461.8899999999</v>
      </c>
    </row>
    <row r="45" spans="1:32">
      <c r="A45" s="446">
        <v>37</v>
      </c>
      <c r="C45" s="450" t="s">
        <v>861</v>
      </c>
      <c r="D45" s="451" t="s">
        <v>829</v>
      </c>
      <c r="E45" s="452">
        <v>79223.14</v>
      </c>
      <c r="F45" s="452">
        <v>58716.07</v>
      </c>
      <c r="G45" s="452">
        <v>79223.14</v>
      </c>
      <c r="H45" s="452">
        <v>59322.130000000005</v>
      </c>
      <c r="I45" s="452">
        <v>79223.14</v>
      </c>
      <c r="J45" s="452">
        <v>59928.19</v>
      </c>
      <c r="K45" s="452">
        <v>79223.14</v>
      </c>
      <c r="L45" s="452">
        <v>60534.25</v>
      </c>
      <c r="M45" s="452">
        <v>79223.14</v>
      </c>
      <c r="N45" s="452">
        <v>61140.31</v>
      </c>
      <c r="O45" s="452">
        <v>79223.14</v>
      </c>
      <c r="P45" s="452">
        <v>61746.37</v>
      </c>
      <c r="Q45" s="452">
        <v>79223.14</v>
      </c>
      <c r="R45" s="452">
        <v>62352.43</v>
      </c>
      <c r="S45" s="452">
        <v>79223.14</v>
      </c>
      <c r="T45" s="452">
        <v>62958.49</v>
      </c>
      <c r="U45" s="452">
        <v>79223.14</v>
      </c>
      <c r="V45" s="452">
        <v>63564.55</v>
      </c>
      <c r="W45" s="452">
        <v>79223.14</v>
      </c>
      <c r="X45" s="452">
        <v>64170.61</v>
      </c>
      <c r="Y45" s="452">
        <v>79223.14</v>
      </c>
      <c r="Z45" s="452">
        <v>64776.67</v>
      </c>
      <c r="AA45" s="452">
        <v>79223.14</v>
      </c>
      <c r="AB45" s="452">
        <v>65382.73</v>
      </c>
      <c r="AC45" s="452">
        <v>79223.14</v>
      </c>
      <c r="AD45" s="452">
        <v>65988.790000000008</v>
      </c>
      <c r="AE45" s="452">
        <f t="shared" si="1"/>
        <v>79223.14</v>
      </c>
      <c r="AF45" s="452">
        <f t="shared" si="0"/>
        <v>62352.43</v>
      </c>
    </row>
    <row r="46" spans="1:32">
      <c r="C46" s="450" t="s">
        <v>862</v>
      </c>
      <c r="D46" s="451" t="s">
        <v>829</v>
      </c>
      <c r="E46" s="452">
        <v>7208.81</v>
      </c>
      <c r="F46" s="452">
        <v>-644.32000000000005</v>
      </c>
      <c r="G46" s="452">
        <v>7208.81</v>
      </c>
      <c r="H46" s="452">
        <v>-581.18000000000006</v>
      </c>
      <c r="I46" s="452">
        <v>7208.81</v>
      </c>
      <c r="J46" s="452">
        <v>-518.04</v>
      </c>
      <c r="K46" s="452">
        <v>7208.81</v>
      </c>
      <c r="L46" s="452">
        <v>-454.90000000000003</v>
      </c>
      <c r="M46" s="452">
        <v>7208.81</v>
      </c>
      <c r="N46" s="452">
        <v>-391.76</v>
      </c>
      <c r="O46" s="452">
        <v>7208.81</v>
      </c>
      <c r="P46" s="452">
        <v>-328.62</v>
      </c>
      <c r="Q46" s="452">
        <v>7208.81</v>
      </c>
      <c r="R46" s="452">
        <v>-265.48</v>
      </c>
      <c r="S46" s="452">
        <v>7208.81</v>
      </c>
      <c r="T46" s="452">
        <v>-202.34</v>
      </c>
      <c r="U46" s="452">
        <v>7208.81</v>
      </c>
      <c r="V46" s="452">
        <v>-139.20000000000002</v>
      </c>
      <c r="W46" s="452">
        <v>7208.81</v>
      </c>
      <c r="X46" s="452">
        <v>-76.06</v>
      </c>
      <c r="Y46" s="452">
        <v>7208.81</v>
      </c>
      <c r="Z46" s="452">
        <v>-12.92</v>
      </c>
      <c r="AA46" s="452">
        <v>7208.81</v>
      </c>
      <c r="AB46" s="452">
        <v>50.22</v>
      </c>
      <c r="AC46" s="452">
        <v>7208.81</v>
      </c>
      <c r="AD46" s="452">
        <v>113.36</v>
      </c>
      <c r="AE46" s="452">
        <f t="shared" si="1"/>
        <v>7208.8099999999986</v>
      </c>
      <c r="AF46" s="452">
        <f t="shared" si="0"/>
        <v>-265.48</v>
      </c>
    </row>
    <row r="47" spans="1:32">
      <c r="A47" s="446">
        <v>38</v>
      </c>
      <c r="B47" s="453" t="s">
        <v>83</v>
      </c>
      <c r="C47" s="454"/>
      <c r="D47" s="453" t="s">
        <v>863</v>
      </c>
      <c r="E47" s="455">
        <f>SUBTOTAL(9,E10:E46)</f>
        <v>203750183.19999996</v>
      </c>
      <c r="F47" s="455">
        <f t="shared" ref="F47:AC47" si="2">SUBTOTAL(9,F10:F46)</f>
        <v>94673967.230000004</v>
      </c>
      <c r="G47" s="455">
        <f t="shared" si="2"/>
        <v>204841059.48999998</v>
      </c>
      <c r="H47" s="455">
        <f t="shared" si="2"/>
        <v>95116381.049999967</v>
      </c>
      <c r="I47" s="455">
        <f t="shared" si="2"/>
        <v>206516996.5699999</v>
      </c>
      <c r="J47" s="455">
        <f t="shared" si="2"/>
        <v>95643981.260000005</v>
      </c>
      <c r="K47" s="455">
        <f t="shared" si="2"/>
        <v>207680503.04999992</v>
      </c>
      <c r="L47" s="455">
        <f t="shared" si="2"/>
        <v>96111922.719999969</v>
      </c>
      <c r="M47" s="455">
        <f t="shared" si="2"/>
        <v>208543615.13</v>
      </c>
      <c r="N47" s="455">
        <f t="shared" si="2"/>
        <v>96588070.11999999</v>
      </c>
      <c r="O47" s="455">
        <f t="shared" si="2"/>
        <v>209729440.22</v>
      </c>
      <c r="P47" s="455">
        <f t="shared" si="2"/>
        <v>97004251.859999985</v>
      </c>
      <c r="Q47" s="455">
        <f t="shared" si="2"/>
        <v>212396044.76999998</v>
      </c>
      <c r="R47" s="455">
        <f t="shared" si="2"/>
        <v>97489903.980000004</v>
      </c>
      <c r="S47" s="455">
        <f t="shared" si="2"/>
        <v>213097205.22999999</v>
      </c>
      <c r="T47" s="455">
        <f t="shared" si="2"/>
        <v>98001548.730000004</v>
      </c>
      <c r="U47" s="455">
        <f t="shared" si="2"/>
        <v>213720847.61000001</v>
      </c>
      <c r="V47" s="455">
        <f t="shared" si="2"/>
        <v>98462271.069999978</v>
      </c>
      <c r="W47" s="455">
        <f t="shared" si="2"/>
        <v>214415007.66</v>
      </c>
      <c r="X47" s="455">
        <f t="shared" si="2"/>
        <v>98813118.210000008</v>
      </c>
      <c r="Y47" s="455">
        <f t="shared" si="2"/>
        <v>217429026.73999995</v>
      </c>
      <c r="Z47" s="455">
        <f t="shared" si="2"/>
        <v>99339491.37999998</v>
      </c>
      <c r="AA47" s="455">
        <f t="shared" si="2"/>
        <v>218322784.76999995</v>
      </c>
      <c r="AB47" s="455">
        <f t="shared" si="2"/>
        <v>99792156.330000013</v>
      </c>
      <c r="AC47" s="455">
        <f t="shared" si="2"/>
        <v>220069994.46999994</v>
      </c>
      <c r="AD47" s="455">
        <f>SUBTOTAL(9,AD10:AD46)</f>
        <v>100233725.66999999</v>
      </c>
      <c r="AE47" s="455">
        <f>SUBTOTAL(9,AE10:AE46)</f>
        <v>211550218.33958331</v>
      </c>
      <c r="AF47" s="455">
        <f>SUBTOTAL(9,AF10:AF46)</f>
        <v>97484745.263333306</v>
      </c>
    </row>
    <row r="48" spans="1:32">
      <c r="A48" s="446">
        <v>39</v>
      </c>
      <c r="B48" s="448" t="s">
        <v>106</v>
      </c>
      <c r="C48" s="448" t="s">
        <v>372</v>
      </c>
      <c r="D48" s="456"/>
      <c r="E48" s="457"/>
      <c r="F48" s="457"/>
      <c r="G48" s="457"/>
      <c r="H48" s="457"/>
      <c r="I48" s="457"/>
      <c r="J48" s="457"/>
      <c r="K48" s="457"/>
      <c r="L48" s="457"/>
      <c r="M48" s="457"/>
      <c r="N48" s="457"/>
      <c r="O48" s="457"/>
      <c r="P48" s="457"/>
      <c r="Q48" s="457"/>
      <c r="R48" s="457"/>
      <c r="S48" s="457"/>
      <c r="T48" s="457"/>
      <c r="U48" s="457"/>
      <c r="V48" s="457"/>
      <c r="W48" s="457"/>
      <c r="X48" s="457"/>
      <c r="Y48" s="457"/>
      <c r="Z48" s="457"/>
      <c r="AA48" s="457"/>
      <c r="AB48" s="457"/>
      <c r="AC48" s="457"/>
      <c r="AD48" s="457"/>
      <c r="AE48" s="457"/>
      <c r="AF48" s="457"/>
    </row>
    <row r="49" spans="1:32">
      <c r="A49" s="446">
        <v>40</v>
      </c>
      <c r="C49" s="24" t="s">
        <v>864</v>
      </c>
      <c r="D49" s="24" t="s">
        <v>866</v>
      </c>
      <c r="E49" s="452">
        <v>138157.95000000001</v>
      </c>
      <c r="F49" s="452">
        <v>138157.97</v>
      </c>
      <c r="G49" s="452">
        <v>138157.95000000001</v>
      </c>
      <c r="H49" s="452">
        <v>138157.97</v>
      </c>
      <c r="I49" s="452">
        <v>138157.95000000001</v>
      </c>
      <c r="J49" s="452">
        <v>138157.97</v>
      </c>
      <c r="K49" s="452">
        <v>138157.95000000001</v>
      </c>
      <c r="L49" s="452">
        <v>138157.97</v>
      </c>
      <c r="M49" s="452">
        <v>138157.95000000001</v>
      </c>
      <c r="N49" s="452">
        <v>138157.97</v>
      </c>
      <c r="O49" s="452">
        <v>138157.95000000001</v>
      </c>
      <c r="P49" s="452">
        <v>138157.97</v>
      </c>
      <c r="Q49" s="452">
        <v>138157.95000000001</v>
      </c>
      <c r="R49" s="452">
        <v>138157.97</v>
      </c>
      <c r="S49" s="452">
        <v>138157.95000000001</v>
      </c>
      <c r="T49" s="452">
        <v>138157.97</v>
      </c>
      <c r="U49" s="452">
        <v>138157.95000000001</v>
      </c>
      <c r="V49" s="452">
        <v>138157.97</v>
      </c>
      <c r="W49" s="452">
        <v>138157.95000000001</v>
      </c>
      <c r="X49" s="452">
        <v>138157.97</v>
      </c>
      <c r="Y49" s="452">
        <v>138157.95000000001</v>
      </c>
      <c r="Z49" s="452">
        <v>138157.97</v>
      </c>
      <c r="AA49" s="452">
        <v>138157.95000000001</v>
      </c>
      <c r="AB49" s="452">
        <v>138157.97</v>
      </c>
      <c r="AC49" s="452">
        <v>138157.95000000001</v>
      </c>
      <c r="AD49" s="452">
        <v>138157.95000000001</v>
      </c>
      <c r="AE49" s="452">
        <f t="shared" ref="AE49:AF91" si="3">+(E49+AC49+(+G49+I49+K49+M49+O49+Q49+S49+U49+W49+Y49+AA49)*2)/24</f>
        <v>138157.94999999998</v>
      </c>
      <c r="AF49" s="452">
        <f t="shared" si="3"/>
        <v>138157.96916666665</v>
      </c>
    </row>
    <row r="50" spans="1:32">
      <c r="A50" s="446">
        <v>41</v>
      </c>
      <c r="C50" s="24" t="s">
        <v>865</v>
      </c>
      <c r="D50" s="451" t="s">
        <v>866</v>
      </c>
      <c r="E50" s="452">
        <v>0</v>
      </c>
      <c r="F50" s="452">
        <v>0</v>
      </c>
      <c r="G50" s="452">
        <v>0</v>
      </c>
      <c r="H50" s="452">
        <v>0</v>
      </c>
      <c r="I50" s="452">
        <v>0</v>
      </c>
      <c r="J50" s="452">
        <v>0</v>
      </c>
      <c r="K50" s="452">
        <v>0</v>
      </c>
      <c r="L50" s="452">
        <v>0</v>
      </c>
      <c r="M50" s="452">
        <v>0</v>
      </c>
      <c r="N50" s="452">
        <v>0</v>
      </c>
      <c r="O50" s="452">
        <v>0</v>
      </c>
      <c r="P50" s="452">
        <v>0</v>
      </c>
      <c r="Q50" s="452">
        <v>0</v>
      </c>
      <c r="R50" s="452">
        <v>0</v>
      </c>
      <c r="S50" s="452">
        <v>0</v>
      </c>
      <c r="T50" s="452">
        <v>0</v>
      </c>
      <c r="U50" s="452">
        <v>0</v>
      </c>
      <c r="V50" s="452">
        <v>0</v>
      </c>
      <c r="W50" s="452">
        <v>0</v>
      </c>
      <c r="X50" s="452">
        <v>0</v>
      </c>
      <c r="Y50" s="452">
        <v>0</v>
      </c>
      <c r="Z50" s="452">
        <v>0</v>
      </c>
      <c r="AA50" s="452">
        <v>0</v>
      </c>
      <c r="AB50" s="452">
        <v>0</v>
      </c>
      <c r="AC50" s="452">
        <v>0</v>
      </c>
      <c r="AD50" s="452">
        <v>0</v>
      </c>
      <c r="AE50" s="452">
        <f t="shared" si="3"/>
        <v>0</v>
      </c>
      <c r="AF50" s="452">
        <f t="shared" si="3"/>
        <v>0</v>
      </c>
    </row>
    <row r="51" spans="1:32">
      <c r="A51" s="446">
        <v>42</v>
      </c>
      <c r="C51" s="24" t="s">
        <v>1352</v>
      </c>
      <c r="D51" s="451" t="s">
        <v>866</v>
      </c>
      <c r="E51" s="452">
        <v>12647.45</v>
      </c>
      <c r="F51" s="452">
        <v>997.31000000000006</v>
      </c>
      <c r="G51" s="452">
        <v>12647.45</v>
      </c>
      <c r="H51" s="452">
        <v>1050.01</v>
      </c>
      <c r="I51" s="452">
        <v>12647.45</v>
      </c>
      <c r="J51" s="452">
        <v>1102.71</v>
      </c>
      <c r="K51" s="452">
        <v>12647.45</v>
      </c>
      <c r="L51" s="452">
        <v>1155.4100000000001</v>
      </c>
      <c r="M51" s="452">
        <v>12647.45</v>
      </c>
      <c r="N51" s="452">
        <v>1208.1100000000001</v>
      </c>
      <c r="O51" s="452">
        <v>12647.45</v>
      </c>
      <c r="P51" s="452">
        <v>1260.81</v>
      </c>
      <c r="Q51" s="452">
        <v>12647.45</v>
      </c>
      <c r="R51" s="452">
        <v>1313.51</v>
      </c>
      <c r="S51" s="452">
        <v>12647.45</v>
      </c>
      <c r="T51" s="452">
        <v>1366.21</v>
      </c>
      <c r="U51" s="452">
        <v>12647.45</v>
      </c>
      <c r="V51" s="452">
        <v>1418.91</v>
      </c>
      <c r="W51" s="452">
        <v>12647.45</v>
      </c>
      <c r="X51" s="452">
        <v>1471.6100000000001</v>
      </c>
      <c r="Y51" s="452">
        <v>12647.45</v>
      </c>
      <c r="Z51" s="452">
        <v>1524.31</v>
      </c>
      <c r="AA51" s="452">
        <v>12647.45</v>
      </c>
      <c r="AB51" s="452">
        <v>1577.01</v>
      </c>
      <c r="AC51" s="452">
        <v>12647.45</v>
      </c>
      <c r="AD51" s="452">
        <v>1629.71</v>
      </c>
      <c r="AE51" s="452">
        <f t="shared" si="3"/>
        <v>12647.449999999999</v>
      </c>
      <c r="AF51" s="452">
        <f t="shared" si="3"/>
        <v>1313.51</v>
      </c>
    </row>
    <row r="52" spans="1:32">
      <c r="A52" s="446">
        <v>43</v>
      </c>
      <c r="C52" s="24" t="s">
        <v>867</v>
      </c>
      <c r="D52" s="451" t="s">
        <v>866</v>
      </c>
      <c r="E52" s="452">
        <v>45037.37</v>
      </c>
      <c r="F52" s="452">
        <v>4597.67</v>
      </c>
      <c r="G52" s="452">
        <v>45037.37</v>
      </c>
      <c r="H52" s="452">
        <v>4691.5</v>
      </c>
      <c r="I52" s="452">
        <v>45037.37</v>
      </c>
      <c r="J52" s="452">
        <v>4785.33</v>
      </c>
      <c r="K52" s="452">
        <v>45037.37</v>
      </c>
      <c r="L52" s="452">
        <v>4879.16</v>
      </c>
      <c r="M52" s="452">
        <v>45037.37</v>
      </c>
      <c r="N52" s="452">
        <v>4972.99</v>
      </c>
      <c r="O52" s="452">
        <v>45037.37</v>
      </c>
      <c r="P52" s="452">
        <v>5066.82</v>
      </c>
      <c r="Q52" s="452">
        <v>45037.37</v>
      </c>
      <c r="R52" s="452">
        <v>5160.6500000000005</v>
      </c>
      <c r="S52" s="452">
        <v>45037.37</v>
      </c>
      <c r="T52" s="452">
        <v>5254.4800000000005</v>
      </c>
      <c r="U52" s="452">
        <v>45037.37</v>
      </c>
      <c r="V52" s="452">
        <v>5348.31</v>
      </c>
      <c r="W52" s="452">
        <v>45037.37</v>
      </c>
      <c r="X52" s="452">
        <v>5442.14</v>
      </c>
      <c r="Y52" s="452">
        <v>45037.37</v>
      </c>
      <c r="Z52" s="452">
        <v>5535.97</v>
      </c>
      <c r="AA52" s="452">
        <v>45037.37</v>
      </c>
      <c r="AB52" s="452">
        <v>5629.8</v>
      </c>
      <c r="AC52" s="452">
        <v>45037.37</v>
      </c>
      <c r="AD52" s="452">
        <v>5723.63</v>
      </c>
      <c r="AE52" s="452">
        <f t="shared" si="3"/>
        <v>45037.37</v>
      </c>
      <c r="AF52" s="452">
        <f t="shared" si="3"/>
        <v>5160.6500000000005</v>
      </c>
    </row>
    <row r="53" spans="1:32">
      <c r="A53" s="446">
        <v>44</v>
      </c>
      <c r="C53" s="24" t="s">
        <v>868</v>
      </c>
      <c r="D53" s="24" t="s">
        <v>866</v>
      </c>
      <c r="E53" s="452">
        <v>1218966.19</v>
      </c>
      <c r="F53" s="452">
        <v>95962.38</v>
      </c>
      <c r="G53" s="452">
        <v>1218966.19</v>
      </c>
      <c r="H53" s="452">
        <v>98501.89</v>
      </c>
      <c r="I53" s="452">
        <v>1218966.19</v>
      </c>
      <c r="J53" s="452">
        <v>101041.40000000001</v>
      </c>
      <c r="K53" s="452">
        <v>1218966.19</v>
      </c>
      <c r="L53" s="452">
        <v>103580.91</v>
      </c>
      <c r="M53" s="452">
        <v>1218966.19</v>
      </c>
      <c r="N53" s="452">
        <v>106120.42</v>
      </c>
      <c r="O53" s="452">
        <v>1218966.19</v>
      </c>
      <c r="P53" s="452">
        <v>108659.93000000001</v>
      </c>
      <c r="Q53" s="452">
        <v>1218966.19</v>
      </c>
      <c r="R53" s="452">
        <v>111199.44</v>
      </c>
      <c r="S53" s="452">
        <v>1218966.19</v>
      </c>
      <c r="T53" s="452">
        <v>113738.95</v>
      </c>
      <c r="U53" s="452">
        <v>1218966.19</v>
      </c>
      <c r="V53" s="452">
        <v>116278.46</v>
      </c>
      <c r="W53" s="452">
        <v>1218966.19</v>
      </c>
      <c r="X53" s="452">
        <v>118817.97</v>
      </c>
      <c r="Y53" s="452">
        <v>1218966.19</v>
      </c>
      <c r="Z53" s="452">
        <v>121357.48</v>
      </c>
      <c r="AA53" s="452">
        <v>1218966.19</v>
      </c>
      <c r="AB53" s="452">
        <v>123896.99</v>
      </c>
      <c r="AC53" s="452">
        <v>1218966.19</v>
      </c>
      <c r="AD53" s="452">
        <v>126436.5</v>
      </c>
      <c r="AE53" s="452">
        <f t="shared" si="3"/>
        <v>1218966.1899999997</v>
      </c>
      <c r="AF53" s="452">
        <f t="shared" si="3"/>
        <v>111199.43999999999</v>
      </c>
    </row>
    <row r="54" spans="1:32">
      <c r="A54" s="446">
        <v>45</v>
      </c>
      <c r="C54" s="24" t="s">
        <v>1353</v>
      </c>
      <c r="D54" s="24" t="s">
        <v>866</v>
      </c>
      <c r="E54" s="452">
        <v>2333239.5300000003</v>
      </c>
      <c r="F54" s="452">
        <v>57023.64</v>
      </c>
      <c r="G54" s="452">
        <v>2333239.5300000003</v>
      </c>
      <c r="H54" s="452">
        <v>61884.56</v>
      </c>
      <c r="I54" s="452">
        <v>2333239.5300000003</v>
      </c>
      <c r="J54" s="452">
        <v>66745.48</v>
      </c>
      <c r="K54" s="452">
        <v>2333239.5300000003</v>
      </c>
      <c r="L54" s="452">
        <v>71606.400000000009</v>
      </c>
      <c r="M54" s="452">
        <v>2333239.5300000003</v>
      </c>
      <c r="N54" s="452">
        <v>76467.320000000007</v>
      </c>
      <c r="O54" s="452">
        <v>2333239.5300000003</v>
      </c>
      <c r="P54" s="452">
        <v>81328.240000000005</v>
      </c>
      <c r="Q54" s="452">
        <v>2333239.5300000003</v>
      </c>
      <c r="R54" s="452">
        <v>86189.16</v>
      </c>
      <c r="S54" s="452">
        <v>2333239.5300000003</v>
      </c>
      <c r="T54" s="452">
        <v>91050.08</v>
      </c>
      <c r="U54" s="452">
        <v>2333239.5300000003</v>
      </c>
      <c r="V54" s="452">
        <v>95911</v>
      </c>
      <c r="W54" s="452">
        <v>2333239.5300000003</v>
      </c>
      <c r="X54" s="452">
        <v>100771.92</v>
      </c>
      <c r="Y54" s="452">
        <v>2333239.5300000003</v>
      </c>
      <c r="Z54" s="452">
        <v>105632.84</v>
      </c>
      <c r="AA54" s="452">
        <v>2333239.5300000003</v>
      </c>
      <c r="AB54" s="452">
        <v>110493.76000000001</v>
      </c>
      <c r="AC54" s="452">
        <v>2333239.5300000003</v>
      </c>
      <c r="AD54" s="452">
        <v>115354.68000000001</v>
      </c>
      <c r="AE54" s="452">
        <f t="shared" si="3"/>
        <v>2333239.5300000007</v>
      </c>
      <c r="AF54" s="452">
        <f t="shared" si="3"/>
        <v>86189.16</v>
      </c>
    </row>
    <row r="55" spans="1:32">
      <c r="A55" s="446">
        <v>46</v>
      </c>
      <c r="C55" s="24" t="s">
        <v>1354</v>
      </c>
      <c r="D55" s="24" t="s">
        <v>866</v>
      </c>
      <c r="E55" s="452">
        <v>8000.9000000000005</v>
      </c>
      <c r="F55" s="452">
        <v>66.680000000000007</v>
      </c>
      <c r="G55" s="452">
        <v>8000.9000000000005</v>
      </c>
      <c r="H55" s="452">
        <v>83.350000000000009</v>
      </c>
      <c r="I55" s="452">
        <v>8000.9000000000005</v>
      </c>
      <c r="J55" s="452">
        <v>100.02</v>
      </c>
      <c r="K55" s="452">
        <v>8000.9000000000005</v>
      </c>
      <c r="L55" s="452">
        <v>116.69</v>
      </c>
      <c r="M55" s="452">
        <v>8000.9000000000005</v>
      </c>
      <c r="N55" s="452">
        <v>133.36000000000001</v>
      </c>
      <c r="O55" s="452">
        <v>8000.9000000000005</v>
      </c>
      <c r="P55" s="452">
        <v>150.03</v>
      </c>
      <c r="Q55" s="452">
        <v>8000.9000000000005</v>
      </c>
      <c r="R55" s="452">
        <v>166.70000000000002</v>
      </c>
      <c r="S55" s="452">
        <v>8000.9000000000005</v>
      </c>
      <c r="T55" s="452">
        <v>183.37</v>
      </c>
      <c r="U55" s="452">
        <v>8000.9000000000005</v>
      </c>
      <c r="V55" s="452">
        <v>200.04</v>
      </c>
      <c r="W55" s="452">
        <v>8000.9000000000005</v>
      </c>
      <c r="X55" s="452">
        <v>216.71</v>
      </c>
      <c r="Y55" s="452">
        <v>8000.9000000000005</v>
      </c>
      <c r="Z55" s="452">
        <v>233.38</v>
      </c>
      <c r="AA55" s="452">
        <v>8000.9000000000005</v>
      </c>
      <c r="AB55" s="452">
        <v>250.05</v>
      </c>
      <c r="AC55" s="452">
        <v>8000.9000000000005</v>
      </c>
      <c r="AD55" s="452">
        <v>266.72000000000003</v>
      </c>
      <c r="AE55" s="452">
        <f t="shared" si="3"/>
        <v>8000.8999999999987</v>
      </c>
      <c r="AF55" s="452">
        <f t="shared" si="3"/>
        <v>166.70000000000002</v>
      </c>
    </row>
    <row r="56" spans="1:32">
      <c r="A56" s="446">
        <v>47</v>
      </c>
      <c r="C56" s="24" t="s">
        <v>869</v>
      </c>
      <c r="D56" s="24" t="s">
        <v>866</v>
      </c>
      <c r="E56" s="452">
        <v>211404.97</v>
      </c>
      <c r="F56" s="452">
        <v>0</v>
      </c>
      <c r="G56" s="452">
        <v>211404.97</v>
      </c>
      <c r="H56" s="452">
        <v>0</v>
      </c>
      <c r="I56" s="452">
        <v>211404.97</v>
      </c>
      <c r="J56" s="452">
        <v>0</v>
      </c>
      <c r="K56" s="452">
        <v>211404.97</v>
      </c>
      <c r="L56" s="452">
        <v>0</v>
      </c>
      <c r="M56" s="452">
        <v>211404.97</v>
      </c>
      <c r="N56" s="452">
        <v>0</v>
      </c>
      <c r="O56" s="452">
        <v>211404.97</v>
      </c>
      <c r="P56" s="452">
        <v>0</v>
      </c>
      <c r="Q56" s="452">
        <v>211404.97</v>
      </c>
      <c r="R56" s="452">
        <v>0</v>
      </c>
      <c r="S56" s="452">
        <v>211404.97</v>
      </c>
      <c r="T56" s="452">
        <v>0</v>
      </c>
      <c r="U56" s="452">
        <v>211404.97</v>
      </c>
      <c r="V56" s="452">
        <v>0</v>
      </c>
      <c r="W56" s="452">
        <v>211404.97</v>
      </c>
      <c r="X56" s="452">
        <v>0</v>
      </c>
      <c r="Y56" s="452">
        <v>211404.97</v>
      </c>
      <c r="Z56" s="452">
        <v>0</v>
      </c>
      <c r="AA56" s="452">
        <v>211404.97</v>
      </c>
      <c r="AB56" s="452">
        <v>0</v>
      </c>
      <c r="AC56" s="452">
        <v>211404.97</v>
      </c>
      <c r="AD56" s="452">
        <v>0</v>
      </c>
      <c r="AE56" s="452">
        <f t="shared" si="3"/>
        <v>211404.97000000006</v>
      </c>
      <c r="AF56" s="452">
        <f t="shared" si="3"/>
        <v>0</v>
      </c>
    </row>
    <row r="57" spans="1:32">
      <c r="A57" s="446">
        <v>48</v>
      </c>
      <c r="C57" s="24" t="s">
        <v>870</v>
      </c>
      <c r="D57" s="24" t="s">
        <v>866</v>
      </c>
      <c r="E57" s="452">
        <v>1018396.75</v>
      </c>
      <c r="F57" s="452">
        <v>793013.88</v>
      </c>
      <c r="G57" s="452">
        <v>1018396.75</v>
      </c>
      <c r="H57" s="452">
        <v>794354.77</v>
      </c>
      <c r="I57" s="452">
        <v>1018396.75</v>
      </c>
      <c r="J57" s="452">
        <v>795695.66</v>
      </c>
      <c r="K57" s="452">
        <v>1018396.75</v>
      </c>
      <c r="L57" s="452">
        <v>797036.55</v>
      </c>
      <c r="M57" s="452">
        <v>1018396.75</v>
      </c>
      <c r="N57" s="452">
        <v>798377.44000000006</v>
      </c>
      <c r="O57" s="452">
        <v>1018396.75</v>
      </c>
      <c r="P57" s="452">
        <v>799718.33000000007</v>
      </c>
      <c r="Q57" s="452">
        <v>1018396.75</v>
      </c>
      <c r="R57" s="452">
        <v>801059.22</v>
      </c>
      <c r="S57" s="452">
        <v>1018396.75</v>
      </c>
      <c r="T57" s="452">
        <v>802400.11</v>
      </c>
      <c r="U57" s="452">
        <v>1018396.75</v>
      </c>
      <c r="V57" s="452">
        <v>803741</v>
      </c>
      <c r="W57" s="452">
        <v>1018396.75</v>
      </c>
      <c r="X57" s="452">
        <v>805081.89</v>
      </c>
      <c r="Y57" s="452">
        <v>1018396.75</v>
      </c>
      <c r="Z57" s="452">
        <v>806422.78</v>
      </c>
      <c r="AA57" s="452">
        <v>1018396.75</v>
      </c>
      <c r="AB57" s="452">
        <v>807763.67</v>
      </c>
      <c r="AC57" s="452">
        <v>1018396.75</v>
      </c>
      <c r="AD57" s="452">
        <v>809104.56</v>
      </c>
      <c r="AE57" s="452">
        <f t="shared" si="3"/>
        <v>1018396.75</v>
      </c>
      <c r="AF57" s="452">
        <f t="shared" si="3"/>
        <v>801059.2200000002</v>
      </c>
    </row>
    <row r="58" spans="1:32">
      <c r="A58" s="446">
        <v>49</v>
      </c>
      <c r="C58" s="24" t="s">
        <v>871</v>
      </c>
      <c r="D58" s="24" t="s">
        <v>866</v>
      </c>
      <c r="E58" s="452">
        <v>15968181.91</v>
      </c>
      <c r="F58" s="452">
        <v>11139694.51</v>
      </c>
      <c r="G58" s="452">
        <v>15968181.91</v>
      </c>
      <c r="H58" s="452">
        <v>11163912.92</v>
      </c>
      <c r="I58" s="452">
        <v>15968181.91</v>
      </c>
      <c r="J58" s="452">
        <v>11188131.109999999</v>
      </c>
      <c r="K58" s="452">
        <v>15968181.91</v>
      </c>
      <c r="L58" s="452">
        <v>11212349.52</v>
      </c>
      <c r="M58" s="452">
        <v>15968181.91</v>
      </c>
      <c r="N58" s="452">
        <v>11236566.08</v>
      </c>
      <c r="O58" s="452">
        <v>15968181.91</v>
      </c>
      <c r="P58" s="452">
        <v>11260784.49</v>
      </c>
      <c r="Q58" s="452">
        <v>15968181.91</v>
      </c>
      <c r="R58" s="452">
        <v>11285002.9</v>
      </c>
      <c r="S58" s="452">
        <v>15968181.91</v>
      </c>
      <c r="T58" s="452">
        <v>11309221.310000001</v>
      </c>
      <c r="U58" s="452">
        <v>15968181.91</v>
      </c>
      <c r="V58" s="452">
        <v>11333439.720000001</v>
      </c>
      <c r="W58" s="452">
        <v>15900055.619999999</v>
      </c>
      <c r="X58" s="452">
        <v>11289531.84</v>
      </c>
      <c r="Y58" s="452">
        <v>15900055.619999999</v>
      </c>
      <c r="Z58" s="452">
        <v>11277498.949999999</v>
      </c>
      <c r="AA58" s="452">
        <v>15900055.619999999</v>
      </c>
      <c r="AB58" s="452">
        <v>11301575.5</v>
      </c>
      <c r="AC58" s="452">
        <v>15900055.619999999</v>
      </c>
      <c r="AD58" s="452">
        <v>11325653.23</v>
      </c>
      <c r="AE58" s="452">
        <f t="shared" si="3"/>
        <v>15948311.742083332</v>
      </c>
      <c r="AF58" s="452">
        <f t="shared" si="3"/>
        <v>11257557.350833334</v>
      </c>
    </row>
    <row r="59" spans="1:32">
      <c r="A59" s="446">
        <v>50</v>
      </c>
      <c r="C59" s="24" t="s">
        <v>872</v>
      </c>
      <c r="D59" s="24" t="s">
        <v>866</v>
      </c>
      <c r="E59" s="452">
        <v>144661.1</v>
      </c>
      <c r="F59" s="452">
        <v>154547.26</v>
      </c>
      <c r="G59" s="452">
        <v>144661.1</v>
      </c>
      <c r="H59" s="452">
        <v>154596.69</v>
      </c>
      <c r="I59" s="452">
        <v>144661.1</v>
      </c>
      <c r="J59" s="452">
        <v>154646.12</v>
      </c>
      <c r="K59" s="452">
        <v>144661.1</v>
      </c>
      <c r="L59" s="452">
        <v>154695.55000000002</v>
      </c>
      <c r="M59" s="452">
        <v>144661.1</v>
      </c>
      <c r="N59" s="452">
        <v>154744.98000000001</v>
      </c>
      <c r="O59" s="452">
        <v>144661.1</v>
      </c>
      <c r="P59" s="452">
        <v>154794.41</v>
      </c>
      <c r="Q59" s="452">
        <v>144661.1</v>
      </c>
      <c r="R59" s="452">
        <v>154843.84</v>
      </c>
      <c r="S59" s="452">
        <v>144661.1</v>
      </c>
      <c r="T59" s="452">
        <v>154893.26999999999</v>
      </c>
      <c r="U59" s="452">
        <v>144661.1</v>
      </c>
      <c r="V59" s="452">
        <v>154942.70000000001</v>
      </c>
      <c r="W59" s="452">
        <v>144661.1</v>
      </c>
      <c r="X59" s="452">
        <v>154992.13</v>
      </c>
      <c r="Y59" s="452">
        <v>144661.1</v>
      </c>
      <c r="Z59" s="452">
        <v>155041.56</v>
      </c>
      <c r="AA59" s="452">
        <v>144661.1</v>
      </c>
      <c r="AB59" s="452">
        <v>155090.99</v>
      </c>
      <c r="AC59" s="452">
        <v>144661.1</v>
      </c>
      <c r="AD59" s="452">
        <v>155140.42000000001</v>
      </c>
      <c r="AE59" s="452">
        <f t="shared" si="3"/>
        <v>144661.10000000003</v>
      </c>
      <c r="AF59" s="452">
        <f t="shared" si="3"/>
        <v>154843.84</v>
      </c>
    </row>
    <row r="60" spans="1:32">
      <c r="A60" s="446">
        <v>51</v>
      </c>
      <c r="C60" s="24" t="s">
        <v>873</v>
      </c>
      <c r="D60" s="24" t="s">
        <v>866</v>
      </c>
      <c r="E60" s="452">
        <v>1922322.92</v>
      </c>
      <c r="F60" s="452">
        <v>712240.43</v>
      </c>
      <c r="G60" s="452">
        <v>1922322.92</v>
      </c>
      <c r="H60" s="452">
        <v>715252.07000000007</v>
      </c>
      <c r="I60" s="452">
        <v>1922322.92</v>
      </c>
      <c r="J60" s="452">
        <v>718263.71</v>
      </c>
      <c r="K60" s="452">
        <v>1922322.92</v>
      </c>
      <c r="L60" s="452">
        <v>721275.35</v>
      </c>
      <c r="M60" s="452">
        <v>1922322.92</v>
      </c>
      <c r="N60" s="452">
        <v>724286.99</v>
      </c>
      <c r="O60" s="452">
        <v>1922322.92</v>
      </c>
      <c r="P60" s="452">
        <v>727298.63</v>
      </c>
      <c r="Q60" s="452">
        <v>1922322.92</v>
      </c>
      <c r="R60" s="452">
        <v>730310.27</v>
      </c>
      <c r="S60" s="452">
        <v>1922322.92</v>
      </c>
      <c r="T60" s="452">
        <v>733321.91</v>
      </c>
      <c r="U60" s="452">
        <v>1922322.92</v>
      </c>
      <c r="V60" s="452">
        <v>736333.55</v>
      </c>
      <c r="W60" s="452">
        <v>1922322.92</v>
      </c>
      <c r="X60" s="452">
        <v>739345.19000000006</v>
      </c>
      <c r="Y60" s="452">
        <v>1922322.92</v>
      </c>
      <c r="Z60" s="452">
        <v>742356.83</v>
      </c>
      <c r="AA60" s="452">
        <v>1922322.92</v>
      </c>
      <c r="AB60" s="452">
        <v>745368.47</v>
      </c>
      <c r="AC60" s="452">
        <v>1922322.92</v>
      </c>
      <c r="AD60" s="452">
        <v>748380.11</v>
      </c>
      <c r="AE60" s="452">
        <f t="shared" si="3"/>
        <v>1922322.9200000006</v>
      </c>
      <c r="AF60" s="452">
        <f t="shared" si="3"/>
        <v>730310.27</v>
      </c>
    </row>
    <row r="61" spans="1:32">
      <c r="A61" s="446">
        <v>52</v>
      </c>
      <c r="C61" s="24" t="s">
        <v>874</v>
      </c>
      <c r="D61" s="24" t="s">
        <v>866</v>
      </c>
      <c r="E61" s="452">
        <v>268634.66000000003</v>
      </c>
      <c r="F61" s="452">
        <v>183.54</v>
      </c>
      <c r="G61" s="452">
        <v>268634.66000000003</v>
      </c>
      <c r="H61" s="452">
        <v>183.54</v>
      </c>
      <c r="I61" s="452">
        <v>268634.66000000003</v>
      </c>
      <c r="J61" s="452">
        <v>183.54</v>
      </c>
      <c r="K61" s="452">
        <v>268634.66000000003</v>
      </c>
      <c r="L61" s="452">
        <v>183.54</v>
      </c>
      <c r="M61" s="452">
        <v>325865.8</v>
      </c>
      <c r="N61" s="452">
        <v>613.48</v>
      </c>
      <c r="O61" s="452">
        <v>325865.8</v>
      </c>
      <c r="P61" s="452">
        <v>613.48</v>
      </c>
      <c r="Q61" s="452">
        <v>325865.8</v>
      </c>
      <c r="R61" s="452">
        <v>613.48</v>
      </c>
      <c r="S61" s="452">
        <v>316965.8</v>
      </c>
      <c r="T61" s="452">
        <v>613.48</v>
      </c>
      <c r="U61" s="452">
        <v>316965.8</v>
      </c>
      <c r="V61" s="452">
        <v>613.48</v>
      </c>
      <c r="W61" s="452">
        <v>316965.8</v>
      </c>
      <c r="X61" s="452">
        <v>613.48</v>
      </c>
      <c r="Y61" s="452">
        <v>316965.8</v>
      </c>
      <c r="Z61" s="452">
        <v>613.48</v>
      </c>
      <c r="AA61" s="452">
        <v>316965.8</v>
      </c>
      <c r="AB61" s="452">
        <v>613.48</v>
      </c>
      <c r="AC61" s="452">
        <v>316965.8</v>
      </c>
      <c r="AD61" s="452">
        <v>613.48</v>
      </c>
      <c r="AE61" s="452">
        <f t="shared" si="3"/>
        <v>305094.21749999997</v>
      </c>
      <c r="AF61" s="452">
        <f t="shared" si="3"/>
        <v>488.08083333333326</v>
      </c>
    </row>
    <row r="62" spans="1:32">
      <c r="A62" s="446">
        <v>53</v>
      </c>
      <c r="C62" s="24" t="s">
        <v>875</v>
      </c>
      <c r="D62" s="24" t="s">
        <v>866</v>
      </c>
      <c r="E62" s="452">
        <v>702922.71</v>
      </c>
      <c r="F62" s="452">
        <v>671550.31</v>
      </c>
      <c r="G62" s="452">
        <v>702922.71</v>
      </c>
      <c r="H62" s="452">
        <v>672264.95000000007</v>
      </c>
      <c r="I62" s="452">
        <v>702922.71</v>
      </c>
      <c r="J62" s="452">
        <v>672979.59</v>
      </c>
      <c r="K62" s="452">
        <v>702922.71</v>
      </c>
      <c r="L62" s="452">
        <v>673694.23</v>
      </c>
      <c r="M62" s="452">
        <v>702922.71</v>
      </c>
      <c r="N62" s="452">
        <v>674408.87</v>
      </c>
      <c r="O62" s="452">
        <v>702922.71</v>
      </c>
      <c r="P62" s="452">
        <v>675123.51</v>
      </c>
      <c r="Q62" s="452">
        <v>702922.71</v>
      </c>
      <c r="R62" s="452">
        <v>675838.15</v>
      </c>
      <c r="S62" s="452">
        <v>702922.71</v>
      </c>
      <c r="T62" s="452">
        <v>676552.79</v>
      </c>
      <c r="U62" s="452">
        <v>702922.71</v>
      </c>
      <c r="V62" s="452">
        <v>677267.43</v>
      </c>
      <c r="W62" s="452">
        <v>702922.71</v>
      </c>
      <c r="X62" s="452">
        <v>677982.07000000007</v>
      </c>
      <c r="Y62" s="452">
        <v>702922.71</v>
      </c>
      <c r="Z62" s="452">
        <v>678696.71</v>
      </c>
      <c r="AA62" s="452">
        <v>702922.71</v>
      </c>
      <c r="AB62" s="452">
        <v>679411.35</v>
      </c>
      <c r="AC62" s="452">
        <v>702922.71</v>
      </c>
      <c r="AD62" s="452">
        <v>680125.99</v>
      </c>
      <c r="AE62" s="452">
        <f t="shared" si="3"/>
        <v>702922.71</v>
      </c>
      <c r="AF62" s="452">
        <f t="shared" si="3"/>
        <v>675838.15</v>
      </c>
    </row>
    <row r="63" spans="1:32">
      <c r="A63" s="446">
        <v>54</v>
      </c>
      <c r="C63" s="24" t="s">
        <v>876</v>
      </c>
      <c r="D63" s="24" t="s">
        <v>866</v>
      </c>
      <c r="E63" s="452">
        <v>152081117.31999999</v>
      </c>
      <c r="F63" s="452">
        <v>35767901.090000004</v>
      </c>
      <c r="G63" s="452">
        <v>152285876.18000001</v>
      </c>
      <c r="H63" s="452">
        <v>35807696.740000002</v>
      </c>
      <c r="I63" s="452">
        <v>152383338.86000001</v>
      </c>
      <c r="J63" s="452">
        <v>35966327.859999999</v>
      </c>
      <c r="K63" s="452">
        <v>152545252</v>
      </c>
      <c r="L63" s="452">
        <v>36124700.659999996</v>
      </c>
      <c r="M63" s="452">
        <v>152635695.47</v>
      </c>
      <c r="N63" s="452">
        <v>36283297.619999997</v>
      </c>
      <c r="O63" s="452">
        <v>152533201.38</v>
      </c>
      <c r="P63" s="452">
        <v>36316353.399999999</v>
      </c>
      <c r="Q63" s="452">
        <v>152584663.47999999</v>
      </c>
      <c r="R63" s="452">
        <v>36475242.149999999</v>
      </c>
      <c r="S63" s="452">
        <v>152894625.53</v>
      </c>
      <c r="T63" s="452">
        <v>36634184.509999998</v>
      </c>
      <c r="U63" s="452">
        <v>152672504.81999999</v>
      </c>
      <c r="V63" s="452">
        <v>36790426.789999999</v>
      </c>
      <c r="W63" s="452">
        <v>152717699.28999999</v>
      </c>
      <c r="X63" s="452">
        <v>36949460.649999999</v>
      </c>
      <c r="Y63" s="452">
        <v>153253677.31</v>
      </c>
      <c r="Z63" s="452">
        <v>37095357.270000003</v>
      </c>
      <c r="AA63" s="452">
        <v>155549589.37</v>
      </c>
      <c r="AB63" s="452">
        <v>37248965.939999998</v>
      </c>
      <c r="AC63" s="452">
        <v>159069534.16</v>
      </c>
      <c r="AD63" s="452">
        <v>37410983.57</v>
      </c>
      <c r="AE63" s="452">
        <f t="shared" si="3"/>
        <v>153135954.11916667</v>
      </c>
      <c r="AF63" s="452">
        <f t="shared" si="3"/>
        <v>36523454.659999996</v>
      </c>
    </row>
    <row r="64" spans="1:32">
      <c r="A64" s="446">
        <v>55</v>
      </c>
      <c r="C64" s="24" t="s">
        <v>877</v>
      </c>
      <c r="D64" s="24" t="s">
        <v>866</v>
      </c>
      <c r="E64" s="452">
        <v>136092339.77000001</v>
      </c>
      <c r="F64" s="452">
        <v>38451996.719999999</v>
      </c>
      <c r="G64" s="452">
        <v>137006519.52000001</v>
      </c>
      <c r="H64" s="452">
        <v>38910162.18</v>
      </c>
      <c r="I64" s="452">
        <v>137612464.56999999</v>
      </c>
      <c r="J64" s="452">
        <v>39379777.189999998</v>
      </c>
      <c r="K64" s="452">
        <v>138162323.05000001</v>
      </c>
      <c r="L64" s="452">
        <v>39842535.009999998</v>
      </c>
      <c r="M64" s="452">
        <v>138840522.22999999</v>
      </c>
      <c r="N64" s="452">
        <v>40308454.850000001</v>
      </c>
      <c r="O64" s="452">
        <v>140704316.47</v>
      </c>
      <c r="P64" s="452">
        <v>40785503.18</v>
      </c>
      <c r="Q64" s="452">
        <v>141664246.24000001</v>
      </c>
      <c r="R64" s="452">
        <v>41266233.960000001</v>
      </c>
      <c r="S64" s="452">
        <v>142461885.88999999</v>
      </c>
      <c r="T64" s="452">
        <v>41751850.579999998</v>
      </c>
      <c r="U64" s="452">
        <v>143506434.94</v>
      </c>
      <c r="V64" s="452">
        <v>42242156.899999999</v>
      </c>
      <c r="W64" s="452">
        <v>145731909.34999999</v>
      </c>
      <c r="X64" s="452">
        <v>42736058.210000001</v>
      </c>
      <c r="Y64" s="452">
        <v>148303899.88</v>
      </c>
      <c r="Z64" s="452">
        <v>43227156.189999998</v>
      </c>
      <c r="AA64" s="452">
        <v>149221778.66999999</v>
      </c>
      <c r="AB64" s="452">
        <v>43734678.659999996</v>
      </c>
      <c r="AC64" s="452">
        <v>151836907.28999999</v>
      </c>
      <c r="AD64" s="452">
        <v>44242872.240000002</v>
      </c>
      <c r="AE64" s="452">
        <f t="shared" si="3"/>
        <v>142265077.02833334</v>
      </c>
      <c r="AF64" s="452">
        <f t="shared" si="3"/>
        <v>41294333.449166663</v>
      </c>
    </row>
    <row r="65" spans="1:32">
      <c r="A65" s="446">
        <v>56</v>
      </c>
      <c r="C65" s="24" t="s">
        <v>878</v>
      </c>
      <c r="D65" s="24" t="s">
        <v>866</v>
      </c>
      <c r="E65" s="452">
        <v>116563175.39</v>
      </c>
      <c r="F65" s="452">
        <v>82978755.939999998</v>
      </c>
      <c r="G65" s="452">
        <v>116699053.47</v>
      </c>
      <c r="H65" s="452">
        <v>83188926.189999998</v>
      </c>
      <c r="I65" s="452">
        <v>116700326.02</v>
      </c>
      <c r="J65" s="452">
        <v>83386878.290000007</v>
      </c>
      <c r="K65" s="452">
        <v>116789435.97</v>
      </c>
      <c r="L65" s="452">
        <v>83595230.420000002</v>
      </c>
      <c r="M65" s="452">
        <v>116804618.29000001</v>
      </c>
      <c r="N65" s="452">
        <v>83785901.310000002</v>
      </c>
      <c r="O65" s="452">
        <v>116789795.88</v>
      </c>
      <c r="P65" s="452">
        <v>83905115.900000006</v>
      </c>
      <c r="Q65" s="452">
        <v>116864730.40000001</v>
      </c>
      <c r="R65" s="452">
        <v>84117908.700000003</v>
      </c>
      <c r="S65" s="452">
        <v>116979841.54000001</v>
      </c>
      <c r="T65" s="452">
        <v>84271864.430000007</v>
      </c>
      <c r="U65" s="452">
        <v>117271774.18000001</v>
      </c>
      <c r="V65" s="452">
        <v>84477890.290000007</v>
      </c>
      <c r="W65" s="452">
        <v>117750554.17</v>
      </c>
      <c r="X65" s="452">
        <v>84681237.549999997</v>
      </c>
      <c r="Y65" s="452">
        <v>117973295.04000001</v>
      </c>
      <c r="Z65" s="452">
        <v>84887392.069999993</v>
      </c>
      <c r="AA65" s="452">
        <v>118237750.54000001</v>
      </c>
      <c r="AB65" s="452">
        <v>85057431.269999996</v>
      </c>
      <c r="AC65" s="452">
        <v>118986847.06999999</v>
      </c>
      <c r="AD65" s="452">
        <v>85235842.780000001</v>
      </c>
      <c r="AE65" s="452">
        <f t="shared" si="3"/>
        <v>117219682.22750001</v>
      </c>
      <c r="AF65" s="452">
        <f t="shared" si="3"/>
        <v>84121922.981666654</v>
      </c>
    </row>
    <row r="66" spans="1:32">
      <c r="A66" s="446">
        <v>57</v>
      </c>
      <c r="C66" s="24" t="s">
        <v>879</v>
      </c>
      <c r="D66" s="24" t="s">
        <v>866</v>
      </c>
      <c r="E66" s="452">
        <v>2097766.77</v>
      </c>
      <c r="F66" s="452">
        <v>1463846.94</v>
      </c>
      <c r="G66" s="452">
        <v>2097766.77</v>
      </c>
      <c r="H66" s="452">
        <v>1466958.63</v>
      </c>
      <c r="I66" s="452">
        <v>2097766.77</v>
      </c>
      <c r="J66" s="452">
        <v>1470070.32</v>
      </c>
      <c r="K66" s="452">
        <v>2097766.77</v>
      </c>
      <c r="L66" s="452">
        <v>1473182.01</v>
      </c>
      <c r="M66" s="452">
        <v>2097766.77</v>
      </c>
      <c r="N66" s="452">
        <v>1476293.7</v>
      </c>
      <c r="O66" s="452">
        <v>2097766.77</v>
      </c>
      <c r="P66" s="452">
        <v>1479405.3900000001</v>
      </c>
      <c r="Q66" s="452">
        <v>2097766.77</v>
      </c>
      <c r="R66" s="452">
        <v>1482517.08</v>
      </c>
      <c r="S66" s="452">
        <v>2097766.77</v>
      </c>
      <c r="T66" s="452">
        <v>1485628.77</v>
      </c>
      <c r="U66" s="452">
        <v>2097766.77</v>
      </c>
      <c r="V66" s="452">
        <v>1488740.46</v>
      </c>
      <c r="W66" s="452">
        <v>2097766.77</v>
      </c>
      <c r="X66" s="452">
        <v>1491852.15</v>
      </c>
      <c r="Y66" s="452">
        <v>2097766.77</v>
      </c>
      <c r="Z66" s="452">
        <v>1494963.84</v>
      </c>
      <c r="AA66" s="452">
        <v>2097766.77</v>
      </c>
      <c r="AB66" s="452">
        <v>1498075.53</v>
      </c>
      <c r="AC66" s="452">
        <v>2097766.77</v>
      </c>
      <c r="AD66" s="452">
        <v>1501187.22</v>
      </c>
      <c r="AE66" s="452">
        <f t="shared" si="3"/>
        <v>2097766.77</v>
      </c>
      <c r="AF66" s="452">
        <f t="shared" si="3"/>
        <v>1482517.08</v>
      </c>
    </row>
    <row r="67" spans="1:32">
      <c r="A67" s="446">
        <v>58</v>
      </c>
      <c r="C67" s="24" t="s">
        <v>880</v>
      </c>
      <c r="D67" s="24" t="s">
        <v>866</v>
      </c>
      <c r="E67" s="452">
        <v>22436101.879999999</v>
      </c>
      <c r="F67" s="452">
        <v>5987789.96</v>
      </c>
      <c r="G67" s="452">
        <v>22415457.609999999</v>
      </c>
      <c r="H67" s="452">
        <v>6018279.5999999996</v>
      </c>
      <c r="I67" s="452">
        <v>22449834.93</v>
      </c>
      <c r="J67" s="452">
        <v>6051815.3899999997</v>
      </c>
      <c r="K67" s="452">
        <v>22558546.760000002</v>
      </c>
      <c r="L67" s="452">
        <v>6087735.1299999999</v>
      </c>
      <c r="M67" s="452">
        <v>22498581.940000001</v>
      </c>
      <c r="N67" s="452">
        <v>6119546.3799999999</v>
      </c>
      <c r="O67" s="452">
        <v>22507090.149999999</v>
      </c>
      <c r="P67" s="452">
        <v>6117780.5099999998</v>
      </c>
      <c r="Q67" s="452">
        <v>23436311.629999999</v>
      </c>
      <c r="R67" s="452">
        <v>6153320.9199999999</v>
      </c>
      <c r="S67" s="452">
        <v>23520464.469999999</v>
      </c>
      <c r="T67" s="452">
        <v>6186702.2599999998</v>
      </c>
      <c r="U67" s="452">
        <v>23606781.100000001</v>
      </c>
      <c r="V67" s="452">
        <v>6174680</v>
      </c>
      <c r="W67" s="452">
        <v>24157840.940000001</v>
      </c>
      <c r="X67" s="452">
        <v>6212450.8499999996</v>
      </c>
      <c r="Y67" s="452">
        <v>24242516.460000001</v>
      </c>
      <c r="Z67" s="452">
        <v>6220048.04</v>
      </c>
      <c r="AA67" s="452">
        <v>24548567.699999999</v>
      </c>
      <c r="AB67" s="452">
        <v>6228926.6500000004</v>
      </c>
      <c r="AC67" s="452">
        <v>25599862.800000001</v>
      </c>
      <c r="AD67" s="452">
        <v>6268204.3600000003</v>
      </c>
      <c r="AE67" s="452">
        <f t="shared" si="3"/>
        <v>23329998.002499998</v>
      </c>
      <c r="AF67" s="452">
        <f t="shared" si="3"/>
        <v>6141606.9074999997</v>
      </c>
    </row>
    <row r="68" spans="1:32">
      <c r="A68" s="446">
        <v>59</v>
      </c>
      <c r="C68" s="24" t="s">
        <v>881</v>
      </c>
      <c r="D68" s="24" t="s">
        <v>866</v>
      </c>
      <c r="E68" s="452">
        <v>130923599.2</v>
      </c>
      <c r="F68" s="452">
        <v>49663854.890000001</v>
      </c>
      <c r="G68" s="452">
        <v>132332881.73</v>
      </c>
      <c r="H68" s="452">
        <v>50076063.969999999</v>
      </c>
      <c r="I68" s="452">
        <v>133094871.36</v>
      </c>
      <c r="J68" s="452">
        <v>50486820.909999996</v>
      </c>
      <c r="K68" s="452">
        <v>133983648.92</v>
      </c>
      <c r="L68" s="452">
        <v>50906646.460000001</v>
      </c>
      <c r="M68" s="452">
        <v>134936279.41</v>
      </c>
      <c r="N68" s="452">
        <v>51330840.289999999</v>
      </c>
      <c r="O68" s="452">
        <v>136394856.5</v>
      </c>
      <c r="P68" s="452">
        <v>51759981.020000003</v>
      </c>
      <c r="Q68" s="452">
        <v>137743445.83000001</v>
      </c>
      <c r="R68" s="452">
        <v>52187847.490000002</v>
      </c>
      <c r="S68" s="452">
        <v>139037096.52000001</v>
      </c>
      <c r="T68" s="452">
        <v>52622138.159999996</v>
      </c>
      <c r="U68" s="452">
        <v>140108686.43000001</v>
      </c>
      <c r="V68" s="452">
        <v>53067273.030000001</v>
      </c>
      <c r="W68" s="452">
        <v>141392550.86000001</v>
      </c>
      <c r="X68" s="452">
        <v>53519768</v>
      </c>
      <c r="Y68" s="452">
        <v>143370497.22999999</v>
      </c>
      <c r="Z68" s="452">
        <v>53968448.850000001</v>
      </c>
      <c r="AA68" s="452">
        <v>144375197.65000001</v>
      </c>
      <c r="AB68" s="452">
        <v>54408081.259999998</v>
      </c>
      <c r="AC68" s="452">
        <v>146616703.03999999</v>
      </c>
      <c r="AD68" s="452">
        <v>54842146.780000001</v>
      </c>
      <c r="AE68" s="452">
        <f t="shared" si="3"/>
        <v>137961680.29666665</v>
      </c>
      <c r="AF68" s="452">
        <f t="shared" si="3"/>
        <v>52215575.856249996</v>
      </c>
    </row>
    <row r="69" spans="1:32">
      <c r="A69" s="446">
        <v>60</v>
      </c>
      <c r="C69" s="24" t="s">
        <v>882</v>
      </c>
      <c r="D69" s="24" t="s">
        <v>866</v>
      </c>
      <c r="E69" s="452">
        <v>62228709.439999998</v>
      </c>
      <c r="F69" s="452">
        <v>93345534.5</v>
      </c>
      <c r="G69" s="452">
        <v>62177550.359999999</v>
      </c>
      <c r="H69" s="452">
        <v>93423761.219999999</v>
      </c>
      <c r="I69" s="452">
        <v>62163585.369999997</v>
      </c>
      <c r="J69" s="452">
        <v>93474597</v>
      </c>
      <c r="K69" s="452">
        <v>62156756.439999998</v>
      </c>
      <c r="L69" s="452">
        <v>93636493.230000004</v>
      </c>
      <c r="M69" s="452">
        <v>62144887.159999996</v>
      </c>
      <c r="N69" s="452">
        <v>93775015.409999996</v>
      </c>
      <c r="O69" s="452">
        <v>62144888.009999998</v>
      </c>
      <c r="P69" s="452">
        <v>93886522.650000006</v>
      </c>
      <c r="Q69" s="452">
        <v>62143627.539999999</v>
      </c>
      <c r="R69" s="452">
        <v>94025528.219999999</v>
      </c>
      <c r="S69" s="452">
        <v>62143627.600000001</v>
      </c>
      <c r="T69" s="452">
        <v>94124275.239999995</v>
      </c>
      <c r="U69" s="452">
        <v>62141310.5</v>
      </c>
      <c r="V69" s="452">
        <v>94275793.319999993</v>
      </c>
      <c r="W69" s="452">
        <v>62143085.75</v>
      </c>
      <c r="X69" s="452">
        <v>94438119.299999997</v>
      </c>
      <c r="Y69" s="452">
        <v>62167487.270000003</v>
      </c>
      <c r="Z69" s="452">
        <v>94565449.409999996</v>
      </c>
      <c r="AA69" s="452">
        <v>62152142.090000004</v>
      </c>
      <c r="AB69" s="452">
        <v>94506664.209999993</v>
      </c>
      <c r="AC69" s="452">
        <v>62126401.859999999</v>
      </c>
      <c r="AD69" s="452">
        <v>94458601.310000002</v>
      </c>
      <c r="AE69" s="452">
        <f t="shared" si="3"/>
        <v>62154708.645000003</v>
      </c>
      <c r="AF69" s="452">
        <f t="shared" si="3"/>
        <v>94002857.259583339</v>
      </c>
    </row>
    <row r="70" spans="1:32">
      <c r="A70" s="446">
        <v>61</v>
      </c>
      <c r="C70" s="24" t="s">
        <v>883</v>
      </c>
      <c r="D70" s="24" t="s">
        <v>866</v>
      </c>
      <c r="E70" s="452">
        <v>0</v>
      </c>
      <c r="F70" s="452">
        <v>0.01</v>
      </c>
      <c r="G70" s="452">
        <v>0</v>
      </c>
      <c r="H70" s="452">
        <v>0.01</v>
      </c>
      <c r="I70" s="452">
        <v>0</v>
      </c>
      <c r="J70" s="452">
        <v>0.01</v>
      </c>
      <c r="K70" s="452">
        <v>0</v>
      </c>
      <c r="L70" s="452">
        <v>0.01</v>
      </c>
      <c r="M70" s="452">
        <v>0</v>
      </c>
      <c r="N70" s="452">
        <v>0.01</v>
      </c>
      <c r="O70" s="452">
        <v>0</v>
      </c>
      <c r="P70" s="452">
        <v>0.01</v>
      </c>
      <c r="Q70" s="452">
        <v>0</v>
      </c>
      <c r="R70" s="452">
        <v>0.01</v>
      </c>
      <c r="S70" s="452">
        <v>0</v>
      </c>
      <c r="T70" s="452">
        <v>0.01</v>
      </c>
      <c r="U70" s="452">
        <v>0</v>
      </c>
      <c r="V70" s="452">
        <v>0.01</v>
      </c>
      <c r="W70" s="452">
        <v>0</v>
      </c>
      <c r="X70" s="452">
        <v>0.01</v>
      </c>
      <c r="Y70" s="452">
        <v>0</v>
      </c>
      <c r="Z70" s="452">
        <v>0.01</v>
      </c>
      <c r="AA70" s="452">
        <v>0</v>
      </c>
      <c r="AB70" s="452">
        <v>0.01</v>
      </c>
      <c r="AC70" s="452">
        <v>0</v>
      </c>
      <c r="AD70" s="452">
        <v>0.01</v>
      </c>
      <c r="AE70" s="452">
        <f t="shared" si="3"/>
        <v>0</v>
      </c>
      <c r="AF70" s="452">
        <f t="shared" si="3"/>
        <v>9.9999999999999985E-3</v>
      </c>
    </row>
    <row r="71" spans="1:32">
      <c r="A71" s="446">
        <v>62</v>
      </c>
      <c r="C71" s="24" t="s">
        <v>884</v>
      </c>
      <c r="D71" s="24" t="s">
        <v>866</v>
      </c>
      <c r="E71" s="452">
        <v>23995708.359999999</v>
      </c>
      <c r="F71" s="452">
        <v>11207165</v>
      </c>
      <c r="G71" s="452">
        <v>24009499.109999999</v>
      </c>
      <c r="H71" s="452">
        <v>11244018.880000001</v>
      </c>
      <c r="I71" s="452">
        <v>24028445.699999999</v>
      </c>
      <c r="J71" s="452">
        <v>11277197.380000001</v>
      </c>
      <c r="K71" s="452">
        <v>24046225.010000002</v>
      </c>
      <c r="L71" s="452">
        <v>11313809.380000001</v>
      </c>
      <c r="M71" s="452">
        <v>24040527.699999999</v>
      </c>
      <c r="N71" s="452">
        <v>11333367.210000001</v>
      </c>
      <c r="O71" s="452">
        <v>24074886.859999999</v>
      </c>
      <c r="P71" s="452">
        <v>11370320.949999999</v>
      </c>
      <c r="Q71" s="452">
        <v>24091655.710000001</v>
      </c>
      <c r="R71" s="452">
        <v>11407511.59</v>
      </c>
      <c r="S71" s="452">
        <v>24106981.829999998</v>
      </c>
      <c r="T71" s="452">
        <v>11444547.720000001</v>
      </c>
      <c r="U71" s="452">
        <v>24110435.620000001</v>
      </c>
      <c r="V71" s="452">
        <v>11470461.039999999</v>
      </c>
      <c r="W71" s="452">
        <v>24120106.18</v>
      </c>
      <c r="X71" s="452">
        <v>11507832.220000001</v>
      </c>
      <c r="Y71" s="452">
        <v>24143286.52</v>
      </c>
      <c r="Z71" s="452">
        <v>11544598.16</v>
      </c>
      <c r="AA71" s="452">
        <v>24151932.48</v>
      </c>
      <c r="AB71" s="452">
        <v>11577400.66</v>
      </c>
      <c r="AC71" s="452">
        <v>24129820.09</v>
      </c>
      <c r="AD71" s="452">
        <v>11609933</v>
      </c>
      <c r="AE71" s="452">
        <f t="shared" si="3"/>
        <v>24082228.912083339</v>
      </c>
      <c r="AF71" s="452">
        <f t="shared" si="3"/>
        <v>11408301.182499999</v>
      </c>
    </row>
    <row r="72" spans="1:32">
      <c r="A72" s="446">
        <v>63</v>
      </c>
      <c r="C72" s="24" t="s">
        <v>885</v>
      </c>
      <c r="D72" s="24" t="s">
        <v>866</v>
      </c>
      <c r="E72" s="452">
        <v>9441928.3100000005</v>
      </c>
      <c r="F72" s="452">
        <v>3952589.04</v>
      </c>
      <c r="G72" s="452">
        <v>9454018.0099999998</v>
      </c>
      <c r="H72" s="452">
        <v>3965194.13</v>
      </c>
      <c r="I72" s="452">
        <v>9458587.6999999993</v>
      </c>
      <c r="J72" s="452">
        <v>3968323.86</v>
      </c>
      <c r="K72" s="452">
        <v>9459900.9499999993</v>
      </c>
      <c r="L72" s="452">
        <v>3970771.91</v>
      </c>
      <c r="M72" s="452">
        <v>9473642.7100000009</v>
      </c>
      <c r="N72" s="452">
        <v>3987990.24</v>
      </c>
      <c r="O72" s="452">
        <v>9457659.2300000004</v>
      </c>
      <c r="P72" s="452">
        <v>3996840.83</v>
      </c>
      <c r="Q72" s="452">
        <v>9464898.5399999991</v>
      </c>
      <c r="R72" s="452">
        <v>4013262.13</v>
      </c>
      <c r="S72" s="452">
        <v>9507831.6600000001</v>
      </c>
      <c r="T72" s="452">
        <v>4027747.17</v>
      </c>
      <c r="U72" s="452">
        <v>9548823.1099999994</v>
      </c>
      <c r="V72" s="452">
        <v>4041969.8</v>
      </c>
      <c r="W72" s="452">
        <v>9598790.9299999997</v>
      </c>
      <c r="X72" s="452">
        <v>4046489.75</v>
      </c>
      <c r="Y72" s="452">
        <v>9623421.2200000007</v>
      </c>
      <c r="Z72" s="452">
        <v>4062865.35</v>
      </c>
      <c r="AA72" s="452">
        <v>9642433.2200000007</v>
      </c>
      <c r="AB72" s="452">
        <v>4075168.64</v>
      </c>
      <c r="AC72" s="452">
        <v>9718288.5999999996</v>
      </c>
      <c r="AD72" s="452">
        <v>4089802.52</v>
      </c>
      <c r="AE72" s="452">
        <f t="shared" si="3"/>
        <v>9522509.6445833333</v>
      </c>
      <c r="AF72" s="452">
        <f t="shared" si="3"/>
        <v>4014818.2991666663</v>
      </c>
    </row>
    <row r="73" spans="1:32">
      <c r="A73" s="446">
        <v>64</v>
      </c>
      <c r="C73" s="24" t="s">
        <v>886</v>
      </c>
      <c r="D73" s="24" t="s">
        <v>866</v>
      </c>
      <c r="E73" s="452">
        <v>0</v>
      </c>
      <c r="F73" s="452">
        <v>-305.76</v>
      </c>
      <c r="G73" s="452">
        <v>0</v>
      </c>
      <c r="H73" s="452">
        <v>-305.76</v>
      </c>
      <c r="I73" s="452">
        <v>0</v>
      </c>
      <c r="J73" s="452">
        <v>-305.76</v>
      </c>
      <c r="K73" s="452">
        <v>0</v>
      </c>
      <c r="L73" s="452">
        <v>-305.76</v>
      </c>
      <c r="M73" s="452">
        <v>0</v>
      </c>
      <c r="N73" s="452">
        <v>-305.76</v>
      </c>
      <c r="O73" s="452">
        <v>0</v>
      </c>
      <c r="P73" s="452">
        <v>-305.76</v>
      </c>
      <c r="Q73" s="452">
        <v>0</v>
      </c>
      <c r="R73" s="452">
        <v>-305.76</v>
      </c>
      <c r="S73" s="452">
        <v>0</v>
      </c>
      <c r="T73" s="452">
        <v>-305.76</v>
      </c>
      <c r="U73" s="452">
        <v>0</v>
      </c>
      <c r="V73" s="452">
        <v>-305.76</v>
      </c>
      <c r="W73" s="452">
        <v>0</v>
      </c>
      <c r="X73" s="452">
        <v>-305.76</v>
      </c>
      <c r="Y73" s="452">
        <v>0</v>
      </c>
      <c r="Z73" s="452">
        <v>-305.76</v>
      </c>
      <c r="AA73" s="452">
        <v>0</v>
      </c>
      <c r="AB73" s="452">
        <v>-305.76</v>
      </c>
      <c r="AC73" s="452">
        <v>0</v>
      </c>
      <c r="AD73" s="452">
        <v>0</v>
      </c>
      <c r="AE73" s="452">
        <f t="shared" si="3"/>
        <v>0</v>
      </c>
      <c r="AF73" s="452">
        <f t="shared" si="3"/>
        <v>-293.02000000000004</v>
      </c>
    </row>
    <row r="74" spans="1:32">
      <c r="A74" s="446">
        <v>65</v>
      </c>
      <c r="C74" s="24" t="s">
        <v>887</v>
      </c>
      <c r="D74" s="24" t="s">
        <v>866</v>
      </c>
      <c r="E74" s="452">
        <v>2020069.02</v>
      </c>
      <c r="F74" s="452">
        <v>0</v>
      </c>
      <c r="G74" s="452">
        <v>2020069.02</v>
      </c>
      <c r="H74" s="452">
        <v>0</v>
      </c>
      <c r="I74" s="452">
        <v>2020069.02</v>
      </c>
      <c r="J74" s="452">
        <v>0</v>
      </c>
      <c r="K74" s="452">
        <v>2020069.02</v>
      </c>
      <c r="L74" s="452">
        <v>0</v>
      </c>
      <c r="M74" s="452">
        <v>2020069.02</v>
      </c>
      <c r="N74" s="452">
        <v>0</v>
      </c>
      <c r="O74" s="452">
        <v>2020069.02</v>
      </c>
      <c r="P74" s="452">
        <v>0</v>
      </c>
      <c r="Q74" s="452">
        <v>2020069.02</v>
      </c>
      <c r="R74" s="452">
        <v>0</v>
      </c>
      <c r="S74" s="452">
        <v>2020069.02</v>
      </c>
      <c r="T74" s="452">
        <v>0</v>
      </c>
      <c r="U74" s="452">
        <v>2020069.02</v>
      </c>
      <c r="V74" s="452">
        <v>0</v>
      </c>
      <c r="W74" s="452">
        <v>2558710.29</v>
      </c>
      <c r="X74" s="452">
        <v>0</v>
      </c>
      <c r="Y74" s="452">
        <v>2558710.29</v>
      </c>
      <c r="Z74" s="452">
        <v>0</v>
      </c>
      <c r="AA74" s="452">
        <v>2558710.29</v>
      </c>
      <c r="AB74" s="452">
        <v>0</v>
      </c>
      <c r="AC74" s="452">
        <v>2549877.4</v>
      </c>
      <c r="AD74" s="452">
        <v>0</v>
      </c>
      <c r="AE74" s="452">
        <f t="shared" si="3"/>
        <v>2176804.6866666665</v>
      </c>
      <c r="AF74" s="452">
        <f t="shared" si="3"/>
        <v>0</v>
      </c>
    </row>
    <row r="75" spans="1:32">
      <c r="A75" s="446">
        <v>66</v>
      </c>
      <c r="C75" s="24" t="s">
        <v>888</v>
      </c>
      <c r="D75" s="24" t="s">
        <v>866</v>
      </c>
      <c r="E75" s="452">
        <v>7933.28</v>
      </c>
      <c r="F75" s="452">
        <v>4703.88</v>
      </c>
      <c r="G75" s="452">
        <v>7933.28</v>
      </c>
      <c r="H75" s="452">
        <v>4703.88</v>
      </c>
      <c r="I75" s="452">
        <v>7933.28</v>
      </c>
      <c r="J75" s="452">
        <v>4703.88</v>
      </c>
      <c r="K75" s="452">
        <v>7933.28</v>
      </c>
      <c r="L75" s="452">
        <v>4703.88</v>
      </c>
      <c r="M75" s="452">
        <v>7933.28</v>
      </c>
      <c r="N75" s="452">
        <v>4703.88</v>
      </c>
      <c r="O75" s="452">
        <v>7933.28</v>
      </c>
      <c r="P75" s="452">
        <v>4703.88</v>
      </c>
      <c r="Q75" s="452">
        <v>7933.28</v>
      </c>
      <c r="R75" s="452">
        <v>4703.88</v>
      </c>
      <c r="S75" s="452">
        <v>7933.28</v>
      </c>
      <c r="T75" s="452">
        <v>4703.88</v>
      </c>
      <c r="U75" s="452">
        <v>7933.28</v>
      </c>
      <c r="V75" s="452">
        <v>4703.88</v>
      </c>
      <c r="W75" s="452">
        <v>7933.28</v>
      </c>
      <c r="X75" s="452">
        <v>4703.88</v>
      </c>
      <c r="Y75" s="452">
        <v>7933.28</v>
      </c>
      <c r="Z75" s="452">
        <v>4703.88</v>
      </c>
      <c r="AA75" s="452">
        <v>7933.28</v>
      </c>
      <c r="AB75" s="452">
        <v>4703.88</v>
      </c>
      <c r="AC75" s="452">
        <v>7933.28</v>
      </c>
      <c r="AD75" s="452">
        <v>4703.88</v>
      </c>
      <c r="AE75" s="452">
        <f t="shared" si="3"/>
        <v>7933.28</v>
      </c>
      <c r="AF75" s="452">
        <f t="shared" si="3"/>
        <v>4703.8799999999992</v>
      </c>
    </row>
    <row r="76" spans="1:32">
      <c r="A76" s="446">
        <v>67</v>
      </c>
      <c r="C76" s="24" t="s">
        <v>889</v>
      </c>
      <c r="D76" s="24" t="s">
        <v>866</v>
      </c>
      <c r="E76" s="452">
        <v>9555549.6300000008</v>
      </c>
      <c r="F76" s="452">
        <v>4799302.57</v>
      </c>
      <c r="G76" s="452">
        <v>9562360.2200000007</v>
      </c>
      <c r="H76" s="452">
        <v>4809176.6399999997</v>
      </c>
      <c r="I76" s="452">
        <v>9559168.8499999996</v>
      </c>
      <c r="J76" s="452">
        <v>4808721.75</v>
      </c>
      <c r="K76" s="452">
        <v>9539433.9399999995</v>
      </c>
      <c r="L76" s="452">
        <v>4818500.26</v>
      </c>
      <c r="M76" s="452">
        <v>12328441.6</v>
      </c>
      <c r="N76" s="452">
        <v>4828357.68</v>
      </c>
      <c r="O76" s="452">
        <v>12354137.25</v>
      </c>
      <c r="P76" s="452">
        <v>4841097.07</v>
      </c>
      <c r="Q76" s="452">
        <v>12354280.359999999</v>
      </c>
      <c r="R76" s="452">
        <v>4853863.01</v>
      </c>
      <c r="S76" s="452">
        <v>12358344.220000001</v>
      </c>
      <c r="T76" s="452">
        <v>4865853.03</v>
      </c>
      <c r="U76" s="452">
        <v>12359983.75</v>
      </c>
      <c r="V76" s="452">
        <v>4878623.32</v>
      </c>
      <c r="W76" s="452">
        <v>12360374.58</v>
      </c>
      <c r="X76" s="452">
        <v>4891395.3</v>
      </c>
      <c r="Y76" s="452">
        <v>12360374.58</v>
      </c>
      <c r="Z76" s="452">
        <v>4904167.6900000004</v>
      </c>
      <c r="AA76" s="452">
        <v>12383866.98</v>
      </c>
      <c r="AB76" s="452">
        <v>4916434.0600000005</v>
      </c>
      <c r="AC76" s="452">
        <v>12467225.67</v>
      </c>
      <c r="AD76" s="452">
        <v>4929230.72</v>
      </c>
      <c r="AE76" s="452">
        <f t="shared" si="3"/>
        <v>11544346.164999999</v>
      </c>
      <c r="AF76" s="452">
        <f t="shared" si="3"/>
        <v>4856704.7045833329</v>
      </c>
    </row>
    <row r="77" spans="1:32">
      <c r="A77" s="446">
        <v>68</v>
      </c>
      <c r="C77" s="24" t="s">
        <v>890</v>
      </c>
      <c r="D77" s="24" t="s">
        <v>866</v>
      </c>
      <c r="E77" s="452">
        <v>102325.73</v>
      </c>
      <c r="F77" s="452">
        <v>39019.07</v>
      </c>
      <c r="G77" s="452">
        <v>102325.73</v>
      </c>
      <c r="H77" s="452">
        <v>40500.230000000003</v>
      </c>
      <c r="I77" s="452">
        <v>102325.73</v>
      </c>
      <c r="J77" s="452">
        <v>41981.39</v>
      </c>
      <c r="K77" s="452">
        <v>102325.73</v>
      </c>
      <c r="L77" s="452">
        <v>43462.55</v>
      </c>
      <c r="M77" s="452">
        <v>102325.73</v>
      </c>
      <c r="N77" s="452">
        <v>44943.71</v>
      </c>
      <c r="O77" s="452">
        <v>102325.73</v>
      </c>
      <c r="P77" s="452">
        <v>46424.87</v>
      </c>
      <c r="Q77" s="452">
        <v>102325.73</v>
      </c>
      <c r="R77" s="452">
        <v>47906.03</v>
      </c>
      <c r="S77" s="452">
        <v>102325.73</v>
      </c>
      <c r="T77" s="452">
        <v>49387.19</v>
      </c>
      <c r="U77" s="452">
        <v>113762.56</v>
      </c>
      <c r="V77" s="452">
        <v>50868.35</v>
      </c>
      <c r="W77" s="452">
        <v>114979.17</v>
      </c>
      <c r="X77" s="452">
        <v>52515.06</v>
      </c>
      <c r="Y77" s="452">
        <v>114979.17</v>
      </c>
      <c r="Z77" s="452">
        <v>54179.380000000005</v>
      </c>
      <c r="AA77" s="452">
        <v>114979.17</v>
      </c>
      <c r="AB77" s="452">
        <v>55843.700000000004</v>
      </c>
      <c r="AC77" s="452">
        <v>114769.47</v>
      </c>
      <c r="AD77" s="452">
        <v>57508.020000000004</v>
      </c>
      <c r="AE77" s="452">
        <f t="shared" si="3"/>
        <v>106960.64833333333</v>
      </c>
      <c r="AF77" s="452">
        <f t="shared" si="3"/>
        <v>48023.000416666669</v>
      </c>
    </row>
    <row r="78" spans="1:32">
      <c r="A78" s="446">
        <v>69</v>
      </c>
      <c r="C78" s="24" t="s">
        <v>891</v>
      </c>
      <c r="D78" s="24" t="s">
        <v>866</v>
      </c>
      <c r="E78" s="452">
        <v>447968.56</v>
      </c>
      <c r="F78" s="452">
        <v>123514.99</v>
      </c>
      <c r="G78" s="452">
        <v>447968.56</v>
      </c>
      <c r="H78" s="452">
        <v>125374.06</v>
      </c>
      <c r="I78" s="452">
        <v>447968.56</v>
      </c>
      <c r="J78" s="452">
        <v>127233.13</v>
      </c>
      <c r="K78" s="452">
        <v>441814.81</v>
      </c>
      <c r="L78" s="452">
        <v>129092.2</v>
      </c>
      <c r="M78" s="452">
        <v>441814.81</v>
      </c>
      <c r="N78" s="452">
        <v>130925.73</v>
      </c>
      <c r="O78" s="452">
        <v>441814.81</v>
      </c>
      <c r="P78" s="452">
        <v>132759.26</v>
      </c>
      <c r="Q78" s="452">
        <v>441814.81</v>
      </c>
      <c r="R78" s="452">
        <v>134592.79</v>
      </c>
      <c r="S78" s="452">
        <v>441814.81</v>
      </c>
      <c r="T78" s="452">
        <v>136426.32</v>
      </c>
      <c r="U78" s="452">
        <v>446171.05</v>
      </c>
      <c r="V78" s="452">
        <v>138259.85</v>
      </c>
      <c r="W78" s="452">
        <v>446171.05</v>
      </c>
      <c r="X78" s="452">
        <v>140111.46</v>
      </c>
      <c r="Y78" s="452">
        <v>446171.05</v>
      </c>
      <c r="Z78" s="452">
        <v>141963.07</v>
      </c>
      <c r="AA78" s="452">
        <v>446171.05</v>
      </c>
      <c r="AB78" s="452">
        <v>143814.68</v>
      </c>
      <c r="AC78" s="452">
        <v>446098.85000000003</v>
      </c>
      <c r="AD78" s="452">
        <v>145666.29</v>
      </c>
      <c r="AE78" s="452">
        <f t="shared" si="3"/>
        <v>444727.4229166666</v>
      </c>
      <c r="AF78" s="452">
        <f t="shared" si="3"/>
        <v>134595.26583333334</v>
      </c>
    </row>
    <row r="79" spans="1:32">
      <c r="A79" s="446">
        <v>70</v>
      </c>
      <c r="C79" s="24" t="s">
        <v>892</v>
      </c>
      <c r="D79" s="24" t="s">
        <v>866</v>
      </c>
      <c r="E79" s="452">
        <v>208790.52000000002</v>
      </c>
      <c r="F79" s="452">
        <v>97529.52</v>
      </c>
      <c r="G79" s="452">
        <v>208790.52000000002</v>
      </c>
      <c r="H79" s="452">
        <v>98077.59</v>
      </c>
      <c r="I79" s="452">
        <v>208790.52000000002</v>
      </c>
      <c r="J79" s="452">
        <v>98625.66</v>
      </c>
      <c r="K79" s="452">
        <v>208790.52000000002</v>
      </c>
      <c r="L79" s="452">
        <v>99173.73</v>
      </c>
      <c r="M79" s="452">
        <v>208790.52000000002</v>
      </c>
      <c r="N79" s="452">
        <v>99721.8</v>
      </c>
      <c r="O79" s="452">
        <v>208790.52000000002</v>
      </c>
      <c r="P79" s="452">
        <v>100269.87</v>
      </c>
      <c r="Q79" s="452">
        <v>208790.52000000002</v>
      </c>
      <c r="R79" s="452">
        <v>100817.94</v>
      </c>
      <c r="S79" s="452">
        <v>208790.52000000002</v>
      </c>
      <c r="T79" s="452">
        <v>101366.01000000001</v>
      </c>
      <c r="U79" s="452">
        <v>208790.52000000002</v>
      </c>
      <c r="V79" s="452">
        <v>101914.08</v>
      </c>
      <c r="W79" s="452">
        <v>203549.89</v>
      </c>
      <c r="X79" s="452">
        <v>97721.52</v>
      </c>
      <c r="Y79" s="452">
        <v>203549.89</v>
      </c>
      <c r="Z79" s="452">
        <v>98255.84</v>
      </c>
      <c r="AA79" s="452">
        <v>203549.89</v>
      </c>
      <c r="AB79" s="452">
        <v>98790.16</v>
      </c>
      <c r="AC79" s="452">
        <v>203549.89</v>
      </c>
      <c r="AD79" s="452">
        <v>99324.479999999996</v>
      </c>
      <c r="AE79" s="452">
        <f t="shared" si="3"/>
        <v>207262.00291666671</v>
      </c>
      <c r="AF79" s="452">
        <f t="shared" si="3"/>
        <v>99430.099999999991</v>
      </c>
    </row>
    <row r="80" spans="1:32">
      <c r="A80" s="446">
        <v>71</v>
      </c>
      <c r="C80" s="24" t="s">
        <v>893</v>
      </c>
      <c r="D80" s="24" t="s">
        <v>866</v>
      </c>
      <c r="E80" s="452">
        <v>11132770.07</v>
      </c>
      <c r="F80" s="452">
        <v>3665685.4</v>
      </c>
      <c r="G80" s="452">
        <v>11216656.800000001</v>
      </c>
      <c r="H80" s="452">
        <v>3722740.84</v>
      </c>
      <c r="I80" s="452">
        <v>11034806.4</v>
      </c>
      <c r="J80" s="452">
        <v>3645780.09</v>
      </c>
      <c r="K80" s="452">
        <v>11040618.57</v>
      </c>
      <c r="L80" s="452">
        <v>3684844.69</v>
      </c>
      <c r="M80" s="452">
        <v>11082041.82</v>
      </c>
      <c r="N80" s="452">
        <v>3702527.61</v>
      </c>
      <c r="O80" s="452">
        <v>11145849.17</v>
      </c>
      <c r="P80" s="452">
        <v>3748029.0300000003</v>
      </c>
      <c r="Q80" s="452">
        <v>11090363.529999999</v>
      </c>
      <c r="R80" s="452">
        <v>3681116.13</v>
      </c>
      <c r="S80" s="452">
        <v>10944183</v>
      </c>
      <c r="T80" s="452">
        <v>3622538.86</v>
      </c>
      <c r="U80" s="452">
        <v>11163686.34</v>
      </c>
      <c r="V80" s="452">
        <v>3687335.95</v>
      </c>
      <c r="W80" s="452">
        <v>11275500.68</v>
      </c>
      <c r="X80" s="452">
        <v>3590028.3</v>
      </c>
      <c r="Y80" s="452">
        <v>11221880.85</v>
      </c>
      <c r="Z80" s="452">
        <v>3581881.02</v>
      </c>
      <c r="AA80" s="452">
        <v>11021655.4</v>
      </c>
      <c r="AB80" s="452">
        <v>3496945.23</v>
      </c>
      <c r="AC80" s="452">
        <v>11625924.470000001</v>
      </c>
      <c r="AD80" s="452">
        <v>3502362.43</v>
      </c>
      <c r="AE80" s="452">
        <f t="shared" si="3"/>
        <v>11134715.819166666</v>
      </c>
      <c r="AF80" s="452">
        <f t="shared" si="3"/>
        <v>3645649.305416666</v>
      </c>
    </row>
    <row r="81" spans="1:32">
      <c r="A81" s="446">
        <v>72</v>
      </c>
      <c r="C81" s="24" t="s">
        <v>894</v>
      </c>
      <c r="D81" s="24" t="s">
        <v>866</v>
      </c>
      <c r="E81" s="452">
        <v>23837.02</v>
      </c>
      <c r="F81" s="452">
        <v>11691.89</v>
      </c>
      <c r="G81" s="452">
        <v>23837.02</v>
      </c>
      <c r="H81" s="452">
        <v>11797.960000000001</v>
      </c>
      <c r="I81" s="452">
        <v>23837.02</v>
      </c>
      <c r="J81" s="452">
        <v>11904.03</v>
      </c>
      <c r="K81" s="452">
        <v>23837.02</v>
      </c>
      <c r="L81" s="452">
        <v>12010.1</v>
      </c>
      <c r="M81" s="452">
        <v>23837.02</v>
      </c>
      <c r="N81" s="452">
        <v>12116.17</v>
      </c>
      <c r="O81" s="452">
        <v>23837.02</v>
      </c>
      <c r="P81" s="452">
        <v>12222.24</v>
      </c>
      <c r="Q81" s="452">
        <v>23837.02</v>
      </c>
      <c r="R81" s="452">
        <v>12328.31</v>
      </c>
      <c r="S81" s="452">
        <v>23837.02</v>
      </c>
      <c r="T81" s="452">
        <v>12434.380000000001</v>
      </c>
      <c r="U81" s="452">
        <v>23837.02</v>
      </c>
      <c r="V81" s="452">
        <v>12540.45</v>
      </c>
      <c r="W81" s="452">
        <v>23837.02</v>
      </c>
      <c r="X81" s="452">
        <v>12646.52</v>
      </c>
      <c r="Y81" s="452">
        <v>23837.02</v>
      </c>
      <c r="Z81" s="452">
        <v>12752.59</v>
      </c>
      <c r="AA81" s="452">
        <v>23837.02</v>
      </c>
      <c r="AB81" s="452">
        <v>12858.66</v>
      </c>
      <c r="AC81" s="452">
        <v>23837.02</v>
      </c>
      <c r="AD81" s="452">
        <v>12964.73</v>
      </c>
      <c r="AE81" s="452">
        <f t="shared" si="3"/>
        <v>23837.02</v>
      </c>
      <c r="AF81" s="452">
        <f t="shared" si="3"/>
        <v>12328.31</v>
      </c>
    </row>
    <row r="82" spans="1:32">
      <c r="A82" s="446">
        <v>73</v>
      </c>
      <c r="C82" s="24" t="s">
        <v>895</v>
      </c>
      <c r="D82" s="24" t="s">
        <v>866</v>
      </c>
      <c r="E82" s="452">
        <v>4876288.05</v>
      </c>
      <c r="F82" s="452">
        <v>1349016.6600000001</v>
      </c>
      <c r="G82" s="452">
        <v>4882862.6399999997</v>
      </c>
      <c r="H82" s="452">
        <v>1363482.98</v>
      </c>
      <c r="I82" s="452">
        <v>4911312.6100000003</v>
      </c>
      <c r="J82" s="452">
        <v>1377968.81</v>
      </c>
      <c r="K82" s="452">
        <v>4865469.66</v>
      </c>
      <c r="L82" s="452">
        <v>1326297.99</v>
      </c>
      <c r="M82" s="452">
        <v>4905803.05</v>
      </c>
      <c r="N82" s="452">
        <v>1340732.22</v>
      </c>
      <c r="O82" s="452">
        <v>4918419.63</v>
      </c>
      <c r="P82" s="452">
        <v>1355286.1</v>
      </c>
      <c r="Q82" s="452">
        <v>4964085.72</v>
      </c>
      <c r="R82" s="452">
        <v>1369877.4100000001</v>
      </c>
      <c r="S82" s="452">
        <v>4969215.47</v>
      </c>
      <c r="T82" s="452">
        <v>1384604.2</v>
      </c>
      <c r="U82" s="452">
        <v>4973980.4800000004</v>
      </c>
      <c r="V82" s="452">
        <v>1399346.21</v>
      </c>
      <c r="W82" s="452">
        <v>4979486.47</v>
      </c>
      <c r="X82" s="452">
        <v>1414102.35</v>
      </c>
      <c r="Y82" s="452">
        <v>4984424.6399999997</v>
      </c>
      <c r="Z82" s="452">
        <v>1428874.83</v>
      </c>
      <c r="AA82" s="452">
        <v>4984424.6399999997</v>
      </c>
      <c r="AB82" s="452">
        <v>1443661.96</v>
      </c>
      <c r="AC82" s="452">
        <v>5008038.0999999996</v>
      </c>
      <c r="AD82" s="452">
        <v>1458449.09</v>
      </c>
      <c r="AE82" s="452">
        <f t="shared" si="3"/>
        <v>4940137.3404166671</v>
      </c>
      <c r="AF82" s="452">
        <f t="shared" si="3"/>
        <v>1383997.3279166666</v>
      </c>
    </row>
    <row r="83" spans="1:32">
      <c r="A83" s="446">
        <v>74</v>
      </c>
      <c r="C83" s="24" t="s">
        <v>896</v>
      </c>
      <c r="D83" s="24" t="s">
        <v>866</v>
      </c>
      <c r="E83" s="452">
        <v>131231.01999999999</v>
      </c>
      <c r="F83" s="452">
        <v>120288.42</v>
      </c>
      <c r="G83" s="452">
        <v>131231.01999999999</v>
      </c>
      <c r="H83" s="452">
        <v>120489.64</v>
      </c>
      <c r="I83" s="452">
        <v>131231.01999999999</v>
      </c>
      <c r="J83" s="452">
        <v>120690.86</v>
      </c>
      <c r="K83" s="452">
        <v>131231.01999999999</v>
      </c>
      <c r="L83" s="452">
        <v>120892.08</v>
      </c>
      <c r="M83" s="452">
        <v>131231.01999999999</v>
      </c>
      <c r="N83" s="452">
        <v>121093.3</v>
      </c>
      <c r="O83" s="452">
        <v>131231.01999999999</v>
      </c>
      <c r="P83" s="452">
        <v>121294.52</v>
      </c>
      <c r="Q83" s="452">
        <v>131231.01999999999</v>
      </c>
      <c r="R83" s="452">
        <v>121495.74</v>
      </c>
      <c r="S83" s="452">
        <v>131231.01999999999</v>
      </c>
      <c r="T83" s="452">
        <v>121696.96000000001</v>
      </c>
      <c r="U83" s="452">
        <v>131231.01999999999</v>
      </c>
      <c r="V83" s="452">
        <v>121898.18000000001</v>
      </c>
      <c r="W83" s="452">
        <v>131231.01999999999</v>
      </c>
      <c r="X83" s="452">
        <v>122099.40000000001</v>
      </c>
      <c r="Y83" s="452">
        <v>131231.01999999999</v>
      </c>
      <c r="Z83" s="452">
        <v>122300.62</v>
      </c>
      <c r="AA83" s="452">
        <v>131231.01999999999</v>
      </c>
      <c r="AB83" s="452">
        <v>122501.84</v>
      </c>
      <c r="AC83" s="452">
        <v>131231.01999999999</v>
      </c>
      <c r="AD83" s="452">
        <v>122703.06</v>
      </c>
      <c r="AE83" s="452">
        <f t="shared" si="3"/>
        <v>131231.01999999999</v>
      </c>
      <c r="AF83" s="452">
        <f t="shared" si="3"/>
        <v>121495.73999999999</v>
      </c>
    </row>
    <row r="84" spans="1:32">
      <c r="A84" s="446">
        <v>75</v>
      </c>
      <c r="C84" s="24" t="s">
        <v>897</v>
      </c>
      <c r="D84" s="24" t="s">
        <v>866</v>
      </c>
      <c r="E84" s="452">
        <v>29277.34</v>
      </c>
      <c r="F84" s="452">
        <v>21813.78</v>
      </c>
      <c r="G84" s="452">
        <v>29277.34</v>
      </c>
      <c r="H84" s="452">
        <v>21926.010000000002</v>
      </c>
      <c r="I84" s="452">
        <v>29277.34</v>
      </c>
      <c r="J84" s="452">
        <v>22038.240000000002</v>
      </c>
      <c r="K84" s="452">
        <v>5249.37</v>
      </c>
      <c r="L84" s="452">
        <v>-1877.5</v>
      </c>
      <c r="M84" s="452">
        <v>5249.37</v>
      </c>
      <c r="N84" s="452">
        <v>-1857.38</v>
      </c>
      <c r="O84" s="452">
        <v>5249.37</v>
      </c>
      <c r="P84" s="452">
        <v>-1837.26</v>
      </c>
      <c r="Q84" s="452">
        <v>5249.37</v>
      </c>
      <c r="R84" s="452">
        <v>-1817.14</v>
      </c>
      <c r="S84" s="452">
        <v>5249.37</v>
      </c>
      <c r="T84" s="452">
        <v>-1797.02</v>
      </c>
      <c r="U84" s="452">
        <v>5249.37</v>
      </c>
      <c r="V84" s="452">
        <v>-1776.9</v>
      </c>
      <c r="W84" s="452">
        <v>5249.37</v>
      </c>
      <c r="X84" s="452">
        <v>-1756.78</v>
      </c>
      <c r="Y84" s="452">
        <v>5249.37</v>
      </c>
      <c r="Z84" s="452">
        <v>-1736.66</v>
      </c>
      <c r="AA84" s="452">
        <v>5249.37</v>
      </c>
      <c r="AB84" s="452">
        <v>-1716.54</v>
      </c>
      <c r="AC84" s="452">
        <v>5249.37</v>
      </c>
      <c r="AD84" s="452">
        <v>-1696.42</v>
      </c>
      <c r="AE84" s="452">
        <f t="shared" si="3"/>
        <v>10255.197083333331</v>
      </c>
      <c r="AF84" s="452">
        <f t="shared" si="3"/>
        <v>3154.1458333333335</v>
      </c>
    </row>
    <row r="85" spans="1:32">
      <c r="A85" s="446">
        <v>76</v>
      </c>
      <c r="C85" s="24" t="s">
        <v>898</v>
      </c>
      <c r="D85" s="24" t="s">
        <v>866</v>
      </c>
      <c r="E85" s="452">
        <v>3239948.69</v>
      </c>
      <c r="F85" s="452">
        <v>-419854.45</v>
      </c>
      <c r="G85" s="452">
        <v>3430954.87</v>
      </c>
      <c r="H85" s="452">
        <v>-405868.68</v>
      </c>
      <c r="I85" s="452">
        <v>2098101.27</v>
      </c>
      <c r="J85" s="452">
        <v>-707089.84</v>
      </c>
      <c r="K85" s="452">
        <v>2016277.52</v>
      </c>
      <c r="L85" s="452">
        <v>-780256.79</v>
      </c>
      <c r="M85" s="452">
        <v>2016277.52</v>
      </c>
      <c r="N85" s="452">
        <v>-702070.84</v>
      </c>
      <c r="O85" s="452">
        <v>2016277.52</v>
      </c>
      <c r="P85" s="452">
        <v>-693367.24</v>
      </c>
      <c r="Q85" s="452">
        <v>2016277.52</v>
      </c>
      <c r="R85" s="452">
        <v>-684663.64</v>
      </c>
      <c r="S85" s="452">
        <v>2009397.16</v>
      </c>
      <c r="T85" s="452">
        <v>-681665.4</v>
      </c>
      <c r="U85" s="452">
        <v>2016778.44</v>
      </c>
      <c r="V85" s="452">
        <v>-707508.42</v>
      </c>
      <c r="W85" s="452">
        <v>2018911.32</v>
      </c>
      <c r="X85" s="452">
        <v>-739225.71</v>
      </c>
      <c r="Y85" s="452">
        <v>2021410.82</v>
      </c>
      <c r="Z85" s="452">
        <v>-743214.12</v>
      </c>
      <c r="AA85" s="452">
        <v>2139026.92</v>
      </c>
      <c r="AB85" s="452">
        <v>-734488.36</v>
      </c>
      <c r="AC85" s="452">
        <v>2099536.96</v>
      </c>
      <c r="AD85" s="452">
        <v>-1005357.87</v>
      </c>
      <c r="AE85" s="452">
        <f t="shared" si="3"/>
        <v>2205786.1420833333</v>
      </c>
      <c r="AF85" s="452">
        <f t="shared" si="3"/>
        <v>-691002.1</v>
      </c>
    </row>
    <row r="86" spans="1:32">
      <c r="A86" s="446">
        <v>77</v>
      </c>
      <c r="C86" s="24" t="s">
        <v>899</v>
      </c>
      <c r="D86" s="24" t="s">
        <v>866</v>
      </c>
      <c r="E86" s="452">
        <v>621602.63</v>
      </c>
      <c r="F86" s="452">
        <v>179102.77</v>
      </c>
      <c r="G86" s="452">
        <v>621602.63</v>
      </c>
      <c r="H86" s="452">
        <v>180718.94</v>
      </c>
      <c r="I86" s="452">
        <v>607706.98</v>
      </c>
      <c r="J86" s="452">
        <v>171539.46</v>
      </c>
      <c r="K86" s="452">
        <v>553326.53</v>
      </c>
      <c r="L86" s="452">
        <v>147864.05000000002</v>
      </c>
      <c r="M86" s="452">
        <v>553326.53</v>
      </c>
      <c r="N86" s="452">
        <v>149302.70000000001</v>
      </c>
      <c r="O86" s="452">
        <v>553326.53</v>
      </c>
      <c r="P86" s="452">
        <v>150741.35</v>
      </c>
      <c r="Q86" s="452">
        <v>553326.53</v>
      </c>
      <c r="R86" s="452">
        <v>152180</v>
      </c>
      <c r="S86" s="452">
        <v>553326.53</v>
      </c>
      <c r="T86" s="452">
        <v>153618.65</v>
      </c>
      <c r="U86" s="452">
        <v>553326.53</v>
      </c>
      <c r="V86" s="452">
        <v>155057.30000000002</v>
      </c>
      <c r="W86" s="452">
        <v>553326.53</v>
      </c>
      <c r="X86" s="452">
        <v>156495.95000000001</v>
      </c>
      <c r="Y86" s="452">
        <v>553326.53</v>
      </c>
      <c r="Z86" s="452">
        <v>157934.6</v>
      </c>
      <c r="AA86" s="452">
        <v>553326.53</v>
      </c>
      <c r="AB86" s="452">
        <v>159373.25</v>
      </c>
      <c r="AC86" s="452">
        <v>553326.53</v>
      </c>
      <c r="AD86" s="452">
        <v>160811.9</v>
      </c>
      <c r="AE86" s="452">
        <f t="shared" si="3"/>
        <v>566392.74666666682</v>
      </c>
      <c r="AF86" s="452">
        <f t="shared" si="3"/>
        <v>158731.96541666667</v>
      </c>
    </row>
    <row r="87" spans="1:32">
      <c r="A87" s="446">
        <v>78</v>
      </c>
      <c r="C87" s="24" t="s">
        <v>900</v>
      </c>
      <c r="D87" s="24" t="s">
        <v>866</v>
      </c>
      <c r="E87" s="452">
        <v>194717.30000000002</v>
      </c>
      <c r="F87" s="452">
        <v>122189.7</v>
      </c>
      <c r="G87" s="452">
        <v>194717.30000000002</v>
      </c>
      <c r="H87" s="452">
        <v>122929.63</v>
      </c>
      <c r="I87" s="452">
        <v>194717.30000000002</v>
      </c>
      <c r="J87" s="452">
        <v>123669.56</v>
      </c>
      <c r="K87" s="452">
        <v>194717.30000000002</v>
      </c>
      <c r="L87" s="452">
        <v>124409.49</v>
      </c>
      <c r="M87" s="452">
        <v>194717.30000000002</v>
      </c>
      <c r="N87" s="452">
        <v>125149.42</v>
      </c>
      <c r="O87" s="452">
        <v>194717.30000000002</v>
      </c>
      <c r="P87" s="452">
        <v>125889.35</v>
      </c>
      <c r="Q87" s="452">
        <v>194717.30000000002</v>
      </c>
      <c r="R87" s="452">
        <v>126629.28</v>
      </c>
      <c r="S87" s="452">
        <v>194717.30000000002</v>
      </c>
      <c r="T87" s="452">
        <v>127369.21</v>
      </c>
      <c r="U87" s="452">
        <v>194717.30000000002</v>
      </c>
      <c r="V87" s="452">
        <v>128109.14</v>
      </c>
      <c r="W87" s="452">
        <v>194717.30000000002</v>
      </c>
      <c r="X87" s="452">
        <v>128849.07</v>
      </c>
      <c r="Y87" s="452">
        <v>194717.30000000002</v>
      </c>
      <c r="Z87" s="452">
        <v>129589</v>
      </c>
      <c r="AA87" s="452">
        <v>194717.30000000002</v>
      </c>
      <c r="AB87" s="452">
        <v>130328.93000000001</v>
      </c>
      <c r="AC87" s="452">
        <v>194717.30000000002</v>
      </c>
      <c r="AD87" s="452">
        <v>131068.86</v>
      </c>
      <c r="AE87" s="452">
        <f t="shared" si="3"/>
        <v>194717.30000000002</v>
      </c>
      <c r="AF87" s="452">
        <f t="shared" si="3"/>
        <v>126629.27999999998</v>
      </c>
    </row>
    <row r="88" spans="1:32">
      <c r="A88" s="446">
        <v>79</v>
      </c>
      <c r="C88" s="24" t="s">
        <v>901</v>
      </c>
      <c r="D88" s="24" t="s">
        <v>866</v>
      </c>
      <c r="E88" s="452">
        <v>924622.43</v>
      </c>
      <c r="F88" s="452">
        <v>284496.61</v>
      </c>
      <c r="G88" s="452">
        <v>924622.43</v>
      </c>
      <c r="H88" s="452">
        <v>291716.37</v>
      </c>
      <c r="I88" s="452">
        <v>924622.43</v>
      </c>
      <c r="J88" s="452">
        <v>298936.13</v>
      </c>
      <c r="K88" s="452">
        <v>924622.43</v>
      </c>
      <c r="L88" s="452">
        <v>306155.89</v>
      </c>
      <c r="M88" s="452">
        <v>924622.43</v>
      </c>
      <c r="N88" s="452">
        <v>313375.65000000002</v>
      </c>
      <c r="O88" s="452">
        <v>924622.43</v>
      </c>
      <c r="P88" s="452">
        <v>320595.41000000003</v>
      </c>
      <c r="Q88" s="452">
        <v>924622.43</v>
      </c>
      <c r="R88" s="452">
        <v>327815.17</v>
      </c>
      <c r="S88" s="452">
        <v>924622.43</v>
      </c>
      <c r="T88" s="452">
        <v>335034.93</v>
      </c>
      <c r="U88" s="452">
        <v>924622.43</v>
      </c>
      <c r="V88" s="452">
        <v>342254.69</v>
      </c>
      <c r="W88" s="452">
        <v>924622.43</v>
      </c>
      <c r="X88" s="452">
        <v>349474.45</v>
      </c>
      <c r="Y88" s="452">
        <v>924622.43</v>
      </c>
      <c r="Z88" s="452">
        <v>356694.21</v>
      </c>
      <c r="AA88" s="452">
        <v>924622.43</v>
      </c>
      <c r="AB88" s="452">
        <v>363913.97000000003</v>
      </c>
      <c r="AC88" s="452">
        <v>924622.43</v>
      </c>
      <c r="AD88" s="452">
        <v>371133.73</v>
      </c>
      <c r="AE88" s="452">
        <f t="shared" si="3"/>
        <v>924622.42999999982</v>
      </c>
      <c r="AF88" s="452">
        <f t="shared" si="3"/>
        <v>327815.17000000004</v>
      </c>
    </row>
    <row r="89" spans="1:32">
      <c r="A89" s="446">
        <v>80</v>
      </c>
      <c r="C89" s="24" t="s">
        <v>902</v>
      </c>
      <c r="D89" s="24" t="s">
        <v>866</v>
      </c>
      <c r="E89" s="452">
        <v>3202003.54</v>
      </c>
      <c r="F89" s="452">
        <v>2486837.38</v>
      </c>
      <c r="G89" s="452">
        <v>3202003.54</v>
      </c>
      <c r="H89" s="452">
        <v>2487184.2599999998</v>
      </c>
      <c r="I89" s="452">
        <v>3202003.54</v>
      </c>
      <c r="J89" s="452">
        <v>2487531.14</v>
      </c>
      <c r="K89" s="452">
        <v>3204746.09</v>
      </c>
      <c r="L89" s="452">
        <v>2487878.02</v>
      </c>
      <c r="M89" s="452">
        <v>3204746.09</v>
      </c>
      <c r="N89" s="452">
        <v>2488225.2000000002</v>
      </c>
      <c r="O89" s="452">
        <v>3204746.09</v>
      </c>
      <c r="P89" s="452">
        <v>2488572.38</v>
      </c>
      <c r="Q89" s="452">
        <v>3204746.09</v>
      </c>
      <c r="R89" s="452">
        <v>2488919.56</v>
      </c>
      <c r="S89" s="452">
        <v>3204746.09</v>
      </c>
      <c r="T89" s="452">
        <v>2489266.7400000002</v>
      </c>
      <c r="U89" s="452">
        <v>3204746.09</v>
      </c>
      <c r="V89" s="452">
        <v>2489613.92</v>
      </c>
      <c r="W89" s="452">
        <v>3204655.82</v>
      </c>
      <c r="X89" s="452">
        <v>2489961.1</v>
      </c>
      <c r="Y89" s="452">
        <v>3204655.82</v>
      </c>
      <c r="Z89" s="452">
        <v>2490308.27</v>
      </c>
      <c r="AA89" s="452">
        <v>3204655.82</v>
      </c>
      <c r="AB89" s="452">
        <v>2490655.44</v>
      </c>
      <c r="AC89" s="452">
        <v>3235888.5</v>
      </c>
      <c r="AD89" s="452">
        <v>2491002.61</v>
      </c>
      <c r="AE89" s="452">
        <f t="shared" si="3"/>
        <v>3205449.7583333333</v>
      </c>
      <c r="AF89" s="452">
        <f t="shared" si="3"/>
        <v>2488919.6687500002</v>
      </c>
    </row>
    <row r="90" spans="1:32">
      <c r="A90" s="446">
        <v>81</v>
      </c>
      <c r="C90" s="24" t="s">
        <v>903</v>
      </c>
      <c r="D90" s="24" t="s">
        <v>866</v>
      </c>
      <c r="E90" s="452">
        <v>322181.13</v>
      </c>
      <c r="F90" s="452">
        <v>219230.18</v>
      </c>
      <c r="G90" s="452">
        <v>322181.13</v>
      </c>
      <c r="H90" s="452">
        <v>221694.87</v>
      </c>
      <c r="I90" s="452">
        <v>322181.13</v>
      </c>
      <c r="J90" s="452">
        <v>224159.56</v>
      </c>
      <c r="K90" s="452">
        <v>321462.03000000003</v>
      </c>
      <c r="L90" s="452">
        <v>226624.25</v>
      </c>
      <c r="M90" s="452">
        <v>321462.03000000003</v>
      </c>
      <c r="N90" s="452">
        <v>229083.43</v>
      </c>
      <c r="O90" s="452">
        <v>321462.03000000003</v>
      </c>
      <c r="P90" s="452">
        <v>231542.61000000002</v>
      </c>
      <c r="Q90" s="452">
        <v>321462.03000000003</v>
      </c>
      <c r="R90" s="452">
        <v>234001.79</v>
      </c>
      <c r="S90" s="452">
        <v>321462.03000000003</v>
      </c>
      <c r="T90" s="452">
        <v>236460.97</v>
      </c>
      <c r="U90" s="452">
        <v>321462.03000000003</v>
      </c>
      <c r="V90" s="452">
        <v>238920.15</v>
      </c>
      <c r="W90" s="452">
        <v>321462.03000000003</v>
      </c>
      <c r="X90" s="452">
        <v>241379.33000000002</v>
      </c>
      <c r="Y90" s="452">
        <v>321462.03000000003</v>
      </c>
      <c r="Z90" s="452">
        <v>243838.51</v>
      </c>
      <c r="AA90" s="452">
        <v>321462.03000000003</v>
      </c>
      <c r="AB90" s="452">
        <v>246297.69</v>
      </c>
      <c r="AC90" s="452">
        <v>321462.03000000003</v>
      </c>
      <c r="AD90" s="452">
        <v>248756.87</v>
      </c>
      <c r="AE90" s="452">
        <f t="shared" si="3"/>
        <v>321611.84250000009</v>
      </c>
      <c r="AF90" s="452">
        <f t="shared" si="3"/>
        <v>233999.72374999998</v>
      </c>
    </row>
    <row r="91" spans="1:32">
      <c r="A91" s="446">
        <v>82</v>
      </c>
      <c r="C91" s="24" t="s">
        <v>904</v>
      </c>
      <c r="D91" s="24" t="s">
        <v>866</v>
      </c>
      <c r="E91" s="452">
        <v>14274.33</v>
      </c>
      <c r="F91" s="452">
        <v>-359.73</v>
      </c>
      <c r="G91" s="452">
        <v>14274.33</v>
      </c>
      <c r="H91" s="452">
        <v>-234.71</v>
      </c>
      <c r="I91" s="452">
        <v>14274.33</v>
      </c>
      <c r="J91" s="452">
        <v>-109.69</v>
      </c>
      <c r="K91" s="452">
        <v>14274.33</v>
      </c>
      <c r="L91" s="452">
        <v>15.33</v>
      </c>
      <c r="M91" s="452">
        <v>14274.33</v>
      </c>
      <c r="N91" s="452">
        <v>140.35</v>
      </c>
      <c r="O91" s="452">
        <v>14274.33</v>
      </c>
      <c r="P91" s="452">
        <v>265.37</v>
      </c>
      <c r="Q91" s="452">
        <v>14274.33</v>
      </c>
      <c r="R91" s="452">
        <v>390.39</v>
      </c>
      <c r="S91" s="452">
        <v>14274.33</v>
      </c>
      <c r="T91" s="452">
        <v>515.41</v>
      </c>
      <c r="U91" s="452">
        <v>14274.33</v>
      </c>
      <c r="V91" s="452">
        <v>640.43000000000006</v>
      </c>
      <c r="W91" s="452">
        <v>14274.33</v>
      </c>
      <c r="X91" s="452">
        <v>765.45</v>
      </c>
      <c r="Y91" s="452">
        <v>14274.33</v>
      </c>
      <c r="Z91" s="452">
        <v>890.47</v>
      </c>
      <c r="AA91" s="452">
        <v>14274.33</v>
      </c>
      <c r="AB91" s="452">
        <v>1015.49</v>
      </c>
      <c r="AC91" s="452">
        <v>14274.33</v>
      </c>
      <c r="AD91" s="452">
        <v>1140.51</v>
      </c>
      <c r="AE91" s="452">
        <f t="shared" si="3"/>
        <v>14274.329999999996</v>
      </c>
      <c r="AF91" s="452">
        <f t="shared" si="3"/>
        <v>390.39000000000004</v>
      </c>
    </row>
    <row r="92" spans="1:32">
      <c r="A92" s="446">
        <v>83</v>
      </c>
      <c r="B92" s="453" t="s">
        <v>106</v>
      </c>
      <c r="C92" s="454"/>
      <c r="D92" s="453" t="s">
        <v>905</v>
      </c>
      <c r="E92" s="455">
        <f t="shared" ref="E92:AF92" si="4">SUBTOTAL(9,E49:E91)</f>
        <v>716908411.13999987</v>
      </c>
      <c r="F92" s="455">
        <f t="shared" si="4"/>
        <v>349691372.54999995</v>
      </c>
      <c r="G92" s="455">
        <f t="shared" si="4"/>
        <v>719814865.54999983</v>
      </c>
      <c r="H92" s="455">
        <f t="shared" si="4"/>
        <v>351122100.51999992</v>
      </c>
      <c r="I92" s="455">
        <f t="shared" si="4"/>
        <v>719822123.01999986</v>
      </c>
      <c r="J92" s="455">
        <f t="shared" si="4"/>
        <v>352161619.25</v>
      </c>
      <c r="K92" s="455">
        <f t="shared" si="4"/>
        <v>721408629.44999981</v>
      </c>
      <c r="L92" s="455">
        <f t="shared" si="4"/>
        <v>353579319.95999998</v>
      </c>
      <c r="M92" s="455">
        <f t="shared" si="4"/>
        <v>726009290.69999981</v>
      </c>
      <c r="N92" s="455">
        <f t="shared" si="4"/>
        <v>355202929.90000004</v>
      </c>
      <c r="O92" s="455">
        <f t="shared" si="4"/>
        <v>729343349.84999967</v>
      </c>
      <c r="P92" s="455">
        <f t="shared" si="4"/>
        <v>356554963.54000002</v>
      </c>
      <c r="Q92" s="455">
        <f t="shared" si="4"/>
        <v>732720558.29999971</v>
      </c>
      <c r="R92" s="455">
        <f t="shared" si="4"/>
        <v>358089078.43000007</v>
      </c>
      <c r="S92" s="455">
        <f t="shared" si="4"/>
        <v>735226566.68999982</v>
      </c>
      <c r="T92" s="455">
        <f t="shared" si="4"/>
        <v>359533201.34000003</v>
      </c>
      <c r="U92" s="455">
        <f t="shared" si="4"/>
        <v>737790044.5799998</v>
      </c>
      <c r="V92" s="455">
        <f t="shared" si="4"/>
        <v>361133539.03000003</v>
      </c>
      <c r="W92" s="455">
        <f t="shared" si="4"/>
        <v>743022076.07999969</v>
      </c>
      <c r="X92" s="455">
        <f t="shared" si="4"/>
        <v>362566654.5</v>
      </c>
      <c r="Y92" s="455">
        <f t="shared" si="4"/>
        <v>748441437.37999976</v>
      </c>
      <c r="Z92" s="455">
        <f t="shared" si="4"/>
        <v>364082428.88999987</v>
      </c>
      <c r="AA92" s="455">
        <f t="shared" si="4"/>
        <v>753183631.21999967</v>
      </c>
      <c r="AB92" s="455">
        <f t="shared" si="4"/>
        <v>365355850.14999998</v>
      </c>
      <c r="AC92" s="455">
        <f t="shared" si="4"/>
        <v>764082473.55999994</v>
      </c>
      <c r="AD92" s="455">
        <f>SUBTOTAL(9,AD49:AD91)</f>
        <v>366495933.66000003</v>
      </c>
      <c r="AE92" s="455">
        <f t="shared" si="4"/>
        <v>733939834.59749973</v>
      </c>
      <c r="AF92" s="455">
        <f t="shared" si="4"/>
        <v>358122944.88458329</v>
      </c>
    </row>
    <row r="93" spans="1:32">
      <c r="A93" s="446">
        <v>84</v>
      </c>
      <c r="B93" s="448" t="s">
        <v>906</v>
      </c>
      <c r="C93" s="448" t="s">
        <v>907</v>
      </c>
      <c r="D93" s="456"/>
      <c r="E93" s="457"/>
      <c r="F93" s="457"/>
      <c r="G93" s="457"/>
      <c r="H93" s="457"/>
      <c r="I93" s="457"/>
      <c r="J93" s="457"/>
      <c r="K93" s="457"/>
      <c r="L93" s="457"/>
      <c r="M93" s="457"/>
      <c r="N93" s="457"/>
      <c r="O93" s="457"/>
      <c r="P93" s="457"/>
      <c r="Q93" s="457"/>
      <c r="R93" s="457"/>
      <c r="S93" s="457"/>
      <c r="T93" s="457"/>
      <c r="U93" s="457"/>
      <c r="V93" s="457"/>
      <c r="W93" s="457"/>
      <c r="X93" s="457"/>
      <c r="Y93" s="457"/>
      <c r="Z93" s="457"/>
      <c r="AA93" s="457"/>
      <c r="AB93" s="457"/>
      <c r="AC93" s="457"/>
      <c r="AD93" s="457"/>
      <c r="AE93" s="457"/>
      <c r="AF93" s="457"/>
    </row>
    <row r="94" spans="1:32">
      <c r="A94" s="446">
        <v>85</v>
      </c>
      <c r="C94" s="24" t="s">
        <v>908</v>
      </c>
      <c r="D94" s="24" t="s">
        <v>910</v>
      </c>
      <c r="E94" s="452">
        <v>152066.08000000002</v>
      </c>
      <c r="F94" s="452">
        <v>0</v>
      </c>
      <c r="G94" s="452">
        <v>152066.08000000002</v>
      </c>
      <c r="H94" s="452">
        <v>0</v>
      </c>
      <c r="I94" s="452">
        <v>152066.08000000002</v>
      </c>
      <c r="J94" s="452">
        <v>0</v>
      </c>
      <c r="K94" s="452">
        <v>152066.08000000002</v>
      </c>
      <c r="L94" s="452">
        <v>0</v>
      </c>
      <c r="M94" s="452">
        <v>152066.08000000002</v>
      </c>
      <c r="N94" s="452">
        <v>0</v>
      </c>
      <c r="O94" s="452">
        <v>152066.08000000002</v>
      </c>
      <c r="P94" s="452">
        <v>0</v>
      </c>
      <c r="Q94" s="452">
        <v>152066.08000000002</v>
      </c>
      <c r="R94" s="452">
        <v>0</v>
      </c>
      <c r="S94" s="452">
        <v>152066.08000000002</v>
      </c>
      <c r="T94" s="452">
        <v>0</v>
      </c>
      <c r="U94" s="452">
        <v>152066.08000000002</v>
      </c>
      <c r="V94" s="452">
        <v>0</v>
      </c>
      <c r="W94" s="452">
        <v>152066.08000000002</v>
      </c>
      <c r="X94" s="452">
        <v>0</v>
      </c>
      <c r="Y94" s="452">
        <v>152066.08000000002</v>
      </c>
      <c r="Z94" s="452">
        <v>0</v>
      </c>
      <c r="AA94" s="452">
        <v>152066.08000000002</v>
      </c>
      <c r="AB94" s="452">
        <v>0</v>
      </c>
      <c r="AC94" s="452">
        <v>152066.08000000002</v>
      </c>
      <c r="AD94" s="452">
        <v>0</v>
      </c>
      <c r="AE94" s="452">
        <f t="shared" ref="AE94:AF138" si="5">+(E94+AC94+(+G94+I94+K94+M94+O94+Q94+S94+U94+W94+Y94+AA94)*2)/24</f>
        <v>152066.08000000005</v>
      </c>
      <c r="AF94" s="452">
        <f t="shared" si="5"/>
        <v>0</v>
      </c>
    </row>
    <row r="95" spans="1:32">
      <c r="A95" s="446">
        <v>86</v>
      </c>
      <c r="C95" s="24" t="s">
        <v>909</v>
      </c>
      <c r="D95" s="451" t="s">
        <v>910</v>
      </c>
      <c r="E95" s="452">
        <v>1826757.9</v>
      </c>
      <c r="F95" s="452">
        <v>1019884.5700000001</v>
      </c>
      <c r="G95" s="452">
        <v>1826757.9000000001</v>
      </c>
      <c r="H95" s="452">
        <v>1035107.55</v>
      </c>
      <c r="I95" s="452">
        <v>1826757.9000000001</v>
      </c>
      <c r="J95" s="452">
        <v>1050330.53</v>
      </c>
      <c r="K95" s="452">
        <v>1826757.9000000001</v>
      </c>
      <c r="L95" s="452">
        <v>1065553.51</v>
      </c>
      <c r="M95" s="452">
        <v>1826757.9000000001</v>
      </c>
      <c r="N95" s="452">
        <v>1080776.49</v>
      </c>
      <c r="O95" s="452">
        <v>1826757.9000000001</v>
      </c>
      <c r="P95" s="452">
        <v>1095999.47</v>
      </c>
      <c r="Q95" s="452">
        <v>1826757.9000000001</v>
      </c>
      <c r="R95" s="452">
        <v>1111222.4500000002</v>
      </c>
      <c r="S95" s="452">
        <v>1826757.9000000001</v>
      </c>
      <c r="T95" s="452">
        <v>1126445.4300000002</v>
      </c>
      <c r="U95" s="452">
        <v>1826757.9000000001</v>
      </c>
      <c r="V95" s="452">
        <v>1141668.4100000001</v>
      </c>
      <c r="W95" s="452">
        <v>1826757.9000000001</v>
      </c>
      <c r="X95" s="452">
        <v>1156891.3900000001</v>
      </c>
      <c r="Y95" s="452">
        <v>1826757.9000000001</v>
      </c>
      <c r="Z95" s="452">
        <v>1172114.3700000001</v>
      </c>
      <c r="AA95" s="452">
        <v>1826757.9000000001</v>
      </c>
      <c r="AB95" s="452">
        <v>1187337.3500000001</v>
      </c>
      <c r="AC95" s="452">
        <v>0</v>
      </c>
      <c r="AD95" s="452">
        <v>0</v>
      </c>
      <c r="AE95" s="452">
        <f t="shared" si="5"/>
        <v>1750642.9874999998</v>
      </c>
      <c r="AF95" s="452">
        <f t="shared" si="5"/>
        <v>1061115.7695833335</v>
      </c>
    </row>
    <row r="96" spans="1:32">
      <c r="A96" s="446">
        <v>87</v>
      </c>
      <c r="C96" s="24" t="s">
        <v>911</v>
      </c>
      <c r="D96" s="451" t="s">
        <v>910</v>
      </c>
      <c r="E96" s="452">
        <v>2186206.83</v>
      </c>
      <c r="F96" s="452">
        <v>771480.16</v>
      </c>
      <c r="G96" s="452">
        <v>2186206.83</v>
      </c>
      <c r="H96" s="452">
        <v>791313.54</v>
      </c>
      <c r="I96" s="452">
        <v>2186206.83</v>
      </c>
      <c r="J96" s="452">
        <v>811146.92</v>
      </c>
      <c r="K96" s="452">
        <v>2073631.63</v>
      </c>
      <c r="L96" s="452">
        <v>718405.10000000009</v>
      </c>
      <c r="M96" s="452">
        <v>2073631.63</v>
      </c>
      <c r="N96" s="452">
        <v>735685.36</v>
      </c>
      <c r="O96" s="452">
        <v>2073631.63</v>
      </c>
      <c r="P96" s="452">
        <v>752965.62</v>
      </c>
      <c r="Q96" s="452">
        <v>2073631.63</v>
      </c>
      <c r="R96" s="452">
        <v>770245.88</v>
      </c>
      <c r="S96" s="452">
        <v>2073631.63</v>
      </c>
      <c r="T96" s="452">
        <v>787526.14</v>
      </c>
      <c r="U96" s="452">
        <v>2073631.63</v>
      </c>
      <c r="V96" s="452">
        <v>804806.4</v>
      </c>
      <c r="W96" s="452">
        <v>2073631.63</v>
      </c>
      <c r="X96" s="452">
        <v>822086.66</v>
      </c>
      <c r="Y96" s="452">
        <v>2073631.63</v>
      </c>
      <c r="Z96" s="452">
        <v>839366.92</v>
      </c>
      <c r="AA96" s="452">
        <v>2073631.63</v>
      </c>
      <c r="AB96" s="452">
        <v>856647.17999999993</v>
      </c>
      <c r="AC96" s="452">
        <v>2073631.63</v>
      </c>
      <c r="AD96" s="452">
        <v>873927.44000000006</v>
      </c>
      <c r="AE96" s="452">
        <f t="shared" si="5"/>
        <v>2097084.7966666662</v>
      </c>
      <c r="AF96" s="452">
        <f t="shared" si="5"/>
        <v>792741.62666666682</v>
      </c>
    </row>
    <row r="97" spans="1:32">
      <c r="A97" s="446">
        <v>88</v>
      </c>
      <c r="C97" s="24" t="s">
        <v>1355</v>
      </c>
      <c r="D97" s="451" t="s">
        <v>910</v>
      </c>
      <c r="E97" s="452">
        <v>22735.5</v>
      </c>
      <c r="F97" s="452">
        <v>4357.58</v>
      </c>
      <c r="G97" s="452">
        <v>22735.5</v>
      </c>
      <c r="H97" s="452">
        <v>4547.04</v>
      </c>
      <c r="I97" s="452">
        <v>22735.5</v>
      </c>
      <c r="J97" s="452">
        <v>4736.5</v>
      </c>
      <c r="K97" s="452">
        <v>22735.5</v>
      </c>
      <c r="L97" s="452">
        <v>4925.96</v>
      </c>
      <c r="M97" s="452">
        <v>22810.46</v>
      </c>
      <c r="N97" s="452">
        <v>5115.42</v>
      </c>
      <c r="O97" s="452">
        <v>22810.46</v>
      </c>
      <c r="P97" s="452">
        <v>5305.51</v>
      </c>
      <c r="Q97" s="452">
        <v>22810.46</v>
      </c>
      <c r="R97" s="452">
        <v>5495.5999999999995</v>
      </c>
      <c r="S97" s="452">
        <v>22810.46</v>
      </c>
      <c r="T97" s="452">
        <v>5685.6900000000005</v>
      </c>
      <c r="U97" s="452">
        <v>22810.46</v>
      </c>
      <c r="V97" s="452">
        <v>5875.7800000000007</v>
      </c>
      <c r="W97" s="452">
        <v>22810.46</v>
      </c>
      <c r="X97" s="452">
        <v>6065.87</v>
      </c>
      <c r="Y97" s="452">
        <v>22810.46</v>
      </c>
      <c r="Z97" s="452">
        <v>6255.96</v>
      </c>
      <c r="AA97" s="452">
        <v>22810.46</v>
      </c>
      <c r="AB97" s="452">
        <v>6446.05</v>
      </c>
      <c r="AC97" s="452">
        <v>14664.05</v>
      </c>
      <c r="AD97" s="452">
        <v>4266.1400000000003</v>
      </c>
      <c r="AE97" s="452">
        <f t="shared" si="5"/>
        <v>22449.162916666664</v>
      </c>
      <c r="AF97" s="452">
        <f t="shared" si="5"/>
        <v>5397.27</v>
      </c>
    </row>
    <row r="98" spans="1:32">
      <c r="A98" s="446">
        <v>89</v>
      </c>
      <c r="C98" s="24" t="s">
        <v>1356</v>
      </c>
      <c r="D98" s="451" t="s">
        <v>910</v>
      </c>
      <c r="E98" s="452">
        <v>430112.44000000006</v>
      </c>
      <c r="F98" s="452">
        <v>43011.24</v>
      </c>
      <c r="G98" s="452">
        <v>430112.44</v>
      </c>
      <c r="H98" s="452">
        <v>46595.51</v>
      </c>
      <c r="I98" s="452">
        <v>430112.44</v>
      </c>
      <c r="J98" s="452">
        <v>50179.780000000006</v>
      </c>
      <c r="K98" s="452">
        <v>430112.44</v>
      </c>
      <c r="L98" s="452">
        <v>53764.05</v>
      </c>
      <c r="M98" s="452">
        <v>430112.44</v>
      </c>
      <c r="N98" s="452">
        <v>57348.320000000007</v>
      </c>
      <c r="O98" s="452">
        <v>430112.44</v>
      </c>
      <c r="P98" s="452">
        <v>60932.59</v>
      </c>
      <c r="Q98" s="452">
        <v>430112.44</v>
      </c>
      <c r="R98" s="452">
        <v>64516.86</v>
      </c>
      <c r="S98" s="452">
        <v>430112.44</v>
      </c>
      <c r="T98" s="452">
        <v>68101.13</v>
      </c>
      <c r="U98" s="452">
        <v>430112.44</v>
      </c>
      <c r="V98" s="452">
        <v>71685.399999999994</v>
      </c>
      <c r="W98" s="452">
        <v>430112.44</v>
      </c>
      <c r="X98" s="452">
        <v>75269.67</v>
      </c>
      <c r="Y98" s="452">
        <v>430112.44</v>
      </c>
      <c r="Z98" s="452">
        <v>78853.94</v>
      </c>
      <c r="AA98" s="452">
        <v>430112.44</v>
      </c>
      <c r="AB98" s="452">
        <v>82438.210000000006</v>
      </c>
      <c r="AC98" s="452">
        <v>430112.44</v>
      </c>
      <c r="AD98" s="452">
        <v>86022.48000000001</v>
      </c>
      <c r="AE98" s="452">
        <f t="shared" si="5"/>
        <v>430112.44000000012</v>
      </c>
      <c r="AF98" s="452">
        <f t="shared" si="5"/>
        <v>64516.859999999993</v>
      </c>
    </row>
    <row r="99" spans="1:32">
      <c r="A99" s="446">
        <v>90</v>
      </c>
      <c r="C99" s="24" t="s">
        <v>2279</v>
      </c>
      <c r="D99" s="451" t="s">
        <v>910</v>
      </c>
      <c r="E99" s="452">
        <v>0</v>
      </c>
      <c r="F99" s="452">
        <v>0</v>
      </c>
      <c r="G99" s="452">
        <v>0</v>
      </c>
      <c r="H99" s="452">
        <v>0</v>
      </c>
      <c r="I99" s="452">
        <v>0</v>
      </c>
      <c r="J99" s="452">
        <v>0</v>
      </c>
      <c r="K99" s="452">
        <v>0</v>
      </c>
      <c r="L99" s="452">
        <v>0</v>
      </c>
      <c r="M99" s="452">
        <v>100963.92</v>
      </c>
      <c r="N99" s="452">
        <v>0</v>
      </c>
      <c r="O99" s="452">
        <v>100963.92</v>
      </c>
      <c r="P99" s="452">
        <v>841.37</v>
      </c>
      <c r="Q99" s="452">
        <v>101150.49</v>
      </c>
      <c r="R99" s="452">
        <v>1682.74</v>
      </c>
      <c r="S99" s="452">
        <v>119047.05</v>
      </c>
      <c r="T99" s="452">
        <v>2525.66</v>
      </c>
      <c r="U99" s="452">
        <v>119700.04000000001</v>
      </c>
      <c r="V99" s="452">
        <v>3517.7200000000003</v>
      </c>
      <c r="W99" s="452">
        <v>119700.04000000001</v>
      </c>
      <c r="X99" s="452">
        <v>4515.22</v>
      </c>
      <c r="Y99" s="452">
        <v>119700.04000000001</v>
      </c>
      <c r="Z99" s="452">
        <v>5512.7199999999993</v>
      </c>
      <c r="AA99" s="452">
        <v>119700.04000000001</v>
      </c>
      <c r="AB99" s="452">
        <v>6510.22</v>
      </c>
      <c r="AC99" s="452">
        <v>50760.55</v>
      </c>
      <c r="AD99" s="452">
        <v>1122.49</v>
      </c>
      <c r="AE99" s="452">
        <f t="shared" si="5"/>
        <v>77192.15125000001</v>
      </c>
      <c r="AF99" s="452">
        <f t="shared" si="5"/>
        <v>2138.9079166666666</v>
      </c>
    </row>
    <row r="100" spans="1:32">
      <c r="A100" s="446">
        <v>91</v>
      </c>
      <c r="C100" s="24" t="s">
        <v>912</v>
      </c>
      <c r="D100" s="451" t="s">
        <v>910</v>
      </c>
      <c r="E100" s="452">
        <v>0</v>
      </c>
      <c r="F100" s="452">
        <v>0</v>
      </c>
      <c r="G100" s="452">
        <v>0</v>
      </c>
      <c r="H100" s="452">
        <v>0</v>
      </c>
      <c r="I100" s="452">
        <v>0</v>
      </c>
      <c r="J100" s="452">
        <v>0</v>
      </c>
      <c r="K100" s="452">
        <v>0</v>
      </c>
      <c r="L100" s="452">
        <v>0</v>
      </c>
      <c r="M100" s="452">
        <v>0</v>
      </c>
      <c r="N100" s="452">
        <v>0</v>
      </c>
      <c r="O100" s="452">
        <v>0</v>
      </c>
      <c r="P100" s="452">
        <v>0</v>
      </c>
      <c r="Q100" s="452">
        <v>0</v>
      </c>
      <c r="R100" s="452">
        <v>0</v>
      </c>
      <c r="S100" s="452">
        <v>0</v>
      </c>
      <c r="T100" s="452">
        <v>0</v>
      </c>
      <c r="U100" s="452">
        <v>0</v>
      </c>
      <c r="V100" s="452">
        <v>0</v>
      </c>
      <c r="W100" s="452">
        <v>0</v>
      </c>
      <c r="X100" s="452">
        <v>0</v>
      </c>
      <c r="Y100" s="452">
        <v>0</v>
      </c>
      <c r="Z100" s="452">
        <v>0</v>
      </c>
      <c r="AA100" s="452">
        <v>0</v>
      </c>
      <c r="AB100" s="452">
        <v>0</v>
      </c>
      <c r="AC100" s="452">
        <v>0</v>
      </c>
      <c r="AD100" s="452">
        <v>0</v>
      </c>
      <c r="AE100" s="452">
        <f t="shared" si="5"/>
        <v>0</v>
      </c>
      <c r="AF100" s="452">
        <f t="shared" si="5"/>
        <v>0</v>
      </c>
    </row>
    <row r="101" spans="1:32">
      <c r="A101" s="446">
        <v>92</v>
      </c>
      <c r="C101" s="24" t="s">
        <v>2280</v>
      </c>
      <c r="D101" s="451" t="s">
        <v>910</v>
      </c>
      <c r="E101" s="452">
        <v>0</v>
      </c>
      <c r="F101" s="452">
        <v>0</v>
      </c>
      <c r="G101" s="452">
        <v>0</v>
      </c>
      <c r="H101" s="452">
        <v>0</v>
      </c>
      <c r="I101" s="452">
        <v>0</v>
      </c>
      <c r="J101" s="452">
        <v>0</v>
      </c>
      <c r="K101" s="452">
        <v>0</v>
      </c>
      <c r="L101" s="452">
        <v>0</v>
      </c>
      <c r="M101" s="452">
        <v>0</v>
      </c>
      <c r="N101" s="452">
        <v>0</v>
      </c>
      <c r="O101" s="452">
        <v>0</v>
      </c>
      <c r="P101" s="452">
        <v>0</v>
      </c>
      <c r="Q101" s="452">
        <v>0</v>
      </c>
      <c r="R101" s="452">
        <v>0</v>
      </c>
      <c r="S101" s="452">
        <v>0</v>
      </c>
      <c r="T101" s="452">
        <v>0</v>
      </c>
      <c r="U101" s="452">
        <v>0</v>
      </c>
      <c r="V101" s="452">
        <v>0</v>
      </c>
      <c r="W101" s="452">
        <v>603382.80000000005</v>
      </c>
      <c r="X101" s="452">
        <v>0</v>
      </c>
      <c r="Y101" s="452">
        <v>603382.80000000005</v>
      </c>
      <c r="Z101" s="452">
        <v>4188.4799999999996</v>
      </c>
      <c r="AA101" s="452">
        <v>603382.80000000005</v>
      </c>
      <c r="AB101" s="452">
        <v>8376.9599999999991</v>
      </c>
      <c r="AC101" s="452">
        <v>1191253.08</v>
      </c>
      <c r="AD101" s="452">
        <v>12565.44</v>
      </c>
      <c r="AE101" s="452">
        <f t="shared" si="5"/>
        <v>200481.24500000002</v>
      </c>
      <c r="AF101" s="452">
        <f t="shared" si="5"/>
        <v>1570.68</v>
      </c>
    </row>
    <row r="102" spans="1:32">
      <c r="A102" s="446">
        <v>93</v>
      </c>
      <c r="C102" s="24" t="s">
        <v>913</v>
      </c>
      <c r="D102" s="451" t="s">
        <v>910</v>
      </c>
      <c r="E102" s="452">
        <v>4188146.9299999997</v>
      </c>
      <c r="F102" s="452">
        <v>2025640.31</v>
      </c>
      <c r="G102" s="452">
        <v>4188146.9299999997</v>
      </c>
      <c r="H102" s="452">
        <v>2052479.35</v>
      </c>
      <c r="I102" s="452">
        <v>4188146.9299999997</v>
      </c>
      <c r="J102" s="452">
        <v>2079318.39</v>
      </c>
      <c r="K102" s="452">
        <v>4188146.9299999997</v>
      </c>
      <c r="L102" s="452">
        <v>2106157.4300000002</v>
      </c>
      <c r="M102" s="452">
        <v>4188146.9299999997</v>
      </c>
      <c r="N102" s="452">
        <v>2132996.4699999997</v>
      </c>
      <c r="O102" s="452">
        <v>4188146.9299999997</v>
      </c>
      <c r="P102" s="452">
        <v>2159835.5099999998</v>
      </c>
      <c r="Q102" s="452">
        <v>4188146.9299999997</v>
      </c>
      <c r="R102" s="452">
        <v>2186674.5499999998</v>
      </c>
      <c r="S102" s="452">
        <v>4188146.9299999997</v>
      </c>
      <c r="T102" s="452">
        <v>2213513.59</v>
      </c>
      <c r="U102" s="452">
        <v>4188146.9299999997</v>
      </c>
      <c r="V102" s="452">
        <v>2240352.63</v>
      </c>
      <c r="W102" s="452">
        <v>4188146.9299999997</v>
      </c>
      <c r="X102" s="452">
        <v>2267191.67</v>
      </c>
      <c r="Y102" s="452">
        <v>4188146.9299999997</v>
      </c>
      <c r="Z102" s="452">
        <v>2294030.71</v>
      </c>
      <c r="AA102" s="452">
        <v>4188146.9299999997</v>
      </c>
      <c r="AB102" s="452">
        <v>2320869.75</v>
      </c>
      <c r="AC102" s="452">
        <v>4188146.9299999997</v>
      </c>
      <c r="AD102" s="452">
        <v>2347708.79</v>
      </c>
      <c r="AE102" s="452">
        <f t="shared" si="5"/>
        <v>4188146.9299999997</v>
      </c>
      <c r="AF102" s="452">
        <f t="shared" si="5"/>
        <v>2186674.5499999998</v>
      </c>
    </row>
    <row r="103" spans="1:32">
      <c r="A103" s="446">
        <v>94</v>
      </c>
      <c r="C103" s="24" t="s">
        <v>914</v>
      </c>
      <c r="D103" s="451" t="s">
        <v>910</v>
      </c>
      <c r="E103" s="452">
        <v>695173.17</v>
      </c>
      <c r="F103" s="452">
        <v>386268.12</v>
      </c>
      <c r="G103" s="452">
        <v>695173.16999999993</v>
      </c>
      <c r="H103" s="452">
        <v>390404.4</v>
      </c>
      <c r="I103" s="452">
        <v>695173.16999999993</v>
      </c>
      <c r="J103" s="452">
        <v>394540.68</v>
      </c>
      <c r="K103" s="452">
        <v>695173.16999999993</v>
      </c>
      <c r="L103" s="452">
        <v>398676.96</v>
      </c>
      <c r="M103" s="452">
        <v>695173.16999999993</v>
      </c>
      <c r="N103" s="452">
        <v>402813.24</v>
      </c>
      <c r="O103" s="452">
        <v>695173.16999999993</v>
      </c>
      <c r="P103" s="452">
        <v>406949.52</v>
      </c>
      <c r="Q103" s="452">
        <v>695173.16999999993</v>
      </c>
      <c r="R103" s="452">
        <v>411085.8</v>
      </c>
      <c r="S103" s="452">
        <v>695173.16999999993</v>
      </c>
      <c r="T103" s="452">
        <v>415222.08</v>
      </c>
      <c r="U103" s="452">
        <v>695173.16999999993</v>
      </c>
      <c r="V103" s="452">
        <v>419358.36</v>
      </c>
      <c r="W103" s="452">
        <v>695173.16999999993</v>
      </c>
      <c r="X103" s="452">
        <v>423494.64</v>
      </c>
      <c r="Y103" s="452">
        <v>695173.16999999993</v>
      </c>
      <c r="Z103" s="452">
        <v>427630.92000000004</v>
      </c>
      <c r="AA103" s="452">
        <v>695173.16999999993</v>
      </c>
      <c r="AB103" s="452">
        <v>431767.2</v>
      </c>
      <c r="AC103" s="452">
        <v>695173.16999999993</v>
      </c>
      <c r="AD103" s="452">
        <v>435903.48</v>
      </c>
      <c r="AE103" s="452">
        <f t="shared" si="5"/>
        <v>695173.16999999993</v>
      </c>
      <c r="AF103" s="452">
        <f t="shared" si="5"/>
        <v>411085.8</v>
      </c>
    </row>
    <row r="104" spans="1:32">
      <c r="A104" s="446">
        <v>95</v>
      </c>
      <c r="C104" s="24" t="s">
        <v>915</v>
      </c>
      <c r="D104" s="451" t="s">
        <v>910</v>
      </c>
      <c r="E104" s="452">
        <v>2037970.8599999999</v>
      </c>
      <c r="F104" s="452">
        <v>1056937.6200000001</v>
      </c>
      <c r="G104" s="452">
        <v>2037970.8599999999</v>
      </c>
      <c r="H104" s="452">
        <v>1069063.55</v>
      </c>
      <c r="I104" s="452">
        <v>2037970.8599999999</v>
      </c>
      <c r="J104" s="452">
        <v>1081189.48</v>
      </c>
      <c r="K104" s="452">
        <v>2037970.8599999999</v>
      </c>
      <c r="L104" s="452">
        <v>1093315.4099999999</v>
      </c>
      <c r="M104" s="452">
        <v>2037970.8599999999</v>
      </c>
      <c r="N104" s="452">
        <v>1105441.3400000001</v>
      </c>
      <c r="O104" s="452">
        <v>2037970.8599999999</v>
      </c>
      <c r="P104" s="452">
        <v>1117567.27</v>
      </c>
      <c r="Q104" s="452">
        <v>2037970.8599999999</v>
      </c>
      <c r="R104" s="452">
        <v>1129693.2</v>
      </c>
      <c r="S104" s="452">
        <v>2037970.8599999999</v>
      </c>
      <c r="T104" s="452">
        <v>1141819.1299999999</v>
      </c>
      <c r="U104" s="452">
        <v>2037970.8599999999</v>
      </c>
      <c r="V104" s="452">
        <v>1153945.06</v>
      </c>
      <c r="W104" s="452">
        <v>2037970.8599999999</v>
      </c>
      <c r="X104" s="452">
        <v>1166070.99</v>
      </c>
      <c r="Y104" s="452">
        <v>2037970.8599999999</v>
      </c>
      <c r="Z104" s="452">
        <v>1178196.92</v>
      </c>
      <c r="AA104" s="452">
        <v>2037970.8599999999</v>
      </c>
      <c r="AB104" s="452">
        <v>1190322.8500000001</v>
      </c>
      <c r="AC104" s="452">
        <v>2037970.8599999999</v>
      </c>
      <c r="AD104" s="452">
        <v>1202448.78</v>
      </c>
      <c r="AE104" s="452">
        <f t="shared" si="5"/>
        <v>2037970.8599999996</v>
      </c>
      <c r="AF104" s="452">
        <f t="shared" si="5"/>
        <v>1129693.2000000002</v>
      </c>
    </row>
    <row r="105" spans="1:32">
      <c r="A105" s="446">
        <v>96</v>
      </c>
      <c r="C105" s="24" t="s">
        <v>916</v>
      </c>
      <c r="D105" s="451" t="s">
        <v>910</v>
      </c>
      <c r="E105" s="452">
        <v>17063587.219999999</v>
      </c>
      <c r="F105" s="452">
        <v>7862834.25</v>
      </c>
      <c r="G105" s="452">
        <v>17063587.219999999</v>
      </c>
      <c r="H105" s="452">
        <v>7957679.3599999994</v>
      </c>
      <c r="I105" s="452">
        <v>17063587.219999999</v>
      </c>
      <c r="J105" s="452">
        <v>8052524.4700000007</v>
      </c>
      <c r="K105" s="452">
        <v>17063587.219999999</v>
      </c>
      <c r="L105" s="452">
        <v>8147369.5800000001</v>
      </c>
      <c r="M105" s="452">
        <v>17063587.219999999</v>
      </c>
      <c r="N105" s="452">
        <v>8242214.6899999995</v>
      </c>
      <c r="O105" s="452">
        <v>17063587.219999999</v>
      </c>
      <c r="P105" s="452">
        <v>8337059.7999999998</v>
      </c>
      <c r="Q105" s="452">
        <v>17063587.219999999</v>
      </c>
      <c r="R105" s="452">
        <v>8431904.9100000001</v>
      </c>
      <c r="S105" s="452">
        <v>17063587.219999999</v>
      </c>
      <c r="T105" s="452">
        <v>8526750.0199999996</v>
      </c>
      <c r="U105" s="452">
        <v>17063587.219999999</v>
      </c>
      <c r="V105" s="452">
        <v>8621595.129999999</v>
      </c>
      <c r="W105" s="452">
        <v>17063587.219999999</v>
      </c>
      <c r="X105" s="452">
        <v>8716440.2400000002</v>
      </c>
      <c r="Y105" s="452">
        <v>17063587.219999999</v>
      </c>
      <c r="Z105" s="452">
        <v>8811285.3499999996</v>
      </c>
      <c r="AA105" s="452">
        <v>17063587.219999999</v>
      </c>
      <c r="AB105" s="452">
        <v>8906130.4600000009</v>
      </c>
      <c r="AC105" s="452">
        <v>17063587.219999999</v>
      </c>
      <c r="AD105" s="452">
        <v>9000975.5700000003</v>
      </c>
      <c r="AE105" s="452">
        <f t="shared" si="5"/>
        <v>17063587.219999999</v>
      </c>
      <c r="AF105" s="452">
        <f t="shared" si="5"/>
        <v>8431904.9099999983</v>
      </c>
    </row>
    <row r="106" spans="1:32">
      <c r="A106" s="446">
        <v>97</v>
      </c>
      <c r="C106" s="24" t="s">
        <v>917</v>
      </c>
      <c r="D106" s="451" t="s">
        <v>910</v>
      </c>
      <c r="E106" s="452">
        <v>541240.59000000008</v>
      </c>
      <c r="F106" s="452">
        <v>225205.66999999998</v>
      </c>
      <c r="G106" s="452">
        <v>541240.59</v>
      </c>
      <c r="H106" s="452">
        <v>228214.07</v>
      </c>
      <c r="I106" s="452">
        <v>541240.59</v>
      </c>
      <c r="J106" s="452">
        <v>231222.47</v>
      </c>
      <c r="K106" s="452">
        <v>541240.59</v>
      </c>
      <c r="L106" s="452">
        <v>234230.87</v>
      </c>
      <c r="M106" s="452">
        <v>541240.59</v>
      </c>
      <c r="N106" s="452">
        <v>237239.27000000002</v>
      </c>
      <c r="O106" s="452">
        <v>541240.59</v>
      </c>
      <c r="P106" s="452">
        <v>240247.67</v>
      </c>
      <c r="Q106" s="452">
        <v>541240.59</v>
      </c>
      <c r="R106" s="452">
        <v>243256.07</v>
      </c>
      <c r="S106" s="452">
        <v>541240.59</v>
      </c>
      <c r="T106" s="452">
        <v>246264.47</v>
      </c>
      <c r="U106" s="452">
        <v>541240.59</v>
      </c>
      <c r="V106" s="452">
        <v>249272.87</v>
      </c>
      <c r="W106" s="452">
        <v>541240.59</v>
      </c>
      <c r="X106" s="452">
        <v>252281.27</v>
      </c>
      <c r="Y106" s="452">
        <v>541240.59</v>
      </c>
      <c r="Z106" s="452">
        <v>255289.67</v>
      </c>
      <c r="AA106" s="452">
        <v>541240.59</v>
      </c>
      <c r="AB106" s="452">
        <v>258298.07</v>
      </c>
      <c r="AC106" s="452">
        <v>541240.59</v>
      </c>
      <c r="AD106" s="452">
        <v>261306.47</v>
      </c>
      <c r="AE106" s="452">
        <f t="shared" si="5"/>
        <v>541240.59</v>
      </c>
      <c r="AF106" s="452">
        <f t="shared" si="5"/>
        <v>243256.06999999998</v>
      </c>
    </row>
    <row r="107" spans="1:32">
      <c r="A107" s="446">
        <v>98</v>
      </c>
      <c r="C107" s="24" t="s">
        <v>1357</v>
      </c>
      <c r="D107" s="451" t="s">
        <v>910</v>
      </c>
      <c r="E107" s="452">
        <v>133873.49</v>
      </c>
      <c r="F107" s="452">
        <v>8925.67</v>
      </c>
      <c r="G107" s="452">
        <v>133873.49</v>
      </c>
      <c r="H107" s="452">
        <v>9669.7800000000007</v>
      </c>
      <c r="I107" s="452">
        <v>133873.49</v>
      </c>
      <c r="J107" s="452">
        <v>10413.890000000001</v>
      </c>
      <c r="K107" s="452">
        <v>133873.49</v>
      </c>
      <c r="L107" s="452">
        <v>11158</v>
      </c>
      <c r="M107" s="452">
        <v>133873.49</v>
      </c>
      <c r="N107" s="452">
        <v>11902.11</v>
      </c>
      <c r="O107" s="452">
        <v>133873.49</v>
      </c>
      <c r="P107" s="452">
        <v>12646.22</v>
      </c>
      <c r="Q107" s="452">
        <v>133873.49</v>
      </c>
      <c r="R107" s="452">
        <v>13390.33</v>
      </c>
      <c r="S107" s="452">
        <v>133873.49</v>
      </c>
      <c r="T107" s="452">
        <v>14134.44</v>
      </c>
      <c r="U107" s="452">
        <v>133873.49</v>
      </c>
      <c r="V107" s="452">
        <v>14878.550000000001</v>
      </c>
      <c r="W107" s="452">
        <v>133873.49</v>
      </c>
      <c r="X107" s="452">
        <v>15622.66</v>
      </c>
      <c r="Y107" s="452">
        <v>133873.49</v>
      </c>
      <c r="Z107" s="452">
        <v>16366.77</v>
      </c>
      <c r="AA107" s="452">
        <v>133873.49</v>
      </c>
      <c r="AB107" s="452">
        <v>17110.88</v>
      </c>
      <c r="AC107" s="452">
        <v>133873.49</v>
      </c>
      <c r="AD107" s="452">
        <v>17854.990000000002</v>
      </c>
      <c r="AE107" s="452">
        <f t="shared" si="5"/>
        <v>133873.49</v>
      </c>
      <c r="AF107" s="452">
        <f t="shared" si="5"/>
        <v>13390.330000000002</v>
      </c>
    </row>
    <row r="108" spans="1:32">
      <c r="A108" s="446">
        <v>99</v>
      </c>
      <c r="C108" s="24" t="s">
        <v>1358</v>
      </c>
      <c r="D108" s="451" t="s">
        <v>910</v>
      </c>
      <c r="E108" s="452">
        <v>55564.55</v>
      </c>
      <c r="F108" s="452">
        <v>306.56</v>
      </c>
      <c r="G108" s="452">
        <v>55564.55</v>
      </c>
      <c r="H108" s="452">
        <v>615.41000000000008</v>
      </c>
      <c r="I108" s="452">
        <v>55564.55</v>
      </c>
      <c r="J108" s="452">
        <v>924.26</v>
      </c>
      <c r="K108" s="452">
        <v>55564.55</v>
      </c>
      <c r="L108" s="452">
        <v>1233.1100000000001</v>
      </c>
      <c r="M108" s="452">
        <v>55564.55</v>
      </c>
      <c r="N108" s="452">
        <v>1541.96</v>
      </c>
      <c r="O108" s="452">
        <v>55564.55</v>
      </c>
      <c r="P108" s="452">
        <v>1850.81</v>
      </c>
      <c r="Q108" s="452">
        <v>55564.55</v>
      </c>
      <c r="R108" s="452">
        <v>2159.66</v>
      </c>
      <c r="S108" s="452">
        <v>55564.55</v>
      </c>
      <c r="T108" s="452">
        <v>2468.5100000000002</v>
      </c>
      <c r="U108" s="452">
        <v>55564.55</v>
      </c>
      <c r="V108" s="452">
        <v>2777.36</v>
      </c>
      <c r="W108" s="452">
        <v>55564.55</v>
      </c>
      <c r="X108" s="452">
        <v>3086.21</v>
      </c>
      <c r="Y108" s="452">
        <v>55564.55</v>
      </c>
      <c r="Z108" s="452">
        <v>3395.06</v>
      </c>
      <c r="AA108" s="452">
        <v>55564.55</v>
      </c>
      <c r="AB108" s="452">
        <v>3703.9100000000003</v>
      </c>
      <c r="AC108" s="452">
        <v>55564.55</v>
      </c>
      <c r="AD108" s="452">
        <v>4012.76</v>
      </c>
      <c r="AE108" s="452">
        <f t="shared" si="5"/>
        <v>55564.55000000001</v>
      </c>
      <c r="AF108" s="452">
        <f t="shared" si="5"/>
        <v>2159.6600000000003</v>
      </c>
    </row>
    <row r="109" spans="1:32">
      <c r="A109" s="446">
        <v>100</v>
      </c>
      <c r="C109" s="24" t="s">
        <v>918</v>
      </c>
      <c r="D109" s="24" t="s">
        <v>910</v>
      </c>
      <c r="E109" s="452">
        <v>7720.22</v>
      </c>
      <c r="F109" s="452">
        <v>7720.22</v>
      </c>
      <c r="G109" s="452">
        <v>7720.22</v>
      </c>
      <c r="H109" s="452">
        <v>7720.2199999999993</v>
      </c>
      <c r="I109" s="452">
        <v>7720.22</v>
      </c>
      <c r="J109" s="452">
        <v>7720.2199999999993</v>
      </c>
      <c r="K109" s="452">
        <v>7720.22</v>
      </c>
      <c r="L109" s="452">
        <v>7720.2199999999993</v>
      </c>
      <c r="M109" s="452">
        <v>7720.22</v>
      </c>
      <c r="N109" s="452">
        <v>7720.2199999999993</v>
      </c>
      <c r="O109" s="452">
        <v>7720.22</v>
      </c>
      <c r="P109" s="452">
        <v>7720.2199999999993</v>
      </c>
      <c r="Q109" s="452">
        <v>7720.22</v>
      </c>
      <c r="R109" s="452">
        <v>7720.2199999999993</v>
      </c>
      <c r="S109" s="452">
        <v>7720.22</v>
      </c>
      <c r="T109" s="452">
        <v>7720.2199999999993</v>
      </c>
      <c r="U109" s="452">
        <v>7720.22</v>
      </c>
      <c r="V109" s="452">
        <v>7720.2199999999993</v>
      </c>
      <c r="W109" s="452">
        <v>7720.22</v>
      </c>
      <c r="X109" s="452">
        <v>7720.2199999999993</v>
      </c>
      <c r="Y109" s="452">
        <v>7720.22</v>
      </c>
      <c r="Z109" s="452">
        <v>7720.2199999999993</v>
      </c>
      <c r="AA109" s="452">
        <v>7720.22</v>
      </c>
      <c r="AB109" s="452">
        <v>7720.2199999999993</v>
      </c>
      <c r="AC109" s="452">
        <v>7720.22</v>
      </c>
      <c r="AD109" s="452">
        <v>7720.2199999999993</v>
      </c>
      <c r="AE109" s="452">
        <f t="shared" si="5"/>
        <v>7720.22</v>
      </c>
      <c r="AF109" s="452">
        <f t="shared" si="5"/>
        <v>7720.22</v>
      </c>
    </row>
    <row r="110" spans="1:32">
      <c r="A110" s="446">
        <v>101</v>
      </c>
      <c r="C110" s="24" t="s">
        <v>1359</v>
      </c>
      <c r="D110" s="24" t="s">
        <v>910</v>
      </c>
      <c r="E110" s="452">
        <v>30627.77</v>
      </c>
      <c r="F110" s="452">
        <v>16164.63</v>
      </c>
      <c r="G110" s="452">
        <v>30627.77</v>
      </c>
      <c r="H110" s="452">
        <v>17015.400000000001</v>
      </c>
      <c r="I110" s="452">
        <v>30627.77</v>
      </c>
      <c r="J110" s="452">
        <v>17866.169999999998</v>
      </c>
      <c r="K110" s="452">
        <v>30627.77</v>
      </c>
      <c r="L110" s="452">
        <v>18716.940000000002</v>
      </c>
      <c r="M110" s="452">
        <v>30627.77</v>
      </c>
      <c r="N110" s="452">
        <v>19567.71</v>
      </c>
      <c r="O110" s="452">
        <v>30627.77</v>
      </c>
      <c r="P110" s="452">
        <v>20418.480000000003</v>
      </c>
      <c r="Q110" s="452">
        <v>30627.77</v>
      </c>
      <c r="R110" s="452">
        <v>21269.25</v>
      </c>
      <c r="S110" s="452">
        <v>30627.77</v>
      </c>
      <c r="T110" s="452">
        <v>22120.02</v>
      </c>
      <c r="U110" s="452">
        <v>30627.77</v>
      </c>
      <c r="V110" s="452">
        <v>22970.79</v>
      </c>
      <c r="W110" s="452">
        <v>30627.77</v>
      </c>
      <c r="X110" s="452">
        <v>23821.56</v>
      </c>
      <c r="Y110" s="452">
        <v>30627.77</v>
      </c>
      <c r="Z110" s="452">
        <v>24672.33</v>
      </c>
      <c r="AA110" s="452">
        <v>30627.77</v>
      </c>
      <c r="AB110" s="452">
        <v>25523.100000000002</v>
      </c>
      <c r="AC110" s="452">
        <v>30627.77</v>
      </c>
      <c r="AD110" s="452">
        <v>26373.87</v>
      </c>
      <c r="AE110" s="452">
        <f t="shared" si="5"/>
        <v>30627.770000000004</v>
      </c>
      <c r="AF110" s="452">
        <f t="shared" si="5"/>
        <v>21269.250000000004</v>
      </c>
    </row>
    <row r="111" spans="1:32">
      <c r="A111" s="446">
        <v>102</v>
      </c>
      <c r="C111" s="24" t="s">
        <v>919</v>
      </c>
      <c r="D111" s="24" t="s">
        <v>910</v>
      </c>
      <c r="E111" s="452">
        <v>14271.5</v>
      </c>
      <c r="F111" s="452">
        <v>14271.5</v>
      </c>
      <c r="G111" s="452">
        <v>14271.5</v>
      </c>
      <c r="H111" s="452">
        <v>14271.5</v>
      </c>
      <c r="I111" s="452">
        <v>14271.5</v>
      </c>
      <c r="J111" s="452">
        <v>14271.5</v>
      </c>
      <c r="K111" s="452">
        <v>14271.5</v>
      </c>
      <c r="L111" s="452">
        <v>14271.5</v>
      </c>
      <c r="M111" s="452">
        <v>14271.5</v>
      </c>
      <c r="N111" s="452">
        <v>14271.5</v>
      </c>
      <c r="O111" s="452">
        <v>14271.5</v>
      </c>
      <c r="P111" s="452">
        <v>14271.5</v>
      </c>
      <c r="Q111" s="452">
        <v>14271.5</v>
      </c>
      <c r="R111" s="452">
        <v>14271.5</v>
      </c>
      <c r="S111" s="452">
        <v>14271.5</v>
      </c>
      <c r="T111" s="452">
        <v>14271.5</v>
      </c>
      <c r="U111" s="452">
        <v>14271.5</v>
      </c>
      <c r="V111" s="452">
        <v>14271.5</v>
      </c>
      <c r="W111" s="452">
        <v>14271.5</v>
      </c>
      <c r="X111" s="452">
        <v>14271.5</v>
      </c>
      <c r="Y111" s="452">
        <v>14271.5</v>
      </c>
      <c r="Z111" s="452">
        <v>14271.5</v>
      </c>
      <c r="AA111" s="452">
        <v>14271.5</v>
      </c>
      <c r="AB111" s="452">
        <v>14271.5</v>
      </c>
      <c r="AC111" s="452">
        <v>14271.5</v>
      </c>
      <c r="AD111" s="452">
        <v>14271.5</v>
      </c>
      <c r="AE111" s="452">
        <f t="shared" si="5"/>
        <v>14271.5</v>
      </c>
      <c r="AF111" s="452">
        <f t="shared" si="5"/>
        <v>14271.5</v>
      </c>
    </row>
    <row r="112" spans="1:32">
      <c r="A112" s="446">
        <v>103</v>
      </c>
      <c r="C112" s="24" t="s">
        <v>1360</v>
      </c>
      <c r="D112" s="24" t="s">
        <v>910</v>
      </c>
      <c r="E112" s="452">
        <v>116864.94</v>
      </c>
      <c r="F112" s="452">
        <v>40904.910000000003</v>
      </c>
      <c r="G112" s="452">
        <v>116864.94</v>
      </c>
      <c r="H112" s="452">
        <v>42852.66</v>
      </c>
      <c r="I112" s="452">
        <v>116864.94</v>
      </c>
      <c r="J112" s="452">
        <v>44800.41</v>
      </c>
      <c r="K112" s="452">
        <v>116864.94</v>
      </c>
      <c r="L112" s="452">
        <v>46748.160000000003</v>
      </c>
      <c r="M112" s="452">
        <v>116864.94</v>
      </c>
      <c r="N112" s="452">
        <v>48695.91</v>
      </c>
      <c r="O112" s="452">
        <v>116864.94</v>
      </c>
      <c r="P112" s="452">
        <v>50643.66</v>
      </c>
      <c r="Q112" s="452">
        <v>116864.94</v>
      </c>
      <c r="R112" s="452">
        <v>52591.41</v>
      </c>
      <c r="S112" s="452">
        <v>116864.94</v>
      </c>
      <c r="T112" s="452">
        <v>54539.16</v>
      </c>
      <c r="U112" s="452">
        <v>116864.94</v>
      </c>
      <c r="V112" s="452">
        <v>56486.91</v>
      </c>
      <c r="W112" s="452">
        <v>116864.94</v>
      </c>
      <c r="X112" s="452">
        <v>58434.659999999996</v>
      </c>
      <c r="Y112" s="452">
        <v>116864.94</v>
      </c>
      <c r="Z112" s="452">
        <v>60382.41</v>
      </c>
      <c r="AA112" s="452">
        <v>116864.94</v>
      </c>
      <c r="AB112" s="452">
        <v>62330.16</v>
      </c>
      <c r="AC112" s="452">
        <v>116864.94</v>
      </c>
      <c r="AD112" s="452">
        <v>64277.909999999996</v>
      </c>
      <c r="AE112" s="452">
        <f t="shared" si="5"/>
        <v>116864.93999999996</v>
      </c>
      <c r="AF112" s="452">
        <f t="shared" si="5"/>
        <v>52591.41</v>
      </c>
    </row>
    <row r="113" spans="1:32">
      <c r="A113" s="446">
        <v>104</v>
      </c>
      <c r="C113" s="24" t="s">
        <v>1361</v>
      </c>
      <c r="D113" s="24" t="s">
        <v>910</v>
      </c>
      <c r="E113" s="452">
        <v>102398.32</v>
      </c>
      <c r="F113" s="452">
        <v>20459.27</v>
      </c>
      <c r="G113" s="452">
        <v>102398.32</v>
      </c>
      <c r="H113" s="452">
        <v>22165.91</v>
      </c>
      <c r="I113" s="452">
        <v>102398.32</v>
      </c>
      <c r="J113" s="452">
        <v>23872.550000000003</v>
      </c>
      <c r="K113" s="452">
        <v>102398.32</v>
      </c>
      <c r="L113" s="452">
        <v>25579.19</v>
      </c>
      <c r="M113" s="452">
        <v>102398.32</v>
      </c>
      <c r="N113" s="452">
        <v>27285.83</v>
      </c>
      <c r="O113" s="452">
        <v>102398.32</v>
      </c>
      <c r="P113" s="452">
        <v>28992.47</v>
      </c>
      <c r="Q113" s="452">
        <v>102398.32</v>
      </c>
      <c r="R113" s="452">
        <v>30699.11</v>
      </c>
      <c r="S113" s="452">
        <v>102398.32</v>
      </c>
      <c r="T113" s="452">
        <v>32405.75</v>
      </c>
      <c r="U113" s="452">
        <v>102398.32</v>
      </c>
      <c r="V113" s="452">
        <v>34112.39</v>
      </c>
      <c r="W113" s="452">
        <v>102398.32</v>
      </c>
      <c r="X113" s="452">
        <v>35819.03</v>
      </c>
      <c r="Y113" s="452">
        <v>102398.32</v>
      </c>
      <c r="Z113" s="452">
        <v>37525.67</v>
      </c>
      <c r="AA113" s="452">
        <v>102398.32</v>
      </c>
      <c r="AB113" s="452">
        <v>39232.31</v>
      </c>
      <c r="AC113" s="452">
        <v>102398.32</v>
      </c>
      <c r="AD113" s="452">
        <v>40938.949999999997</v>
      </c>
      <c r="AE113" s="452">
        <f t="shared" si="5"/>
        <v>102398.32000000002</v>
      </c>
      <c r="AF113" s="452">
        <f t="shared" si="5"/>
        <v>30699.11</v>
      </c>
    </row>
    <row r="114" spans="1:32">
      <c r="A114" s="446">
        <v>105</v>
      </c>
      <c r="C114" s="24" t="s">
        <v>1362</v>
      </c>
      <c r="D114" s="24" t="s">
        <v>910</v>
      </c>
      <c r="E114" s="452">
        <v>633813.57000000007</v>
      </c>
      <c r="F114" s="452">
        <v>0</v>
      </c>
      <c r="G114" s="452">
        <v>633850.68999999994</v>
      </c>
      <c r="H114" s="452">
        <v>0</v>
      </c>
      <c r="I114" s="452">
        <v>633850.68999999994</v>
      </c>
      <c r="J114" s="452">
        <v>0</v>
      </c>
      <c r="K114" s="452">
        <v>637338.35</v>
      </c>
      <c r="L114" s="452">
        <v>0</v>
      </c>
      <c r="M114" s="452">
        <v>637993.15</v>
      </c>
      <c r="N114" s="452">
        <v>0</v>
      </c>
      <c r="O114" s="452">
        <v>637993.15</v>
      </c>
      <c r="P114" s="452">
        <v>0</v>
      </c>
      <c r="Q114" s="452">
        <v>637993.15</v>
      </c>
      <c r="R114" s="452">
        <v>0</v>
      </c>
      <c r="S114" s="452">
        <v>637990.93000000005</v>
      </c>
      <c r="T114" s="452">
        <v>0</v>
      </c>
      <c r="U114" s="452">
        <v>637990.93000000005</v>
      </c>
      <c r="V114" s="452">
        <v>0</v>
      </c>
      <c r="W114" s="452">
        <v>637990.93000000005</v>
      </c>
      <c r="X114" s="452">
        <v>0</v>
      </c>
      <c r="Y114" s="452">
        <v>637990.93000000005</v>
      </c>
      <c r="Z114" s="452">
        <v>0</v>
      </c>
      <c r="AA114" s="452">
        <v>637990.93000000005</v>
      </c>
      <c r="AB114" s="452">
        <v>0</v>
      </c>
      <c r="AC114" s="452">
        <v>637921.69999999995</v>
      </c>
      <c r="AD114" s="452">
        <v>0</v>
      </c>
      <c r="AE114" s="452">
        <f t="shared" si="5"/>
        <v>637070.1220833332</v>
      </c>
      <c r="AF114" s="452">
        <f t="shared" si="5"/>
        <v>0</v>
      </c>
    </row>
    <row r="115" spans="1:32">
      <c r="A115" s="446">
        <v>106</v>
      </c>
      <c r="C115" s="24" t="s">
        <v>2281</v>
      </c>
      <c r="D115" s="24" t="s">
        <v>910</v>
      </c>
      <c r="E115" s="452">
        <v>0</v>
      </c>
      <c r="F115" s="452">
        <v>0</v>
      </c>
      <c r="G115" s="452">
        <v>0</v>
      </c>
      <c r="H115" s="452">
        <v>0</v>
      </c>
      <c r="I115" s="452">
        <v>0</v>
      </c>
      <c r="J115" s="452">
        <v>0</v>
      </c>
      <c r="K115" s="452">
        <v>0</v>
      </c>
      <c r="L115" s="452">
        <v>0</v>
      </c>
      <c r="M115" s="452">
        <v>0</v>
      </c>
      <c r="N115" s="452">
        <v>0</v>
      </c>
      <c r="O115" s="452">
        <v>0</v>
      </c>
      <c r="P115" s="452">
        <v>0</v>
      </c>
      <c r="Q115" s="452">
        <v>0</v>
      </c>
      <c r="R115" s="452">
        <v>0</v>
      </c>
      <c r="S115" s="452">
        <v>0</v>
      </c>
      <c r="T115" s="452">
        <v>0</v>
      </c>
      <c r="U115" s="452">
        <v>0</v>
      </c>
      <c r="V115" s="452">
        <v>0</v>
      </c>
      <c r="W115" s="452">
        <v>0</v>
      </c>
      <c r="X115" s="452">
        <v>0</v>
      </c>
      <c r="Y115" s="452">
        <v>0</v>
      </c>
      <c r="Z115" s="452">
        <v>0</v>
      </c>
      <c r="AA115" s="452">
        <v>0</v>
      </c>
      <c r="AB115" s="452">
        <v>0</v>
      </c>
      <c r="AC115" s="452">
        <v>14573.87</v>
      </c>
      <c r="AD115" s="452">
        <v>0</v>
      </c>
      <c r="AE115" s="452">
        <f t="shared" si="5"/>
        <v>607.24458333333337</v>
      </c>
      <c r="AF115" s="452">
        <f t="shared" si="5"/>
        <v>0</v>
      </c>
    </row>
    <row r="116" spans="1:32">
      <c r="A116" s="446">
        <v>107</v>
      </c>
      <c r="C116" s="24" t="s">
        <v>920</v>
      </c>
      <c r="D116" s="24" t="s">
        <v>910</v>
      </c>
      <c r="E116" s="452">
        <v>131168.49</v>
      </c>
      <c r="F116" s="452">
        <v>116236.94</v>
      </c>
      <c r="G116" s="452">
        <v>131168.49</v>
      </c>
      <c r="H116" s="452">
        <v>117798.94</v>
      </c>
      <c r="I116" s="452">
        <v>131168.49</v>
      </c>
      <c r="J116" s="452">
        <v>119360.94</v>
      </c>
      <c r="K116" s="452">
        <v>131168.49</v>
      </c>
      <c r="L116" s="452">
        <v>120922.94</v>
      </c>
      <c r="M116" s="452">
        <v>131168.49</v>
      </c>
      <c r="N116" s="452">
        <v>122484.94</v>
      </c>
      <c r="O116" s="452">
        <v>131168.49</v>
      </c>
      <c r="P116" s="452">
        <v>124046.94</v>
      </c>
      <c r="Q116" s="452">
        <v>131168.49</v>
      </c>
      <c r="R116" s="452">
        <v>125608.94</v>
      </c>
      <c r="S116" s="452">
        <v>131168.49</v>
      </c>
      <c r="T116" s="452">
        <v>127170.94</v>
      </c>
      <c r="U116" s="452">
        <v>131168.49</v>
      </c>
      <c r="V116" s="452">
        <v>128732.94</v>
      </c>
      <c r="W116" s="452">
        <v>131168.49</v>
      </c>
      <c r="X116" s="452">
        <v>130294.94</v>
      </c>
      <c r="Y116" s="452">
        <v>131168.49</v>
      </c>
      <c r="Z116" s="452">
        <v>131168.49</v>
      </c>
      <c r="AA116" s="452">
        <v>131168.49</v>
      </c>
      <c r="AB116" s="452">
        <v>131168.49</v>
      </c>
      <c r="AC116" s="452">
        <v>131168.49</v>
      </c>
      <c r="AD116" s="452">
        <v>131168.49</v>
      </c>
      <c r="AE116" s="452">
        <f t="shared" si="5"/>
        <v>131168.49</v>
      </c>
      <c r="AF116" s="452">
        <f t="shared" si="5"/>
        <v>125205.17958333332</v>
      </c>
    </row>
    <row r="117" spans="1:32">
      <c r="A117" s="446">
        <v>108</v>
      </c>
      <c r="C117" s="24" t="s">
        <v>921</v>
      </c>
      <c r="D117" s="24" t="s">
        <v>910</v>
      </c>
      <c r="E117" s="452">
        <v>3004957.37</v>
      </c>
      <c r="F117" s="452">
        <v>2230146.85</v>
      </c>
      <c r="G117" s="452">
        <v>3004957.37</v>
      </c>
      <c r="H117" s="452">
        <v>2265930.88</v>
      </c>
      <c r="I117" s="452">
        <v>3004957.37</v>
      </c>
      <c r="J117" s="452">
        <v>2301714.91</v>
      </c>
      <c r="K117" s="452">
        <v>3004957.37</v>
      </c>
      <c r="L117" s="452">
        <v>2337498.94</v>
      </c>
      <c r="M117" s="452">
        <v>3004957.37</v>
      </c>
      <c r="N117" s="452">
        <v>2373282.9699999997</v>
      </c>
      <c r="O117" s="452">
        <v>3004957.37</v>
      </c>
      <c r="P117" s="452">
        <v>2409067</v>
      </c>
      <c r="Q117" s="452">
        <v>3004957.37</v>
      </c>
      <c r="R117" s="452">
        <v>2444851.0300000003</v>
      </c>
      <c r="S117" s="452">
        <v>3004957.37</v>
      </c>
      <c r="T117" s="452">
        <v>2480635.06</v>
      </c>
      <c r="U117" s="452">
        <v>3004957.37</v>
      </c>
      <c r="V117" s="452">
        <v>2516419.09</v>
      </c>
      <c r="W117" s="452">
        <v>3004957.37</v>
      </c>
      <c r="X117" s="452">
        <v>2552203.12</v>
      </c>
      <c r="Y117" s="452">
        <v>3004957.37</v>
      </c>
      <c r="Z117" s="452">
        <v>2587987.1500000004</v>
      </c>
      <c r="AA117" s="452">
        <v>3004957.37</v>
      </c>
      <c r="AB117" s="452">
        <v>2623771.1799999997</v>
      </c>
      <c r="AC117" s="452">
        <v>3004957.37</v>
      </c>
      <c r="AD117" s="452">
        <v>2659555.21</v>
      </c>
      <c r="AE117" s="452">
        <f t="shared" si="5"/>
        <v>3004957.3700000006</v>
      </c>
      <c r="AF117" s="452">
        <f t="shared" si="5"/>
        <v>2444851.0300000007</v>
      </c>
    </row>
    <row r="118" spans="1:32">
      <c r="A118" s="446">
        <v>109</v>
      </c>
      <c r="C118" s="24" t="s">
        <v>922</v>
      </c>
      <c r="D118" s="24" t="s">
        <v>910</v>
      </c>
      <c r="E118" s="452">
        <v>585144.89</v>
      </c>
      <c r="F118" s="452">
        <v>353410.95999999996</v>
      </c>
      <c r="G118" s="452">
        <v>585144.89</v>
      </c>
      <c r="H118" s="452">
        <v>360379.06</v>
      </c>
      <c r="I118" s="452">
        <v>585144.89</v>
      </c>
      <c r="J118" s="452">
        <v>367347.16</v>
      </c>
      <c r="K118" s="452">
        <v>585144.89</v>
      </c>
      <c r="L118" s="452">
        <v>374315.26</v>
      </c>
      <c r="M118" s="452">
        <v>585144.89</v>
      </c>
      <c r="N118" s="452">
        <v>381283.36</v>
      </c>
      <c r="O118" s="452">
        <v>585144.89</v>
      </c>
      <c r="P118" s="452">
        <v>388251.46</v>
      </c>
      <c r="Q118" s="452">
        <v>585144.89</v>
      </c>
      <c r="R118" s="452">
        <v>395219.56</v>
      </c>
      <c r="S118" s="452">
        <v>585144.89</v>
      </c>
      <c r="T118" s="452">
        <v>402187.66000000003</v>
      </c>
      <c r="U118" s="452">
        <v>585144.89</v>
      </c>
      <c r="V118" s="452">
        <v>409155.76</v>
      </c>
      <c r="W118" s="452">
        <v>585144.89</v>
      </c>
      <c r="X118" s="452">
        <v>416123.86</v>
      </c>
      <c r="Y118" s="452">
        <v>585144.89</v>
      </c>
      <c r="Z118" s="452">
        <v>423091.96</v>
      </c>
      <c r="AA118" s="452">
        <v>585144.89</v>
      </c>
      <c r="AB118" s="452">
        <v>430060.06</v>
      </c>
      <c r="AC118" s="452">
        <v>585144.89</v>
      </c>
      <c r="AD118" s="452">
        <v>437028.16000000003</v>
      </c>
      <c r="AE118" s="452">
        <f t="shared" si="5"/>
        <v>585144.8899999999</v>
      </c>
      <c r="AF118" s="452">
        <f t="shared" si="5"/>
        <v>395219.56</v>
      </c>
    </row>
    <row r="119" spans="1:32">
      <c r="A119" s="446">
        <v>110</v>
      </c>
      <c r="C119" s="24" t="s">
        <v>923</v>
      </c>
      <c r="D119" s="24" t="s">
        <v>910</v>
      </c>
      <c r="E119" s="452">
        <v>20560.650000000001</v>
      </c>
      <c r="F119" s="452">
        <v>11973.93</v>
      </c>
      <c r="G119" s="452">
        <v>20560.650000000001</v>
      </c>
      <c r="H119" s="452">
        <v>12218.77</v>
      </c>
      <c r="I119" s="452">
        <v>20560.650000000001</v>
      </c>
      <c r="J119" s="452">
        <v>12463.61</v>
      </c>
      <c r="K119" s="452">
        <v>20560.650000000001</v>
      </c>
      <c r="L119" s="452">
        <v>12708.45</v>
      </c>
      <c r="M119" s="452">
        <v>20560.650000000001</v>
      </c>
      <c r="N119" s="452">
        <v>12953.29</v>
      </c>
      <c r="O119" s="452">
        <v>20560.650000000001</v>
      </c>
      <c r="P119" s="452">
        <v>13198.130000000001</v>
      </c>
      <c r="Q119" s="452">
        <v>20560.650000000001</v>
      </c>
      <c r="R119" s="452">
        <v>13442.970000000001</v>
      </c>
      <c r="S119" s="452">
        <v>20560.650000000001</v>
      </c>
      <c r="T119" s="452">
        <v>13687.81</v>
      </c>
      <c r="U119" s="452">
        <v>20560.650000000001</v>
      </c>
      <c r="V119" s="452">
        <v>13932.650000000001</v>
      </c>
      <c r="W119" s="452">
        <v>20560.650000000001</v>
      </c>
      <c r="X119" s="452">
        <v>14177.49</v>
      </c>
      <c r="Y119" s="452">
        <v>20560.650000000001</v>
      </c>
      <c r="Z119" s="452">
        <v>14422.330000000002</v>
      </c>
      <c r="AA119" s="452">
        <v>20560.650000000001</v>
      </c>
      <c r="AB119" s="452">
        <v>14667.17</v>
      </c>
      <c r="AC119" s="452">
        <v>20560.650000000001</v>
      </c>
      <c r="AD119" s="452">
        <v>14912.01</v>
      </c>
      <c r="AE119" s="452">
        <f t="shared" si="5"/>
        <v>20560.649999999998</v>
      </c>
      <c r="AF119" s="452">
        <f t="shared" si="5"/>
        <v>13442.970000000001</v>
      </c>
    </row>
    <row r="120" spans="1:32">
      <c r="A120" s="446">
        <v>111</v>
      </c>
      <c r="C120" s="24" t="s">
        <v>1363</v>
      </c>
      <c r="D120" s="24" t="s">
        <v>910</v>
      </c>
      <c r="E120" s="452">
        <v>2996321.4</v>
      </c>
      <c r="F120" s="452">
        <v>765436.64</v>
      </c>
      <c r="G120" s="452">
        <v>2996321.4</v>
      </c>
      <c r="H120" s="452">
        <v>801117.83000000007</v>
      </c>
      <c r="I120" s="452">
        <v>2996321.4</v>
      </c>
      <c r="J120" s="452">
        <v>836799.02</v>
      </c>
      <c r="K120" s="452">
        <v>2996321.4</v>
      </c>
      <c r="L120" s="452">
        <v>872480.21</v>
      </c>
      <c r="M120" s="452">
        <v>2996321.4</v>
      </c>
      <c r="N120" s="452">
        <v>908161.4</v>
      </c>
      <c r="O120" s="452">
        <v>2996321.4</v>
      </c>
      <c r="P120" s="452">
        <v>943842.59000000008</v>
      </c>
      <c r="Q120" s="452">
        <v>2996321.4</v>
      </c>
      <c r="R120" s="452">
        <v>979523.78</v>
      </c>
      <c r="S120" s="452">
        <v>2996321.4</v>
      </c>
      <c r="T120" s="452">
        <v>1015204.9700000001</v>
      </c>
      <c r="U120" s="452">
        <v>2996321.4</v>
      </c>
      <c r="V120" s="452">
        <v>1050886.1599999999</v>
      </c>
      <c r="W120" s="452">
        <v>2996321.4</v>
      </c>
      <c r="X120" s="452">
        <v>1086567.3500000001</v>
      </c>
      <c r="Y120" s="452">
        <v>2996321.4</v>
      </c>
      <c r="Z120" s="452">
        <v>1122248.54</v>
      </c>
      <c r="AA120" s="452">
        <v>2996321.4</v>
      </c>
      <c r="AB120" s="452">
        <v>1157929.73</v>
      </c>
      <c r="AC120" s="452">
        <v>2316740.37</v>
      </c>
      <c r="AD120" s="452">
        <v>922893.85000000009</v>
      </c>
      <c r="AE120" s="452">
        <f t="shared" si="5"/>
        <v>2968005.5237499992</v>
      </c>
      <c r="AF120" s="452">
        <f t="shared" si="5"/>
        <v>968243.90208333358</v>
      </c>
    </row>
    <row r="121" spans="1:32">
      <c r="A121" s="446">
        <v>112</v>
      </c>
      <c r="C121" s="24" t="s">
        <v>1364</v>
      </c>
      <c r="D121" s="24" t="s">
        <v>910</v>
      </c>
      <c r="E121" s="452">
        <v>656793.18000000005</v>
      </c>
      <c r="F121" s="452">
        <v>93915.55</v>
      </c>
      <c r="G121" s="452">
        <v>654150.74</v>
      </c>
      <c r="H121" s="452">
        <v>101736.86</v>
      </c>
      <c r="I121" s="452">
        <v>654150.74</v>
      </c>
      <c r="J121" s="452">
        <v>109526.71</v>
      </c>
      <c r="K121" s="452">
        <v>654150.74</v>
      </c>
      <c r="L121" s="452">
        <v>117316.56</v>
      </c>
      <c r="M121" s="452">
        <v>654150.74</v>
      </c>
      <c r="N121" s="452">
        <v>125106.41</v>
      </c>
      <c r="O121" s="452">
        <v>654150.74</v>
      </c>
      <c r="P121" s="452">
        <v>132896.26</v>
      </c>
      <c r="Q121" s="452">
        <v>654150.74</v>
      </c>
      <c r="R121" s="452">
        <v>140686.11000000002</v>
      </c>
      <c r="S121" s="452">
        <v>654150.74</v>
      </c>
      <c r="T121" s="452">
        <v>148475.96</v>
      </c>
      <c r="U121" s="452">
        <v>654150.74</v>
      </c>
      <c r="V121" s="452">
        <v>156265.81</v>
      </c>
      <c r="W121" s="452">
        <v>654150.74</v>
      </c>
      <c r="X121" s="452">
        <v>164055.66</v>
      </c>
      <c r="Y121" s="452">
        <v>654150.74</v>
      </c>
      <c r="Z121" s="452">
        <v>171845.51</v>
      </c>
      <c r="AA121" s="452">
        <v>654150.74</v>
      </c>
      <c r="AB121" s="452">
        <v>179635.36000000002</v>
      </c>
      <c r="AC121" s="452">
        <v>654150.74</v>
      </c>
      <c r="AD121" s="452">
        <v>187425.21</v>
      </c>
      <c r="AE121" s="452">
        <f t="shared" si="5"/>
        <v>654260.84166666679</v>
      </c>
      <c r="AF121" s="452">
        <f t="shared" si="5"/>
        <v>140684.79916666666</v>
      </c>
    </row>
    <row r="122" spans="1:32">
      <c r="A122" s="446">
        <v>113</v>
      </c>
      <c r="C122" s="24" t="s">
        <v>1365</v>
      </c>
      <c r="D122" s="24" t="s">
        <v>910</v>
      </c>
      <c r="E122" s="452">
        <v>123571.06</v>
      </c>
      <c r="F122" s="452">
        <v>0</v>
      </c>
      <c r="G122" s="452">
        <v>123571.06</v>
      </c>
      <c r="H122" s="452">
        <v>1471.5300000000002</v>
      </c>
      <c r="I122" s="452">
        <v>123571.06</v>
      </c>
      <c r="J122" s="452">
        <v>2943.0600000000004</v>
      </c>
      <c r="K122" s="452">
        <v>123571.06</v>
      </c>
      <c r="L122" s="452">
        <v>4414.59</v>
      </c>
      <c r="M122" s="452">
        <v>123571.06</v>
      </c>
      <c r="N122" s="452">
        <v>5886.1200000000008</v>
      </c>
      <c r="O122" s="452">
        <v>123571.06</v>
      </c>
      <c r="P122" s="452">
        <v>7357.65</v>
      </c>
      <c r="Q122" s="452">
        <v>123571.06</v>
      </c>
      <c r="R122" s="452">
        <v>8829.18</v>
      </c>
      <c r="S122" s="452">
        <v>123571.06</v>
      </c>
      <c r="T122" s="452">
        <v>10300.709999999999</v>
      </c>
      <c r="U122" s="452">
        <v>123571.06</v>
      </c>
      <c r="V122" s="452">
        <v>11772.240000000002</v>
      </c>
      <c r="W122" s="452">
        <v>123571.06</v>
      </c>
      <c r="X122" s="452">
        <v>13243.77</v>
      </c>
      <c r="Y122" s="452">
        <v>123571.06</v>
      </c>
      <c r="Z122" s="452">
        <v>14715.3</v>
      </c>
      <c r="AA122" s="452">
        <v>123571.06</v>
      </c>
      <c r="AB122" s="452">
        <v>16186.83</v>
      </c>
      <c r="AC122" s="452">
        <v>123571.06</v>
      </c>
      <c r="AD122" s="452">
        <v>17658.36</v>
      </c>
      <c r="AE122" s="452">
        <f t="shared" si="5"/>
        <v>123571.06000000004</v>
      </c>
      <c r="AF122" s="452">
        <f t="shared" si="5"/>
        <v>8829.18</v>
      </c>
    </row>
    <row r="123" spans="1:32">
      <c r="A123" s="446">
        <v>114</v>
      </c>
      <c r="C123" s="24" t="s">
        <v>2282</v>
      </c>
      <c r="D123" s="24" t="s">
        <v>910</v>
      </c>
      <c r="E123" s="452">
        <v>0</v>
      </c>
      <c r="F123" s="452">
        <v>0</v>
      </c>
      <c r="G123" s="452">
        <v>0</v>
      </c>
      <c r="H123" s="452">
        <v>0</v>
      </c>
      <c r="I123" s="452">
        <v>0</v>
      </c>
      <c r="J123" s="452">
        <v>0</v>
      </c>
      <c r="K123" s="452">
        <v>0</v>
      </c>
      <c r="L123" s="452">
        <v>0</v>
      </c>
      <c r="M123" s="452">
        <v>0</v>
      </c>
      <c r="N123" s="452">
        <v>0</v>
      </c>
      <c r="O123" s="452">
        <v>0</v>
      </c>
      <c r="P123" s="452">
        <v>0</v>
      </c>
      <c r="Q123" s="452">
        <v>0</v>
      </c>
      <c r="R123" s="452">
        <v>0</v>
      </c>
      <c r="S123" s="452">
        <v>0</v>
      </c>
      <c r="T123" s="452">
        <v>0</v>
      </c>
      <c r="U123" s="452">
        <v>0</v>
      </c>
      <c r="V123" s="452">
        <v>0</v>
      </c>
      <c r="W123" s="452">
        <v>0</v>
      </c>
      <c r="X123" s="452">
        <v>0</v>
      </c>
      <c r="Y123" s="452">
        <v>0</v>
      </c>
      <c r="Z123" s="452">
        <v>0</v>
      </c>
      <c r="AA123" s="452">
        <v>0</v>
      </c>
      <c r="AB123" s="452">
        <v>0</v>
      </c>
      <c r="AC123" s="452">
        <v>220234.71</v>
      </c>
      <c r="AD123" s="452">
        <v>0</v>
      </c>
      <c r="AE123" s="452">
        <f t="shared" si="5"/>
        <v>9176.4462499999991</v>
      </c>
      <c r="AF123" s="452">
        <f t="shared" si="5"/>
        <v>0</v>
      </c>
    </row>
    <row r="124" spans="1:32">
      <c r="A124" s="446">
        <v>115</v>
      </c>
      <c r="C124" s="24" t="s">
        <v>2283</v>
      </c>
      <c r="D124" s="24" t="s">
        <v>910</v>
      </c>
      <c r="E124" s="452">
        <v>0</v>
      </c>
      <c r="F124" s="452">
        <v>0</v>
      </c>
      <c r="G124" s="452">
        <v>0</v>
      </c>
      <c r="H124" s="452">
        <v>0</v>
      </c>
      <c r="I124" s="452">
        <v>0</v>
      </c>
      <c r="J124" s="452">
        <v>0</v>
      </c>
      <c r="K124" s="452">
        <v>0</v>
      </c>
      <c r="L124" s="452">
        <v>0</v>
      </c>
      <c r="M124" s="452">
        <v>0</v>
      </c>
      <c r="N124" s="452">
        <v>0</v>
      </c>
      <c r="O124" s="452">
        <v>0</v>
      </c>
      <c r="P124" s="452">
        <v>0</v>
      </c>
      <c r="Q124" s="452">
        <v>0</v>
      </c>
      <c r="R124" s="452">
        <v>0</v>
      </c>
      <c r="S124" s="452">
        <v>0</v>
      </c>
      <c r="T124" s="452">
        <v>0</v>
      </c>
      <c r="U124" s="452">
        <v>0</v>
      </c>
      <c r="V124" s="452">
        <v>0</v>
      </c>
      <c r="W124" s="452">
        <v>0</v>
      </c>
      <c r="X124" s="452">
        <v>0</v>
      </c>
      <c r="Y124" s="452">
        <v>0</v>
      </c>
      <c r="Z124" s="452">
        <v>0</v>
      </c>
      <c r="AA124" s="452">
        <v>167698.90000000002</v>
      </c>
      <c r="AB124" s="452">
        <v>0</v>
      </c>
      <c r="AC124" s="452">
        <v>166354.96000000002</v>
      </c>
      <c r="AD124" s="452">
        <v>1746.8600000000001</v>
      </c>
      <c r="AE124" s="452">
        <f t="shared" si="5"/>
        <v>20906.365000000002</v>
      </c>
      <c r="AF124" s="452">
        <f t="shared" si="5"/>
        <v>72.785833333333343</v>
      </c>
    </row>
    <row r="125" spans="1:32">
      <c r="A125" s="446">
        <v>116</v>
      </c>
      <c r="C125" s="24" t="s">
        <v>2284</v>
      </c>
      <c r="D125" s="24" t="s">
        <v>910</v>
      </c>
      <c r="E125" s="452">
        <v>0</v>
      </c>
      <c r="F125" s="452">
        <v>0</v>
      </c>
      <c r="G125" s="452">
        <v>0</v>
      </c>
      <c r="H125" s="452">
        <v>0</v>
      </c>
      <c r="I125" s="452">
        <v>0</v>
      </c>
      <c r="J125" s="452">
        <v>0</v>
      </c>
      <c r="K125" s="452">
        <v>0</v>
      </c>
      <c r="L125" s="452">
        <v>0</v>
      </c>
      <c r="M125" s="452">
        <v>0</v>
      </c>
      <c r="N125" s="452">
        <v>0</v>
      </c>
      <c r="O125" s="452">
        <v>0</v>
      </c>
      <c r="P125" s="452">
        <v>0</v>
      </c>
      <c r="Q125" s="452">
        <v>0</v>
      </c>
      <c r="R125" s="452">
        <v>0</v>
      </c>
      <c r="S125" s="452">
        <v>0</v>
      </c>
      <c r="T125" s="452">
        <v>0</v>
      </c>
      <c r="U125" s="452">
        <v>0</v>
      </c>
      <c r="V125" s="452">
        <v>0</v>
      </c>
      <c r="W125" s="452">
        <v>0</v>
      </c>
      <c r="X125" s="452">
        <v>0</v>
      </c>
      <c r="Y125" s="452">
        <v>0</v>
      </c>
      <c r="Z125" s="452">
        <v>0</v>
      </c>
      <c r="AA125" s="452">
        <v>0</v>
      </c>
      <c r="AB125" s="452">
        <v>0</v>
      </c>
      <c r="AC125" s="452">
        <v>2784867.69</v>
      </c>
      <c r="AD125" s="452">
        <v>1482032.63</v>
      </c>
      <c r="AE125" s="452">
        <f t="shared" si="5"/>
        <v>116036.15375</v>
      </c>
      <c r="AF125" s="452">
        <f t="shared" si="5"/>
        <v>61751.359583333331</v>
      </c>
    </row>
    <row r="126" spans="1:32">
      <c r="A126" s="446">
        <v>117</v>
      </c>
      <c r="C126" s="24" t="s">
        <v>924</v>
      </c>
      <c r="D126" s="24" t="s">
        <v>910</v>
      </c>
      <c r="E126" s="452">
        <v>94899.760000000009</v>
      </c>
      <c r="F126" s="452">
        <v>0</v>
      </c>
      <c r="G126" s="452">
        <v>94899.760000000009</v>
      </c>
      <c r="H126" s="452">
        <v>0</v>
      </c>
      <c r="I126" s="452">
        <v>94899.760000000009</v>
      </c>
      <c r="J126" s="452">
        <v>0</v>
      </c>
      <c r="K126" s="452">
        <v>94899.760000000009</v>
      </c>
      <c r="L126" s="452">
        <v>0</v>
      </c>
      <c r="M126" s="452">
        <v>94899.760000000009</v>
      </c>
      <c r="N126" s="452">
        <v>0</v>
      </c>
      <c r="O126" s="452">
        <v>94899.760000000009</v>
      </c>
      <c r="P126" s="452">
        <v>0</v>
      </c>
      <c r="Q126" s="452">
        <v>94899.760000000009</v>
      </c>
      <c r="R126" s="452">
        <v>0</v>
      </c>
      <c r="S126" s="452">
        <v>94899.760000000009</v>
      </c>
      <c r="T126" s="452">
        <v>0</v>
      </c>
      <c r="U126" s="452">
        <v>94899.760000000009</v>
      </c>
      <c r="V126" s="452">
        <v>0</v>
      </c>
      <c r="W126" s="452">
        <v>94899.760000000009</v>
      </c>
      <c r="X126" s="452">
        <v>0</v>
      </c>
      <c r="Y126" s="452">
        <v>94899.760000000009</v>
      </c>
      <c r="Z126" s="452">
        <v>0</v>
      </c>
      <c r="AA126" s="452">
        <v>94899.760000000009</v>
      </c>
      <c r="AB126" s="452">
        <v>0</v>
      </c>
      <c r="AC126" s="452">
        <v>94899.760000000009</v>
      </c>
      <c r="AD126" s="452">
        <v>0</v>
      </c>
      <c r="AE126" s="452">
        <f t="shared" si="5"/>
        <v>94899.760000000009</v>
      </c>
      <c r="AF126" s="452">
        <f t="shared" si="5"/>
        <v>0</v>
      </c>
    </row>
    <row r="127" spans="1:32">
      <c r="A127" s="446">
        <v>118</v>
      </c>
      <c r="C127" s="24" t="s">
        <v>925</v>
      </c>
      <c r="D127" s="24" t="s">
        <v>910</v>
      </c>
      <c r="E127" s="452">
        <v>399189.1</v>
      </c>
      <c r="F127" s="452">
        <v>419228.1</v>
      </c>
      <c r="G127" s="452">
        <v>399189.10000000003</v>
      </c>
      <c r="H127" s="452">
        <v>419228.10000000003</v>
      </c>
      <c r="I127" s="452">
        <v>399189.10000000003</v>
      </c>
      <c r="J127" s="452">
        <v>419228.10000000003</v>
      </c>
      <c r="K127" s="452">
        <v>399189.10000000003</v>
      </c>
      <c r="L127" s="452">
        <v>419228.10000000003</v>
      </c>
      <c r="M127" s="452">
        <v>399189.10000000003</v>
      </c>
      <c r="N127" s="452">
        <v>419228.10000000003</v>
      </c>
      <c r="O127" s="452">
        <v>422081.87</v>
      </c>
      <c r="P127" s="452">
        <v>415354.55000000005</v>
      </c>
      <c r="Q127" s="452">
        <v>422081.87</v>
      </c>
      <c r="R127" s="452">
        <v>415547.62</v>
      </c>
      <c r="S127" s="452">
        <v>422081.87</v>
      </c>
      <c r="T127" s="452">
        <v>415976.74000000005</v>
      </c>
      <c r="U127" s="452">
        <v>422081.87</v>
      </c>
      <c r="V127" s="452">
        <v>416405.86</v>
      </c>
      <c r="W127" s="452">
        <v>422081.87</v>
      </c>
      <c r="X127" s="452">
        <v>416834.98</v>
      </c>
      <c r="Y127" s="452">
        <v>422081.87</v>
      </c>
      <c r="Z127" s="452">
        <v>417264.1</v>
      </c>
      <c r="AA127" s="452">
        <v>422081.87</v>
      </c>
      <c r="AB127" s="452">
        <v>417693.22</v>
      </c>
      <c r="AC127" s="452">
        <v>421631.54</v>
      </c>
      <c r="AD127" s="452">
        <v>418122.34</v>
      </c>
      <c r="AE127" s="452">
        <f t="shared" si="5"/>
        <v>413478.31750000006</v>
      </c>
      <c r="AF127" s="452">
        <f t="shared" si="5"/>
        <v>417555.39083333337</v>
      </c>
    </row>
    <row r="128" spans="1:32">
      <c r="A128" s="446">
        <v>119</v>
      </c>
      <c r="C128" s="24" t="s">
        <v>926</v>
      </c>
      <c r="D128" s="24" t="s">
        <v>910</v>
      </c>
      <c r="E128" s="452">
        <v>954713.11</v>
      </c>
      <c r="F128" s="452">
        <v>696776.96000000008</v>
      </c>
      <c r="G128" s="452">
        <v>954713.11</v>
      </c>
      <c r="H128" s="452">
        <v>696776.96</v>
      </c>
      <c r="I128" s="452">
        <v>954713.11</v>
      </c>
      <c r="J128" s="452">
        <v>696776.96</v>
      </c>
      <c r="K128" s="452">
        <v>954713.11</v>
      </c>
      <c r="L128" s="452">
        <v>696776.96</v>
      </c>
      <c r="M128" s="452">
        <v>954713.11</v>
      </c>
      <c r="N128" s="452">
        <v>696776.96</v>
      </c>
      <c r="O128" s="452">
        <v>954713.11</v>
      </c>
      <c r="P128" s="452">
        <v>696776.96</v>
      </c>
      <c r="Q128" s="452">
        <v>954713.11</v>
      </c>
      <c r="R128" s="452">
        <v>696776.96</v>
      </c>
      <c r="S128" s="452">
        <v>954713.11</v>
      </c>
      <c r="T128" s="452">
        <v>696776.96</v>
      </c>
      <c r="U128" s="452">
        <v>954713.11</v>
      </c>
      <c r="V128" s="452">
        <v>696776.96</v>
      </c>
      <c r="W128" s="452">
        <v>954713.11</v>
      </c>
      <c r="X128" s="452">
        <v>696776.96</v>
      </c>
      <c r="Y128" s="452">
        <v>954713.11</v>
      </c>
      <c r="Z128" s="452">
        <v>696776.96</v>
      </c>
      <c r="AA128" s="452">
        <v>954713.11</v>
      </c>
      <c r="AB128" s="452">
        <v>696776.96</v>
      </c>
      <c r="AC128" s="452">
        <v>954713.11</v>
      </c>
      <c r="AD128" s="452">
        <v>696776.96</v>
      </c>
      <c r="AE128" s="452">
        <f t="shared" si="5"/>
        <v>954713.10999999987</v>
      </c>
      <c r="AF128" s="452">
        <f t="shared" si="5"/>
        <v>696776.96</v>
      </c>
    </row>
    <row r="129" spans="1:32">
      <c r="A129" s="446">
        <v>120</v>
      </c>
      <c r="C129" s="24" t="s">
        <v>927</v>
      </c>
      <c r="D129" s="24" t="s">
        <v>910</v>
      </c>
      <c r="E129" s="452">
        <v>5944803.1500000004</v>
      </c>
      <c r="F129" s="452">
        <v>5541204.4500000002</v>
      </c>
      <c r="G129" s="452">
        <v>5944803.6600000001</v>
      </c>
      <c r="H129" s="452">
        <v>5547347.4100000001</v>
      </c>
      <c r="I129" s="452">
        <v>5944803.6600000001</v>
      </c>
      <c r="J129" s="452">
        <v>5553490.3700000001</v>
      </c>
      <c r="K129" s="452">
        <v>5978074.5600000005</v>
      </c>
      <c r="L129" s="452">
        <v>5559633.3300000001</v>
      </c>
      <c r="M129" s="452">
        <v>5978074.5600000005</v>
      </c>
      <c r="N129" s="452">
        <v>5565810.6699999999</v>
      </c>
      <c r="O129" s="452">
        <v>5978074.5600000005</v>
      </c>
      <c r="P129" s="452">
        <v>5571988.0099999998</v>
      </c>
      <c r="Q129" s="452">
        <v>5977384.3000000007</v>
      </c>
      <c r="R129" s="452">
        <v>5578165.3499999996</v>
      </c>
      <c r="S129" s="452">
        <v>5977384.3000000007</v>
      </c>
      <c r="T129" s="452">
        <v>5584341.9799999995</v>
      </c>
      <c r="U129" s="452">
        <v>5977384.3000000007</v>
      </c>
      <c r="V129" s="452">
        <v>5590518.6100000003</v>
      </c>
      <c r="W129" s="452">
        <v>5977486.1900000004</v>
      </c>
      <c r="X129" s="452">
        <v>5596695.2400000002</v>
      </c>
      <c r="Y129" s="452">
        <v>5977486.1900000004</v>
      </c>
      <c r="Z129" s="452">
        <v>5602871.9799999995</v>
      </c>
      <c r="AA129" s="452">
        <v>5977486.1900000004</v>
      </c>
      <c r="AB129" s="452">
        <v>5609048.7200000007</v>
      </c>
      <c r="AC129" s="452">
        <v>5977291.5</v>
      </c>
      <c r="AD129" s="452">
        <v>5615225.46</v>
      </c>
      <c r="AE129" s="452">
        <f t="shared" si="5"/>
        <v>5970790.8162500001</v>
      </c>
      <c r="AF129" s="452">
        <f t="shared" si="5"/>
        <v>5578177.2187499991</v>
      </c>
    </row>
    <row r="130" spans="1:32">
      <c r="A130" s="446">
        <v>121</v>
      </c>
      <c r="C130" s="24" t="s">
        <v>928</v>
      </c>
      <c r="D130" s="24" t="s">
        <v>910</v>
      </c>
      <c r="E130" s="452">
        <v>3129482.49</v>
      </c>
      <c r="F130" s="452">
        <v>1073696.77</v>
      </c>
      <c r="G130" s="452">
        <v>3149441.87</v>
      </c>
      <c r="H130" s="452">
        <v>1116049.1000000001</v>
      </c>
      <c r="I130" s="452">
        <v>3149934.33</v>
      </c>
      <c r="J130" s="452">
        <v>1158671.55</v>
      </c>
      <c r="K130" s="452">
        <v>3163528.4499999997</v>
      </c>
      <c r="L130" s="452">
        <v>1201300.6599999999</v>
      </c>
      <c r="M130" s="452">
        <v>3163528.4499999997</v>
      </c>
      <c r="N130" s="452">
        <v>1244113.75</v>
      </c>
      <c r="O130" s="452">
        <v>3163528.4499999997</v>
      </c>
      <c r="P130" s="452">
        <v>1286926.8400000001</v>
      </c>
      <c r="Q130" s="452">
        <v>3163528.4499999997</v>
      </c>
      <c r="R130" s="452">
        <v>1329739.9300000002</v>
      </c>
      <c r="S130" s="452">
        <v>3163528.4499999997</v>
      </c>
      <c r="T130" s="452">
        <v>1372553.02</v>
      </c>
      <c r="U130" s="452">
        <v>3163528.4499999997</v>
      </c>
      <c r="V130" s="452">
        <v>1415366.11</v>
      </c>
      <c r="W130" s="452">
        <v>3178999.78</v>
      </c>
      <c r="X130" s="452">
        <v>1458179.2</v>
      </c>
      <c r="Y130" s="452">
        <v>3178999.78</v>
      </c>
      <c r="Z130" s="452">
        <v>1501201.66</v>
      </c>
      <c r="AA130" s="452">
        <v>3178999.78</v>
      </c>
      <c r="AB130" s="452">
        <v>1544224.1199999999</v>
      </c>
      <c r="AC130" s="452">
        <v>3494588.6599999997</v>
      </c>
      <c r="AD130" s="452">
        <v>1587246.5799999998</v>
      </c>
      <c r="AE130" s="452">
        <f t="shared" si="5"/>
        <v>3177465.1512500006</v>
      </c>
      <c r="AF130" s="452">
        <f t="shared" si="5"/>
        <v>1329899.8012499998</v>
      </c>
    </row>
    <row r="131" spans="1:32">
      <c r="A131" s="446">
        <v>122</v>
      </c>
      <c r="C131" s="24" t="s">
        <v>929</v>
      </c>
      <c r="D131" s="24" t="s">
        <v>910</v>
      </c>
      <c r="E131" s="452">
        <v>158310.35</v>
      </c>
      <c r="F131" s="452">
        <v>-193316.37000000002</v>
      </c>
      <c r="G131" s="452">
        <v>158310.35</v>
      </c>
      <c r="H131" s="452">
        <v>-191024.83000000002</v>
      </c>
      <c r="I131" s="452">
        <v>158310.35</v>
      </c>
      <c r="J131" s="452">
        <v>-188733.29</v>
      </c>
      <c r="K131" s="452">
        <v>158310.35</v>
      </c>
      <c r="L131" s="452">
        <v>-186441.75</v>
      </c>
      <c r="M131" s="452">
        <v>158310.35</v>
      </c>
      <c r="N131" s="452">
        <v>-184150.21000000002</v>
      </c>
      <c r="O131" s="452">
        <v>158310.35</v>
      </c>
      <c r="P131" s="452">
        <v>-181858.66999999998</v>
      </c>
      <c r="Q131" s="452">
        <v>158310.35</v>
      </c>
      <c r="R131" s="452">
        <v>-179567.13</v>
      </c>
      <c r="S131" s="452">
        <v>158310.35</v>
      </c>
      <c r="T131" s="452">
        <v>-177275.59000000003</v>
      </c>
      <c r="U131" s="452">
        <v>158310.35</v>
      </c>
      <c r="V131" s="452">
        <v>-174984.05</v>
      </c>
      <c r="W131" s="452">
        <v>158310.35</v>
      </c>
      <c r="X131" s="452">
        <v>-172692.51</v>
      </c>
      <c r="Y131" s="452">
        <v>158310.35</v>
      </c>
      <c r="Z131" s="452">
        <v>-170400.97</v>
      </c>
      <c r="AA131" s="452">
        <v>158310.35</v>
      </c>
      <c r="AB131" s="452">
        <v>-168109.43</v>
      </c>
      <c r="AC131" s="452">
        <v>158310.35</v>
      </c>
      <c r="AD131" s="452">
        <v>-165817.89000000001</v>
      </c>
      <c r="AE131" s="452">
        <f t="shared" si="5"/>
        <v>158310.35000000003</v>
      </c>
      <c r="AF131" s="452">
        <f t="shared" si="5"/>
        <v>-179567.13</v>
      </c>
    </row>
    <row r="132" spans="1:32">
      <c r="A132" s="446">
        <v>123</v>
      </c>
      <c r="C132" s="24" t="s">
        <v>930</v>
      </c>
      <c r="D132" s="24" t="s">
        <v>910</v>
      </c>
      <c r="E132" s="452">
        <v>1276603.8500000001</v>
      </c>
      <c r="F132" s="452">
        <v>60413.3</v>
      </c>
      <c r="G132" s="452">
        <v>1276603.8500000001</v>
      </c>
      <c r="H132" s="452">
        <v>65711.210000000006</v>
      </c>
      <c r="I132" s="452">
        <v>1276603.8500000001</v>
      </c>
      <c r="J132" s="452">
        <v>71009.12000000001</v>
      </c>
      <c r="K132" s="452">
        <v>1283146.57</v>
      </c>
      <c r="L132" s="452">
        <v>76307.03</v>
      </c>
      <c r="M132" s="452">
        <v>1283071.6100000001</v>
      </c>
      <c r="N132" s="452">
        <v>81632.09</v>
      </c>
      <c r="O132" s="452">
        <v>1283071.6100000001</v>
      </c>
      <c r="P132" s="452">
        <v>86956.84</v>
      </c>
      <c r="Q132" s="452">
        <v>1283071.6100000001</v>
      </c>
      <c r="R132" s="452">
        <v>92281.59</v>
      </c>
      <c r="S132" s="452">
        <v>1283071.6100000001</v>
      </c>
      <c r="T132" s="452">
        <v>97606.34</v>
      </c>
      <c r="U132" s="452">
        <v>1283071.6100000001</v>
      </c>
      <c r="V132" s="452">
        <v>102931.09</v>
      </c>
      <c r="W132" s="452">
        <v>1283071.6100000001</v>
      </c>
      <c r="X132" s="452">
        <v>108255.84</v>
      </c>
      <c r="Y132" s="452">
        <v>1283071.6100000001</v>
      </c>
      <c r="Z132" s="452">
        <v>113580.59</v>
      </c>
      <c r="AA132" s="452">
        <v>1283071.6100000001</v>
      </c>
      <c r="AB132" s="452">
        <v>118905.34</v>
      </c>
      <c r="AC132" s="452">
        <v>1283046.32</v>
      </c>
      <c r="AD132" s="452">
        <v>124230.09</v>
      </c>
      <c r="AE132" s="452">
        <f t="shared" si="5"/>
        <v>1281729.3529166665</v>
      </c>
      <c r="AF132" s="452">
        <f t="shared" si="5"/>
        <v>92291.564583333326</v>
      </c>
    </row>
    <row r="133" spans="1:32">
      <c r="A133" s="446">
        <v>124</v>
      </c>
      <c r="C133" s="24" t="s">
        <v>931</v>
      </c>
      <c r="D133" s="24" t="s">
        <v>910</v>
      </c>
      <c r="E133" s="452">
        <v>2994409.61</v>
      </c>
      <c r="F133" s="452">
        <v>2994409.62</v>
      </c>
      <c r="G133" s="452">
        <v>2994409.6100000003</v>
      </c>
      <c r="H133" s="452">
        <v>2994409.62</v>
      </c>
      <c r="I133" s="452">
        <v>2994409.6100000003</v>
      </c>
      <c r="J133" s="452">
        <v>2994409.62</v>
      </c>
      <c r="K133" s="452">
        <v>2994409.6100000003</v>
      </c>
      <c r="L133" s="452">
        <v>2994409.62</v>
      </c>
      <c r="M133" s="452">
        <v>2994409.6100000003</v>
      </c>
      <c r="N133" s="452">
        <v>2994409.62</v>
      </c>
      <c r="O133" s="452">
        <v>2994409.6100000003</v>
      </c>
      <c r="P133" s="452">
        <v>2994409.62</v>
      </c>
      <c r="Q133" s="452">
        <v>2994409.6100000003</v>
      </c>
      <c r="R133" s="452">
        <v>2994409.62</v>
      </c>
      <c r="S133" s="452">
        <v>2994409.6100000003</v>
      </c>
      <c r="T133" s="452">
        <v>2994409.62</v>
      </c>
      <c r="U133" s="452">
        <v>2994409.6100000003</v>
      </c>
      <c r="V133" s="452">
        <v>2994409.62</v>
      </c>
      <c r="W133" s="452">
        <v>2994409.6100000003</v>
      </c>
      <c r="X133" s="452">
        <v>2994409.62</v>
      </c>
      <c r="Y133" s="452">
        <v>2994409.6100000003</v>
      </c>
      <c r="Z133" s="452">
        <v>2994409.62</v>
      </c>
      <c r="AA133" s="452">
        <v>2994409.6100000003</v>
      </c>
      <c r="AB133" s="452">
        <v>2994409.62</v>
      </c>
      <c r="AC133" s="452">
        <v>2994409.6100000003</v>
      </c>
      <c r="AD133" s="452">
        <v>2994409.61</v>
      </c>
      <c r="AE133" s="452">
        <f t="shared" si="5"/>
        <v>2994409.61</v>
      </c>
      <c r="AF133" s="452">
        <f t="shared" si="5"/>
        <v>2994409.6195833343</v>
      </c>
    </row>
    <row r="134" spans="1:32">
      <c r="A134" s="446">
        <v>125</v>
      </c>
      <c r="C134" s="24" t="s">
        <v>932</v>
      </c>
      <c r="D134" s="24" t="s">
        <v>910</v>
      </c>
      <c r="E134" s="452">
        <v>7723.92</v>
      </c>
      <c r="F134" s="452">
        <v>6066.64</v>
      </c>
      <c r="G134" s="452">
        <v>7723.92</v>
      </c>
      <c r="H134" s="452">
        <v>6086.92</v>
      </c>
      <c r="I134" s="452">
        <v>7723.92</v>
      </c>
      <c r="J134" s="452">
        <v>6107.2000000000007</v>
      </c>
      <c r="K134" s="452">
        <v>7723.92</v>
      </c>
      <c r="L134" s="452">
        <v>6127.4800000000005</v>
      </c>
      <c r="M134" s="452">
        <v>7723.92</v>
      </c>
      <c r="N134" s="452">
        <v>6147.76</v>
      </c>
      <c r="O134" s="452">
        <v>7723.92</v>
      </c>
      <c r="P134" s="452">
        <v>6168.0400000000009</v>
      </c>
      <c r="Q134" s="452">
        <v>7723.92</v>
      </c>
      <c r="R134" s="452">
        <v>6188.3200000000006</v>
      </c>
      <c r="S134" s="452">
        <v>7723.92</v>
      </c>
      <c r="T134" s="452">
        <v>6208.6</v>
      </c>
      <c r="U134" s="452">
        <v>7723.92</v>
      </c>
      <c r="V134" s="452">
        <v>6228.880000000001</v>
      </c>
      <c r="W134" s="452">
        <v>7723.92</v>
      </c>
      <c r="X134" s="452">
        <v>6249.1600000000008</v>
      </c>
      <c r="Y134" s="452">
        <v>7723.92</v>
      </c>
      <c r="Z134" s="452">
        <v>6269.4400000000005</v>
      </c>
      <c r="AA134" s="452">
        <v>7723.92</v>
      </c>
      <c r="AB134" s="452">
        <v>6289.72</v>
      </c>
      <c r="AC134" s="452">
        <v>7723.92</v>
      </c>
      <c r="AD134" s="452">
        <v>6310</v>
      </c>
      <c r="AE134" s="452">
        <f t="shared" si="5"/>
        <v>7723.9199999999992</v>
      </c>
      <c r="AF134" s="452">
        <f t="shared" si="5"/>
        <v>6188.32</v>
      </c>
    </row>
    <row r="135" spans="1:32">
      <c r="A135" s="446">
        <v>126</v>
      </c>
      <c r="C135" s="24" t="s">
        <v>933</v>
      </c>
      <c r="D135" s="24" t="s">
        <v>910</v>
      </c>
      <c r="E135" s="452">
        <v>2035982.23</v>
      </c>
      <c r="F135" s="452">
        <v>789500.16999999993</v>
      </c>
      <c r="G135" s="452">
        <v>1936459.93</v>
      </c>
      <c r="H135" s="452">
        <v>732671.35</v>
      </c>
      <c r="I135" s="452">
        <v>1936326.94</v>
      </c>
      <c r="J135" s="452">
        <v>742595.7</v>
      </c>
      <c r="K135" s="452">
        <v>1865255.93</v>
      </c>
      <c r="L135" s="452">
        <v>712500.19000000006</v>
      </c>
      <c r="M135" s="452">
        <v>1834253.2400000002</v>
      </c>
      <c r="N135" s="452">
        <v>702060.94</v>
      </c>
      <c r="O135" s="452">
        <v>1854822.48</v>
      </c>
      <c r="P135" s="452">
        <v>704963.83000000007</v>
      </c>
      <c r="Q135" s="452">
        <v>1854822.48</v>
      </c>
      <c r="R135" s="452">
        <v>714469.79</v>
      </c>
      <c r="S135" s="452">
        <v>1854822.48</v>
      </c>
      <c r="T135" s="452">
        <v>723975.74</v>
      </c>
      <c r="U135" s="452">
        <v>1985144.93</v>
      </c>
      <c r="V135" s="452">
        <v>733481.70000000007</v>
      </c>
      <c r="W135" s="452">
        <v>1987264.6500000001</v>
      </c>
      <c r="X135" s="452">
        <v>716590.36</v>
      </c>
      <c r="Y135" s="452">
        <v>2017208.58</v>
      </c>
      <c r="Z135" s="452">
        <v>717755.64999999991</v>
      </c>
      <c r="AA135" s="452">
        <v>1958953.4500000002</v>
      </c>
      <c r="AB135" s="452">
        <v>676442.58000000007</v>
      </c>
      <c r="AC135" s="452">
        <v>2137291.48</v>
      </c>
      <c r="AD135" s="452">
        <v>686482.22</v>
      </c>
      <c r="AE135" s="452">
        <f t="shared" si="5"/>
        <v>1930997.6620833334</v>
      </c>
      <c r="AF135" s="452">
        <f t="shared" si="5"/>
        <v>717958.25208333333</v>
      </c>
    </row>
    <row r="136" spans="1:32">
      <c r="A136" s="446">
        <v>127</v>
      </c>
      <c r="C136" s="24" t="s">
        <v>934</v>
      </c>
      <c r="D136" s="24" t="s">
        <v>910</v>
      </c>
      <c r="E136" s="452">
        <v>43088.19</v>
      </c>
      <c r="F136" s="452">
        <v>18335.93</v>
      </c>
      <c r="G136" s="452">
        <v>43088.19</v>
      </c>
      <c r="H136" s="452">
        <v>18527.669999999998</v>
      </c>
      <c r="I136" s="452">
        <v>43088.19</v>
      </c>
      <c r="J136" s="452">
        <v>18719.41</v>
      </c>
      <c r="K136" s="452">
        <v>43088.19</v>
      </c>
      <c r="L136" s="452">
        <v>18911.150000000001</v>
      </c>
      <c r="M136" s="452">
        <v>43088.19</v>
      </c>
      <c r="N136" s="452">
        <v>19102.89</v>
      </c>
      <c r="O136" s="452">
        <v>43088.19</v>
      </c>
      <c r="P136" s="452">
        <v>19294.63</v>
      </c>
      <c r="Q136" s="452">
        <v>43088.19</v>
      </c>
      <c r="R136" s="452">
        <v>19486.37</v>
      </c>
      <c r="S136" s="452">
        <v>43088.19</v>
      </c>
      <c r="T136" s="452">
        <v>19678.11</v>
      </c>
      <c r="U136" s="452">
        <v>43088.19</v>
      </c>
      <c r="V136" s="452">
        <v>19869.849999999999</v>
      </c>
      <c r="W136" s="452">
        <v>43088.19</v>
      </c>
      <c r="X136" s="452">
        <v>20061.59</v>
      </c>
      <c r="Y136" s="452">
        <v>43088.19</v>
      </c>
      <c r="Z136" s="452">
        <v>20253.330000000002</v>
      </c>
      <c r="AA136" s="452">
        <v>52521.200000000004</v>
      </c>
      <c r="AB136" s="452">
        <v>20445.07</v>
      </c>
      <c r="AC136" s="452">
        <v>52364.869999999995</v>
      </c>
      <c r="AD136" s="452">
        <v>20678.79</v>
      </c>
      <c r="AE136" s="452">
        <f t="shared" si="5"/>
        <v>44260.802499999998</v>
      </c>
      <c r="AF136" s="452">
        <f t="shared" si="5"/>
        <v>19488.119166666667</v>
      </c>
    </row>
    <row r="137" spans="1:32">
      <c r="A137" s="446">
        <v>128</v>
      </c>
      <c r="C137" s="24" t="s">
        <v>935</v>
      </c>
      <c r="D137" s="24" t="s">
        <v>910</v>
      </c>
      <c r="E137" s="452">
        <v>2441513.96</v>
      </c>
      <c r="F137" s="452">
        <v>533803.03</v>
      </c>
      <c r="G137" s="452">
        <v>2469880.0099999998</v>
      </c>
      <c r="H137" s="452">
        <v>541046.18999999994</v>
      </c>
      <c r="I137" s="452">
        <v>2477713.0299999998</v>
      </c>
      <c r="J137" s="452">
        <v>548373.5</v>
      </c>
      <c r="K137" s="452">
        <v>2481346.0699999998</v>
      </c>
      <c r="L137" s="452">
        <v>552265.71</v>
      </c>
      <c r="M137" s="452">
        <v>2505573.58</v>
      </c>
      <c r="N137" s="452">
        <v>559627.04</v>
      </c>
      <c r="O137" s="452">
        <v>2533156.7800000003</v>
      </c>
      <c r="P137" s="452">
        <v>567060.24</v>
      </c>
      <c r="Q137" s="452">
        <v>2543109.75</v>
      </c>
      <c r="R137" s="452">
        <v>574575.27</v>
      </c>
      <c r="S137" s="452">
        <v>2543109.75</v>
      </c>
      <c r="T137" s="452">
        <v>582119.83000000007</v>
      </c>
      <c r="U137" s="452">
        <v>2543109.75</v>
      </c>
      <c r="V137" s="452">
        <v>589664.39</v>
      </c>
      <c r="W137" s="452">
        <v>2550851.14</v>
      </c>
      <c r="X137" s="452">
        <v>597208.94999999995</v>
      </c>
      <c r="Y137" s="452">
        <v>2662728.4500000002</v>
      </c>
      <c r="Z137" s="452">
        <v>604776.48</v>
      </c>
      <c r="AA137" s="452">
        <v>2663853.04</v>
      </c>
      <c r="AB137" s="452">
        <v>612675.91</v>
      </c>
      <c r="AC137" s="452">
        <v>2695786.5</v>
      </c>
      <c r="AD137" s="452">
        <v>620578.67000000004</v>
      </c>
      <c r="AE137" s="452">
        <f t="shared" si="5"/>
        <v>2545256.7983333333</v>
      </c>
      <c r="AF137" s="452">
        <f t="shared" si="5"/>
        <v>575548.69666666666</v>
      </c>
    </row>
    <row r="138" spans="1:32">
      <c r="A138" s="446">
        <v>129</v>
      </c>
      <c r="C138" s="24" t="s">
        <v>936</v>
      </c>
      <c r="D138" s="24" t="s">
        <v>910</v>
      </c>
      <c r="E138" s="452">
        <v>90630.82</v>
      </c>
      <c r="F138" s="452">
        <v>42766.710000000006</v>
      </c>
      <c r="G138" s="452">
        <v>90630.82</v>
      </c>
      <c r="H138" s="452">
        <v>43114.130000000005</v>
      </c>
      <c r="I138" s="452">
        <v>90630.82</v>
      </c>
      <c r="J138" s="452">
        <v>43461.55</v>
      </c>
      <c r="K138" s="452">
        <v>84472.540000000008</v>
      </c>
      <c r="L138" s="452">
        <v>37650.69</v>
      </c>
      <c r="M138" s="452">
        <v>84472.540000000008</v>
      </c>
      <c r="N138" s="452">
        <v>37974.5</v>
      </c>
      <c r="O138" s="452">
        <v>84472.540000000008</v>
      </c>
      <c r="P138" s="452">
        <v>38298.31</v>
      </c>
      <c r="Q138" s="452">
        <v>84472.540000000008</v>
      </c>
      <c r="R138" s="452">
        <v>38622.120000000003</v>
      </c>
      <c r="S138" s="452">
        <v>84472.540000000008</v>
      </c>
      <c r="T138" s="452">
        <v>38945.93</v>
      </c>
      <c r="U138" s="452">
        <v>84472.540000000008</v>
      </c>
      <c r="V138" s="452">
        <v>39269.74</v>
      </c>
      <c r="W138" s="452">
        <v>84472.540000000008</v>
      </c>
      <c r="X138" s="452">
        <v>39593.550000000003</v>
      </c>
      <c r="Y138" s="452">
        <v>84472.540000000008</v>
      </c>
      <c r="Z138" s="452">
        <v>39917.360000000001</v>
      </c>
      <c r="AA138" s="452">
        <v>84472.540000000008</v>
      </c>
      <c r="AB138" s="452">
        <v>40241.17</v>
      </c>
      <c r="AC138" s="452">
        <v>84472.540000000008</v>
      </c>
      <c r="AD138" s="452">
        <v>40564.979999999996</v>
      </c>
      <c r="AE138" s="452">
        <f t="shared" si="5"/>
        <v>85755.515000000029</v>
      </c>
      <c r="AF138" s="452">
        <f t="shared" si="5"/>
        <v>39896.241249999992</v>
      </c>
    </row>
    <row r="139" spans="1:32">
      <c r="A139" s="446">
        <v>130</v>
      </c>
      <c r="C139" s="24" t="s">
        <v>937</v>
      </c>
      <c r="D139" s="24" t="s">
        <v>910</v>
      </c>
      <c r="E139" s="452">
        <v>-96696.89</v>
      </c>
      <c r="F139" s="452">
        <v>-34308.04</v>
      </c>
      <c r="G139" s="452">
        <v>-94673.540000000008</v>
      </c>
      <c r="H139" s="452">
        <v>-34725.449999999997</v>
      </c>
      <c r="I139" s="452">
        <v>-94673.540000000008</v>
      </c>
      <c r="J139" s="452">
        <v>-35134.120000000003</v>
      </c>
      <c r="K139" s="452">
        <v>-94673.540000000008</v>
      </c>
      <c r="L139" s="452">
        <v>-35542.79</v>
      </c>
      <c r="M139" s="452">
        <v>-94673.540000000008</v>
      </c>
      <c r="N139" s="452">
        <v>-35951.460000000006</v>
      </c>
      <c r="O139" s="452">
        <v>-94673.540000000008</v>
      </c>
      <c r="P139" s="452">
        <v>-36360.129999999997</v>
      </c>
      <c r="Q139" s="452">
        <v>-94673.540000000008</v>
      </c>
      <c r="R139" s="452">
        <v>-36768.800000000003</v>
      </c>
      <c r="S139" s="452">
        <v>-94673.540000000008</v>
      </c>
      <c r="T139" s="452">
        <v>-37177.47</v>
      </c>
      <c r="U139" s="452">
        <v>-94673.540000000008</v>
      </c>
      <c r="V139" s="452">
        <v>-37586.14</v>
      </c>
      <c r="W139" s="452">
        <v>-94673.540000000008</v>
      </c>
      <c r="X139" s="452">
        <v>-37994.810000000005</v>
      </c>
      <c r="Y139" s="452">
        <v>-94673.540000000008</v>
      </c>
      <c r="Z139" s="452">
        <v>-38403.479999999996</v>
      </c>
      <c r="AA139" s="452">
        <v>-94673.540000000008</v>
      </c>
      <c r="AB139" s="452">
        <v>-38812.15</v>
      </c>
      <c r="AC139" s="452">
        <v>-94673.540000000008</v>
      </c>
      <c r="AD139" s="452">
        <v>-51325.86</v>
      </c>
      <c r="AE139" s="452">
        <f t="shared" ref="AE139:AF147" si="6">+(E139+AC139+(+G139+I139+K139+M139+O139+Q139+S139+U139+W139+Y139+AA139)*2)/24</f>
        <v>-94757.846250000017</v>
      </c>
      <c r="AF139" s="452">
        <f t="shared" si="6"/>
        <v>-37272.8125</v>
      </c>
    </row>
    <row r="140" spans="1:32">
      <c r="A140" s="446">
        <v>131</v>
      </c>
      <c r="C140" s="24" t="s">
        <v>938</v>
      </c>
      <c r="D140" s="24" t="s">
        <v>910</v>
      </c>
      <c r="E140" s="452">
        <v>0</v>
      </c>
      <c r="F140" s="452">
        <v>-12105.03</v>
      </c>
      <c r="G140" s="452">
        <v>0</v>
      </c>
      <c r="H140" s="452">
        <v>-12105.03</v>
      </c>
      <c r="I140" s="452">
        <v>0</v>
      </c>
      <c r="J140" s="452">
        <v>-12105.03</v>
      </c>
      <c r="K140" s="452">
        <v>0</v>
      </c>
      <c r="L140" s="452">
        <v>-12105.03</v>
      </c>
      <c r="M140" s="452">
        <v>0</v>
      </c>
      <c r="N140" s="452">
        <v>-12105.03</v>
      </c>
      <c r="O140" s="452">
        <v>0</v>
      </c>
      <c r="P140" s="452">
        <v>-12105.03</v>
      </c>
      <c r="Q140" s="452">
        <v>0</v>
      </c>
      <c r="R140" s="452">
        <v>-12105.03</v>
      </c>
      <c r="S140" s="452">
        <v>0</v>
      </c>
      <c r="T140" s="452">
        <v>-12105.03</v>
      </c>
      <c r="U140" s="452">
        <v>0</v>
      </c>
      <c r="V140" s="452">
        <v>-12105.03</v>
      </c>
      <c r="W140" s="452">
        <v>0</v>
      </c>
      <c r="X140" s="452">
        <v>-12105.03</v>
      </c>
      <c r="Y140" s="452">
        <v>0</v>
      </c>
      <c r="Z140" s="452">
        <v>-12105.03</v>
      </c>
      <c r="AA140" s="452">
        <v>0</v>
      </c>
      <c r="AB140" s="452">
        <v>-12105.03</v>
      </c>
      <c r="AC140" s="452">
        <v>0</v>
      </c>
      <c r="AD140" s="452">
        <v>1.0000000000005116E-2</v>
      </c>
      <c r="AE140" s="452">
        <f t="shared" si="6"/>
        <v>0</v>
      </c>
      <c r="AF140" s="452">
        <f t="shared" si="6"/>
        <v>-11600.653333333335</v>
      </c>
    </row>
    <row r="141" spans="1:32">
      <c r="A141" s="446">
        <v>132</v>
      </c>
      <c r="C141" s="24" t="s">
        <v>939</v>
      </c>
      <c r="D141" s="24" t="s">
        <v>910</v>
      </c>
      <c r="E141" s="452">
        <v>20451.79</v>
      </c>
      <c r="F141" s="452">
        <v>5127.5300000000007</v>
      </c>
      <c r="G141" s="452">
        <v>20451.79</v>
      </c>
      <c r="H141" s="452">
        <v>5287.22</v>
      </c>
      <c r="I141" s="452">
        <v>20451.79</v>
      </c>
      <c r="J141" s="452">
        <v>5446.91</v>
      </c>
      <c r="K141" s="452">
        <v>20451.79</v>
      </c>
      <c r="L141" s="452">
        <v>5606.6</v>
      </c>
      <c r="M141" s="452">
        <v>20451.79</v>
      </c>
      <c r="N141" s="452">
        <v>5766.29</v>
      </c>
      <c r="O141" s="452">
        <v>20451.79</v>
      </c>
      <c r="P141" s="452">
        <v>5925.98</v>
      </c>
      <c r="Q141" s="452">
        <v>19861.97</v>
      </c>
      <c r="R141" s="452">
        <v>6085.67</v>
      </c>
      <c r="S141" s="452">
        <v>19861.97</v>
      </c>
      <c r="T141" s="452">
        <v>6240.76</v>
      </c>
      <c r="U141" s="452">
        <v>19861.97</v>
      </c>
      <c r="V141" s="452">
        <v>6395.8499999999995</v>
      </c>
      <c r="W141" s="452">
        <v>19861.97</v>
      </c>
      <c r="X141" s="452">
        <v>6550.9400000000005</v>
      </c>
      <c r="Y141" s="452">
        <v>19861.97</v>
      </c>
      <c r="Z141" s="452">
        <v>6706.0300000000007</v>
      </c>
      <c r="AA141" s="452">
        <v>19861.97</v>
      </c>
      <c r="AB141" s="452">
        <v>6861.1200000000008</v>
      </c>
      <c r="AC141" s="452">
        <v>19861.97</v>
      </c>
      <c r="AD141" s="452">
        <v>7016.21</v>
      </c>
      <c r="AE141" s="452">
        <f t="shared" si="6"/>
        <v>20132.304166666669</v>
      </c>
      <c r="AF141" s="452">
        <f t="shared" si="6"/>
        <v>6078.7699999999995</v>
      </c>
    </row>
    <row r="142" spans="1:32">
      <c r="A142" s="446">
        <v>133</v>
      </c>
      <c r="C142" s="24" t="s">
        <v>940</v>
      </c>
      <c r="D142" s="24" t="s">
        <v>910</v>
      </c>
      <c r="E142" s="452">
        <v>755929.80999999994</v>
      </c>
      <c r="F142" s="452">
        <v>661285.87</v>
      </c>
      <c r="G142" s="452">
        <v>755929.81</v>
      </c>
      <c r="H142" s="452">
        <v>661367.76</v>
      </c>
      <c r="I142" s="452">
        <v>755929.81</v>
      </c>
      <c r="J142" s="452">
        <v>661449.65</v>
      </c>
      <c r="K142" s="452">
        <v>755929.81</v>
      </c>
      <c r="L142" s="452">
        <v>661531.54</v>
      </c>
      <c r="M142" s="452">
        <v>755929.81</v>
      </c>
      <c r="N142" s="452">
        <v>661613.42999999993</v>
      </c>
      <c r="O142" s="452">
        <v>755929.81</v>
      </c>
      <c r="P142" s="452">
        <v>661695.31999999995</v>
      </c>
      <c r="Q142" s="452">
        <v>755929.81</v>
      </c>
      <c r="R142" s="452">
        <v>661777.21</v>
      </c>
      <c r="S142" s="452">
        <v>755929.81</v>
      </c>
      <c r="T142" s="452">
        <v>661859.1</v>
      </c>
      <c r="U142" s="452">
        <v>755929.81</v>
      </c>
      <c r="V142" s="452">
        <v>661940.99</v>
      </c>
      <c r="W142" s="452">
        <v>755929.81</v>
      </c>
      <c r="X142" s="452">
        <v>662022.88</v>
      </c>
      <c r="Y142" s="452">
        <v>755929.81</v>
      </c>
      <c r="Z142" s="452">
        <v>662104.77</v>
      </c>
      <c r="AA142" s="452">
        <v>755929.81</v>
      </c>
      <c r="AB142" s="452">
        <v>662186.66</v>
      </c>
      <c r="AC142" s="452">
        <v>1168410.55</v>
      </c>
      <c r="AD142" s="452">
        <v>662268.55000000005</v>
      </c>
      <c r="AE142" s="452">
        <f t="shared" si="6"/>
        <v>773116.50750000018</v>
      </c>
      <c r="AF142" s="452">
        <f t="shared" si="6"/>
        <v>661777.21000000008</v>
      </c>
    </row>
    <row r="143" spans="1:32">
      <c r="A143" s="446">
        <v>134</v>
      </c>
      <c r="C143" s="24" t="s">
        <v>941</v>
      </c>
      <c r="D143" s="24" t="s">
        <v>910</v>
      </c>
      <c r="E143" s="452">
        <v>134305.54</v>
      </c>
      <c r="F143" s="452">
        <v>-34004.65</v>
      </c>
      <c r="G143" s="452">
        <v>134305.54</v>
      </c>
      <c r="H143" s="452">
        <v>-32977.21</v>
      </c>
      <c r="I143" s="452">
        <v>134305.54</v>
      </c>
      <c r="J143" s="452">
        <v>-31949.770000000004</v>
      </c>
      <c r="K143" s="452">
        <v>134305.54</v>
      </c>
      <c r="L143" s="452">
        <v>-30922.33</v>
      </c>
      <c r="M143" s="452">
        <v>134305.54</v>
      </c>
      <c r="N143" s="452">
        <v>-29894.890000000003</v>
      </c>
      <c r="O143" s="452">
        <v>134305.54</v>
      </c>
      <c r="P143" s="452">
        <v>-28867.45</v>
      </c>
      <c r="Q143" s="452">
        <v>134305.54</v>
      </c>
      <c r="R143" s="452">
        <v>-27840.01</v>
      </c>
      <c r="S143" s="452">
        <v>134305.54</v>
      </c>
      <c r="T143" s="452">
        <v>-26812.57</v>
      </c>
      <c r="U143" s="452">
        <v>134305.54</v>
      </c>
      <c r="V143" s="452">
        <v>-25785.129999999997</v>
      </c>
      <c r="W143" s="452">
        <v>134305.54</v>
      </c>
      <c r="X143" s="452">
        <v>-24757.690000000002</v>
      </c>
      <c r="Y143" s="452">
        <v>134305.54</v>
      </c>
      <c r="Z143" s="452">
        <v>-23730.25</v>
      </c>
      <c r="AA143" s="452">
        <v>134305.54</v>
      </c>
      <c r="AB143" s="452">
        <v>-22702.81</v>
      </c>
      <c r="AC143" s="452">
        <v>134305.54</v>
      </c>
      <c r="AD143" s="452">
        <v>-21675.370000000003</v>
      </c>
      <c r="AE143" s="452">
        <f t="shared" si="6"/>
        <v>134305.54</v>
      </c>
      <c r="AF143" s="452">
        <f t="shared" si="6"/>
        <v>-27840.010000000006</v>
      </c>
    </row>
    <row r="144" spans="1:32">
      <c r="A144" s="446">
        <v>135</v>
      </c>
      <c r="C144" s="24" t="s">
        <v>942</v>
      </c>
      <c r="D144" s="24" t="s">
        <v>910</v>
      </c>
      <c r="E144" s="452">
        <v>59484.53</v>
      </c>
      <c r="F144" s="452">
        <v>18006.25</v>
      </c>
      <c r="G144" s="452">
        <v>59484.530000000006</v>
      </c>
      <c r="H144" s="452">
        <v>18527.240000000002</v>
      </c>
      <c r="I144" s="452">
        <v>59484.530000000006</v>
      </c>
      <c r="J144" s="452">
        <v>19048.23</v>
      </c>
      <c r="K144" s="452">
        <v>59484.530000000006</v>
      </c>
      <c r="L144" s="452">
        <v>19569.22</v>
      </c>
      <c r="M144" s="452">
        <v>59484.530000000006</v>
      </c>
      <c r="N144" s="452">
        <v>20090.21</v>
      </c>
      <c r="O144" s="452">
        <v>59484.530000000006</v>
      </c>
      <c r="P144" s="452">
        <v>20611.2</v>
      </c>
      <c r="Q144" s="452">
        <v>59484.530000000006</v>
      </c>
      <c r="R144" s="452">
        <v>21132.190000000002</v>
      </c>
      <c r="S144" s="452">
        <v>59484.530000000006</v>
      </c>
      <c r="T144" s="452">
        <v>21653.18</v>
      </c>
      <c r="U144" s="452">
        <v>59484.530000000006</v>
      </c>
      <c r="V144" s="452">
        <v>22174.170000000002</v>
      </c>
      <c r="W144" s="452">
        <v>59484.530000000006</v>
      </c>
      <c r="X144" s="452">
        <v>22695.16</v>
      </c>
      <c r="Y144" s="452">
        <v>59484.530000000006</v>
      </c>
      <c r="Z144" s="452">
        <v>23216.15</v>
      </c>
      <c r="AA144" s="452">
        <v>59484.530000000006</v>
      </c>
      <c r="AB144" s="452">
        <v>23737.14</v>
      </c>
      <c r="AC144" s="452">
        <v>59484.530000000006</v>
      </c>
      <c r="AD144" s="452">
        <v>24258.129999999997</v>
      </c>
      <c r="AE144" s="452">
        <f t="shared" si="6"/>
        <v>59484.530000000021</v>
      </c>
      <c r="AF144" s="452">
        <f t="shared" si="6"/>
        <v>21132.190000000002</v>
      </c>
    </row>
    <row r="145" spans="1:32">
      <c r="A145" s="446">
        <v>136</v>
      </c>
      <c r="C145" s="24" t="s">
        <v>943</v>
      </c>
      <c r="D145" s="24" t="s">
        <v>910</v>
      </c>
      <c r="E145" s="452">
        <v>17021371.539999999</v>
      </c>
      <c r="F145" s="452">
        <v>-4862761.5600000005</v>
      </c>
      <c r="G145" s="452">
        <v>17412554.27</v>
      </c>
      <c r="H145" s="452">
        <v>-4765377.12</v>
      </c>
      <c r="I145" s="452">
        <v>17672094.510000002</v>
      </c>
      <c r="J145" s="452">
        <v>-4656210.95</v>
      </c>
      <c r="K145" s="452">
        <v>18683811.460000001</v>
      </c>
      <c r="L145" s="452">
        <v>-4554812.99</v>
      </c>
      <c r="M145" s="452">
        <v>20220243.52</v>
      </c>
      <c r="N145" s="452">
        <v>-4250271.2699999996</v>
      </c>
      <c r="O145" s="452">
        <v>20744219.199999999</v>
      </c>
      <c r="P145" s="452">
        <v>-4134519.9699999997</v>
      </c>
      <c r="Q145" s="452">
        <v>21913827.629999999</v>
      </c>
      <c r="R145" s="452">
        <v>-4016222.31</v>
      </c>
      <c r="S145" s="452">
        <v>22160868.489999998</v>
      </c>
      <c r="T145" s="452">
        <v>-7188191.3700000001</v>
      </c>
      <c r="U145" s="452">
        <v>22823927.759999998</v>
      </c>
      <c r="V145" s="452">
        <v>-7061413.1799999997</v>
      </c>
      <c r="W145" s="452">
        <v>23098590.809999999</v>
      </c>
      <c r="X145" s="452">
        <v>-6930365.79</v>
      </c>
      <c r="Y145" s="452">
        <v>23580421.120000001</v>
      </c>
      <c r="Z145" s="452">
        <v>-6798365.2600000007</v>
      </c>
      <c r="AA145" s="452">
        <v>23884955.82</v>
      </c>
      <c r="AB145" s="452">
        <v>-6663829.2800000003</v>
      </c>
      <c r="AC145" s="452">
        <v>21564736.030000001</v>
      </c>
      <c r="AD145" s="452">
        <v>-7585645.2999999998</v>
      </c>
      <c r="AE145" s="452">
        <f t="shared" si="6"/>
        <v>20957380.697916668</v>
      </c>
      <c r="AF145" s="452">
        <f t="shared" si="6"/>
        <v>-5603648.5766666653</v>
      </c>
    </row>
    <row r="146" spans="1:32">
      <c r="A146" s="446">
        <v>137</v>
      </c>
      <c r="C146" s="24" t="s">
        <v>944</v>
      </c>
      <c r="D146" s="24" t="s">
        <v>910</v>
      </c>
      <c r="E146" s="452">
        <v>47999110.489999995</v>
      </c>
      <c r="F146" s="452">
        <v>13548823.51</v>
      </c>
      <c r="G146" s="452">
        <v>48009282.969999999</v>
      </c>
      <c r="H146" s="452">
        <v>13474287.790000001</v>
      </c>
      <c r="I146" s="452">
        <v>48089973.710000001</v>
      </c>
      <c r="J146" s="452">
        <v>13437449.34</v>
      </c>
      <c r="K146" s="452">
        <v>48071645.740000002</v>
      </c>
      <c r="L146" s="452">
        <v>13436451.07</v>
      </c>
      <c r="M146" s="452">
        <v>46600891.990000002</v>
      </c>
      <c r="N146" s="452">
        <v>12994044.439999999</v>
      </c>
      <c r="O146" s="452">
        <v>46481176.849999994</v>
      </c>
      <c r="P146" s="452">
        <v>12910434.1</v>
      </c>
      <c r="Q146" s="452">
        <v>46438987.949999996</v>
      </c>
      <c r="R146" s="452">
        <v>12858897.640000001</v>
      </c>
      <c r="S146" s="452">
        <v>43339141.289999999</v>
      </c>
      <c r="T146" s="452">
        <v>11874761.520000001</v>
      </c>
      <c r="U146" s="452">
        <v>43721819.159999996</v>
      </c>
      <c r="V146" s="452">
        <v>11856747.109999999</v>
      </c>
      <c r="W146" s="452">
        <v>43804745.420000002</v>
      </c>
      <c r="X146" s="452">
        <v>11939454.220000001</v>
      </c>
      <c r="Y146" s="452">
        <v>44252641.890000001</v>
      </c>
      <c r="Z146" s="452">
        <v>11918561.15</v>
      </c>
      <c r="AA146" s="452">
        <v>44159593.710000001</v>
      </c>
      <c r="AB146" s="452">
        <v>11831499.850000001</v>
      </c>
      <c r="AC146" s="452">
        <v>43437209.129999995</v>
      </c>
      <c r="AD146" s="452">
        <v>11331238.5</v>
      </c>
      <c r="AE146" s="452">
        <f t="shared" si="6"/>
        <v>45724005.040833332</v>
      </c>
      <c r="AF146" s="452">
        <f t="shared" si="6"/>
        <v>12581051.602916665</v>
      </c>
    </row>
    <row r="147" spans="1:32">
      <c r="A147" s="446">
        <v>138</v>
      </c>
      <c r="C147" s="24" t="s">
        <v>945</v>
      </c>
      <c r="D147" s="24" t="s">
        <v>910</v>
      </c>
      <c r="E147" s="452">
        <v>11160435.100000001</v>
      </c>
      <c r="F147" s="452">
        <v>3817599.66</v>
      </c>
      <c r="G147" s="452">
        <v>11147001.08</v>
      </c>
      <c r="H147" s="452">
        <v>3784245.81</v>
      </c>
      <c r="I147" s="452">
        <v>11166514.960000001</v>
      </c>
      <c r="J147" s="452">
        <v>3768799.29</v>
      </c>
      <c r="K147" s="452">
        <v>11197446</v>
      </c>
      <c r="L147" s="452">
        <v>3764153.41</v>
      </c>
      <c r="M147" s="452">
        <v>11194610.42</v>
      </c>
      <c r="N147" s="452">
        <v>3758857.4299999997</v>
      </c>
      <c r="O147" s="452">
        <v>11200511.59</v>
      </c>
      <c r="P147" s="452">
        <v>3729989</v>
      </c>
      <c r="Q147" s="452">
        <v>11198864.199999999</v>
      </c>
      <c r="R147" s="452">
        <v>3712882.8200000003</v>
      </c>
      <c r="S147" s="452">
        <v>11244447.940000001</v>
      </c>
      <c r="T147" s="452">
        <v>3706207.75</v>
      </c>
      <c r="U147" s="452">
        <v>11329959.15</v>
      </c>
      <c r="V147" s="452">
        <v>3702227.91</v>
      </c>
      <c r="W147" s="452">
        <v>11395118.559999999</v>
      </c>
      <c r="X147" s="452">
        <v>3724132.5</v>
      </c>
      <c r="Y147" s="452">
        <v>11443243.83</v>
      </c>
      <c r="Z147" s="452">
        <v>3722911.8699999996</v>
      </c>
      <c r="AA147" s="452">
        <v>11489303.620000001</v>
      </c>
      <c r="AB147" s="452">
        <v>3685039.1999999997</v>
      </c>
      <c r="AC147" s="452">
        <v>11519764.66</v>
      </c>
      <c r="AD147" s="452">
        <v>3690670.4400000004</v>
      </c>
      <c r="AE147" s="452">
        <f t="shared" si="6"/>
        <v>11278926.769166669</v>
      </c>
      <c r="AF147" s="452">
        <f t="shared" si="6"/>
        <v>3734465.17</v>
      </c>
    </row>
    <row r="148" spans="1:32">
      <c r="A148" s="446">
        <v>139</v>
      </c>
      <c r="B148" s="453" t="s">
        <v>906</v>
      </c>
      <c r="C148" s="454"/>
      <c r="D148" s="453" t="s">
        <v>946</v>
      </c>
      <c r="E148" s="455">
        <f t="shared" ref="E148:AF148" si="7">SUM(E94:E147)</f>
        <v>134383391.37</v>
      </c>
      <c r="F148" s="455">
        <f t="shared" si="7"/>
        <v>42166042.000000015</v>
      </c>
      <c r="G148" s="455">
        <f t="shared" si="7"/>
        <v>134719534.23000002</v>
      </c>
      <c r="H148" s="455">
        <f t="shared" si="7"/>
        <v>42438843.960000016</v>
      </c>
      <c r="I148" s="455">
        <f t="shared" si="7"/>
        <v>135087471.58000001</v>
      </c>
      <c r="J148" s="455">
        <f t="shared" si="7"/>
        <v>42846116.970000006</v>
      </c>
      <c r="K148" s="455">
        <f t="shared" si="7"/>
        <v>135982515.55000001</v>
      </c>
      <c r="L148" s="455">
        <f t="shared" si="7"/>
        <v>43130080.810000002</v>
      </c>
      <c r="M148" s="455">
        <f t="shared" si="7"/>
        <v>136140201.81999999</v>
      </c>
      <c r="N148" s="455">
        <f t="shared" si="7"/>
        <v>43314657.590000004</v>
      </c>
      <c r="O148" s="455">
        <f t="shared" si="7"/>
        <v>136621408.73999998</v>
      </c>
      <c r="P148" s="455">
        <f t="shared" si="7"/>
        <v>43656049.939999998</v>
      </c>
      <c r="Q148" s="455">
        <f t="shared" si="7"/>
        <v>137756040.33999997</v>
      </c>
      <c r="R148" s="455">
        <f t="shared" si="7"/>
        <v>44054576.300000004</v>
      </c>
      <c r="S148" s="455">
        <f t="shared" si="7"/>
        <v>134966712.62</v>
      </c>
      <c r="T148" s="455">
        <f t="shared" si="7"/>
        <v>40240929.200000003</v>
      </c>
      <c r="U148" s="455">
        <f t="shared" si="7"/>
        <v>136228936.41</v>
      </c>
      <c r="V148" s="455">
        <f t="shared" si="7"/>
        <v>40694995.439999998</v>
      </c>
      <c r="W148" s="455">
        <f t="shared" si="7"/>
        <v>137280502.25999999</v>
      </c>
      <c r="X148" s="455">
        <f t="shared" si="7"/>
        <v>41253544.970000006</v>
      </c>
      <c r="Y148" s="455">
        <f t="shared" si="7"/>
        <v>138400175.55000001</v>
      </c>
      <c r="Z148" s="455">
        <f t="shared" si="7"/>
        <v>41708111.350000001</v>
      </c>
      <c r="AA148" s="455">
        <f t="shared" si="7"/>
        <v>138777723.23000002</v>
      </c>
      <c r="AB148" s="455">
        <f t="shared" si="7"/>
        <v>42019372.900000013</v>
      </c>
      <c r="AC148" s="455">
        <f t="shared" si="7"/>
        <v>137725802.91999999</v>
      </c>
      <c r="AD148" s="455">
        <f t="shared" si="7"/>
        <v>40957731.18</v>
      </c>
      <c r="AE148" s="455">
        <f t="shared" si="7"/>
        <v>136501318.28958336</v>
      </c>
      <c r="AF148" s="455">
        <f t="shared" si="7"/>
        <v>42243263.835000008</v>
      </c>
    </row>
    <row r="149" spans="1:32">
      <c r="A149" s="446">
        <v>140</v>
      </c>
      <c r="B149" s="922" t="s">
        <v>947</v>
      </c>
      <c r="C149" s="922"/>
      <c r="D149" s="456"/>
      <c r="E149" s="457"/>
      <c r="F149" s="457"/>
      <c r="G149" s="457"/>
      <c r="H149" s="457"/>
      <c r="I149" s="457"/>
      <c r="J149" s="457"/>
      <c r="K149" s="457"/>
      <c r="L149" s="457"/>
      <c r="M149" s="457"/>
      <c r="N149" s="457"/>
      <c r="O149" s="457"/>
      <c r="P149" s="457"/>
      <c r="Q149" s="457"/>
      <c r="R149" s="457"/>
      <c r="S149" s="457"/>
      <c r="T149" s="457"/>
      <c r="U149" s="457"/>
      <c r="V149" s="457"/>
      <c r="W149" s="457"/>
      <c r="X149" s="457"/>
      <c r="Y149" s="457"/>
      <c r="Z149" s="457"/>
      <c r="AA149" s="457"/>
      <c r="AB149" s="457"/>
      <c r="AC149" s="457"/>
      <c r="AD149" s="457"/>
      <c r="AE149" s="457"/>
      <c r="AF149" s="457"/>
    </row>
    <row r="150" spans="1:32">
      <c r="A150" s="446">
        <v>141</v>
      </c>
      <c r="C150" s="24" t="s">
        <v>948</v>
      </c>
      <c r="E150" s="452">
        <v>87719.71</v>
      </c>
      <c r="F150" s="452">
        <v>31955.280000000002</v>
      </c>
      <c r="G150" s="452">
        <v>87719.71</v>
      </c>
      <c r="H150" s="452">
        <v>32026.15</v>
      </c>
      <c r="I150" s="452">
        <v>87719.71</v>
      </c>
      <c r="J150" s="452">
        <v>32097.010000000002</v>
      </c>
      <c r="K150" s="452">
        <v>87719.71</v>
      </c>
      <c r="L150" s="452">
        <v>32167.88</v>
      </c>
      <c r="M150" s="452">
        <v>87719.71</v>
      </c>
      <c r="N150" s="452">
        <v>32238.74</v>
      </c>
      <c r="O150" s="452">
        <v>87719.71</v>
      </c>
      <c r="P150" s="452">
        <v>32309.61</v>
      </c>
      <c r="Q150" s="452">
        <v>87719.71</v>
      </c>
      <c r="R150" s="452">
        <v>32380.47</v>
      </c>
      <c r="S150" s="452">
        <v>87719.71</v>
      </c>
      <c r="T150" s="452">
        <v>32451.34</v>
      </c>
      <c r="U150" s="452">
        <v>87719.71</v>
      </c>
      <c r="V150" s="452">
        <v>32522.2</v>
      </c>
      <c r="W150" s="452">
        <v>87719.71</v>
      </c>
      <c r="X150" s="452">
        <v>32593.07</v>
      </c>
      <c r="Y150" s="452">
        <v>87719.71</v>
      </c>
      <c r="Z150" s="452">
        <v>32663.93</v>
      </c>
      <c r="AA150" s="452">
        <v>87719.71</v>
      </c>
      <c r="AB150" s="452">
        <v>32734.799999999999</v>
      </c>
      <c r="AC150" s="452">
        <v>86636.74</v>
      </c>
      <c r="AD150" s="452">
        <v>32361.68</v>
      </c>
      <c r="AE150" s="452">
        <f t="shared" ref="AE150:AF152" si="8">+(E150+AC150+(+G150+I150+K150+M150+O150+Q150+S150+U150+W150+Y150+AA150)*2)/24</f>
        <v>87674.586249999993</v>
      </c>
      <c r="AF150" s="452">
        <f t="shared" si="8"/>
        <v>32361.973333333332</v>
      </c>
    </row>
    <row r="151" spans="1:32">
      <c r="A151" s="446">
        <v>142</v>
      </c>
      <c r="C151" s="24" t="s">
        <v>949</v>
      </c>
      <c r="E151" s="452">
        <v>0</v>
      </c>
      <c r="F151" s="452">
        <v>0</v>
      </c>
      <c r="G151" s="452">
        <v>0</v>
      </c>
      <c r="H151" s="452">
        <v>0</v>
      </c>
      <c r="I151" s="452">
        <v>0</v>
      </c>
      <c r="J151" s="452">
        <v>0</v>
      </c>
      <c r="K151" s="452">
        <v>0</v>
      </c>
      <c r="L151" s="452">
        <v>0</v>
      </c>
      <c r="M151" s="452">
        <v>0</v>
      </c>
      <c r="N151" s="452">
        <v>0</v>
      </c>
      <c r="O151" s="452">
        <v>0</v>
      </c>
      <c r="P151" s="452">
        <v>0</v>
      </c>
      <c r="Q151" s="452">
        <v>0</v>
      </c>
      <c r="R151" s="452">
        <v>0</v>
      </c>
      <c r="S151" s="452">
        <v>0</v>
      </c>
      <c r="T151" s="452">
        <v>0</v>
      </c>
      <c r="U151" s="452">
        <v>0</v>
      </c>
      <c r="V151" s="452">
        <v>0</v>
      </c>
      <c r="W151" s="452">
        <v>0</v>
      </c>
      <c r="X151" s="452">
        <v>0</v>
      </c>
      <c r="Y151" s="452">
        <v>0</v>
      </c>
      <c r="Z151" s="452">
        <v>0</v>
      </c>
      <c r="AA151" s="452">
        <v>0</v>
      </c>
      <c r="AB151" s="452">
        <v>0</v>
      </c>
      <c r="AC151" s="452">
        <v>0</v>
      </c>
      <c r="AD151" s="452">
        <v>0</v>
      </c>
      <c r="AE151" s="452">
        <f t="shared" si="8"/>
        <v>0</v>
      </c>
      <c r="AF151" s="452">
        <f t="shared" si="8"/>
        <v>0</v>
      </c>
    </row>
    <row r="152" spans="1:32">
      <c r="A152" s="446">
        <v>143</v>
      </c>
      <c r="C152" s="24" t="s">
        <v>950</v>
      </c>
      <c r="E152" s="452">
        <v>22097038.48</v>
      </c>
      <c r="F152" s="452">
        <v>4372545.04</v>
      </c>
      <c r="G152" s="452">
        <v>22097038.48</v>
      </c>
      <c r="H152" s="452">
        <v>4398067.97</v>
      </c>
      <c r="I152" s="452">
        <v>22097038.48</v>
      </c>
      <c r="J152" s="452">
        <v>4423590.9000000004</v>
      </c>
      <c r="K152" s="452">
        <v>22097038.48</v>
      </c>
      <c r="L152" s="452">
        <v>4449113.83</v>
      </c>
      <c r="M152" s="452">
        <v>22097038.48</v>
      </c>
      <c r="N152" s="452">
        <v>4474636.7699999996</v>
      </c>
      <c r="O152" s="452">
        <v>22097038.48</v>
      </c>
      <c r="P152" s="452">
        <v>4500159.7</v>
      </c>
      <c r="Q152" s="452">
        <v>22097038.48</v>
      </c>
      <c r="R152" s="452">
        <v>4525682.63</v>
      </c>
      <c r="S152" s="452">
        <v>22097038.48</v>
      </c>
      <c r="T152" s="452">
        <v>4551205.54</v>
      </c>
      <c r="U152" s="452">
        <v>22097038.48</v>
      </c>
      <c r="V152" s="452">
        <v>4576728.4800000004</v>
      </c>
      <c r="W152" s="452">
        <v>22097038.48</v>
      </c>
      <c r="X152" s="452">
        <v>4602251.42</v>
      </c>
      <c r="Y152" s="452">
        <v>22097038.48</v>
      </c>
      <c r="Z152" s="452">
        <v>4627774.33</v>
      </c>
      <c r="AA152" s="452">
        <v>22097038.48</v>
      </c>
      <c r="AB152" s="452">
        <v>4653297.25</v>
      </c>
      <c r="AC152" s="452">
        <v>26251194.289999999</v>
      </c>
      <c r="AD152" s="452">
        <v>4656844.2300000004</v>
      </c>
      <c r="AE152" s="452">
        <f t="shared" si="8"/>
        <v>22270128.305416662</v>
      </c>
      <c r="AF152" s="452">
        <f t="shared" si="8"/>
        <v>4524766.9545833329</v>
      </c>
    </row>
    <row r="153" spans="1:32">
      <c r="A153" s="446">
        <v>144</v>
      </c>
      <c r="B153" s="923" t="s">
        <v>947</v>
      </c>
      <c r="C153" s="923"/>
      <c r="D153" s="453"/>
      <c r="E153" s="455">
        <f>SUM(E150:E152)</f>
        <v>22184758.190000001</v>
      </c>
      <c r="F153" s="455">
        <f t="shared" ref="F153:AF153" si="9">SUM(F150:F152)</f>
        <v>4404500.32</v>
      </c>
      <c r="G153" s="455">
        <f t="shared" si="9"/>
        <v>22184758.190000001</v>
      </c>
      <c r="H153" s="455">
        <f t="shared" si="9"/>
        <v>4430094.12</v>
      </c>
      <c r="I153" s="455">
        <f t="shared" si="9"/>
        <v>22184758.190000001</v>
      </c>
      <c r="J153" s="455">
        <f t="shared" si="9"/>
        <v>4455687.91</v>
      </c>
      <c r="K153" s="455">
        <f t="shared" si="9"/>
        <v>22184758.190000001</v>
      </c>
      <c r="L153" s="455">
        <f t="shared" si="9"/>
        <v>4481281.71</v>
      </c>
      <c r="M153" s="455">
        <f t="shared" si="9"/>
        <v>22184758.190000001</v>
      </c>
      <c r="N153" s="455">
        <f t="shared" si="9"/>
        <v>4506875.51</v>
      </c>
      <c r="O153" s="455">
        <f t="shared" si="9"/>
        <v>22184758.190000001</v>
      </c>
      <c r="P153" s="455">
        <f t="shared" si="9"/>
        <v>4532469.3100000005</v>
      </c>
      <c r="Q153" s="455">
        <f t="shared" si="9"/>
        <v>22184758.190000001</v>
      </c>
      <c r="R153" s="455">
        <f t="shared" si="9"/>
        <v>4558063.0999999996</v>
      </c>
      <c r="S153" s="455">
        <f t="shared" si="9"/>
        <v>22184758.190000001</v>
      </c>
      <c r="T153" s="455">
        <f t="shared" si="9"/>
        <v>4583656.88</v>
      </c>
      <c r="U153" s="455">
        <f t="shared" si="9"/>
        <v>22184758.190000001</v>
      </c>
      <c r="V153" s="455">
        <f t="shared" si="9"/>
        <v>4609250.6800000006</v>
      </c>
      <c r="W153" s="455">
        <f t="shared" si="9"/>
        <v>22184758.190000001</v>
      </c>
      <c r="X153" s="455">
        <f t="shared" si="9"/>
        <v>4634844.49</v>
      </c>
      <c r="Y153" s="455">
        <f t="shared" si="9"/>
        <v>22184758.190000001</v>
      </c>
      <c r="Z153" s="455">
        <f t="shared" si="9"/>
        <v>4660438.26</v>
      </c>
      <c r="AA153" s="455">
        <f t="shared" si="9"/>
        <v>22184758.190000001</v>
      </c>
      <c r="AB153" s="455">
        <f t="shared" si="9"/>
        <v>4686032.05</v>
      </c>
      <c r="AC153" s="455">
        <f t="shared" si="9"/>
        <v>26337831.029999997</v>
      </c>
      <c r="AD153" s="455">
        <f t="shared" si="9"/>
        <v>4689205.91</v>
      </c>
      <c r="AE153" s="455">
        <f t="shared" si="9"/>
        <v>22357802.891666662</v>
      </c>
      <c r="AF153" s="455">
        <f t="shared" si="9"/>
        <v>4557128.9279166665</v>
      </c>
    </row>
    <row r="154" spans="1:32">
      <c r="A154" s="446">
        <v>145</v>
      </c>
    </row>
    <row r="155" spans="1:32" ht="16.5" thickBot="1">
      <c r="A155" s="446">
        <v>146</v>
      </c>
      <c r="B155" s="458"/>
      <c r="C155" s="459" t="s">
        <v>951</v>
      </c>
      <c r="D155" s="458"/>
      <c r="E155" s="201">
        <f t="shared" ref="E155:AF155" si="10">SUM(E153,E148,E92,E47)</f>
        <v>1077226743.8999999</v>
      </c>
      <c r="F155" s="201">
        <f t="shared" si="10"/>
        <v>490935882.09999996</v>
      </c>
      <c r="G155" s="201">
        <f t="shared" si="10"/>
        <v>1081560217.4599998</v>
      </c>
      <c r="H155" s="201">
        <f t="shared" si="10"/>
        <v>493107419.64999986</v>
      </c>
      <c r="I155" s="201">
        <f t="shared" si="10"/>
        <v>1083611349.3599997</v>
      </c>
      <c r="J155" s="201">
        <f t="shared" si="10"/>
        <v>495107405.38999999</v>
      </c>
      <c r="K155" s="201">
        <f t="shared" si="10"/>
        <v>1087256406.2399998</v>
      </c>
      <c r="L155" s="201">
        <f t="shared" si="10"/>
        <v>497302605.19999993</v>
      </c>
      <c r="M155" s="201">
        <f t="shared" si="10"/>
        <v>1092877865.8399997</v>
      </c>
      <c r="N155" s="201">
        <f t="shared" si="10"/>
        <v>499612533.12000006</v>
      </c>
      <c r="O155" s="201">
        <f t="shared" si="10"/>
        <v>1097878956.9999995</v>
      </c>
      <c r="P155" s="201">
        <f t="shared" si="10"/>
        <v>501747734.64999998</v>
      </c>
      <c r="Q155" s="201">
        <f t="shared" si="10"/>
        <v>1105057401.5999997</v>
      </c>
      <c r="R155" s="201">
        <f t="shared" si="10"/>
        <v>504191621.81000006</v>
      </c>
      <c r="S155" s="201">
        <f t="shared" si="10"/>
        <v>1105475242.7299998</v>
      </c>
      <c r="T155" s="201">
        <f t="shared" si="10"/>
        <v>502359336.15000004</v>
      </c>
      <c r="U155" s="201">
        <f t="shared" si="10"/>
        <v>1109924586.79</v>
      </c>
      <c r="V155" s="201">
        <f t="shared" si="10"/>
        <v>504900056.22000003</v>
      </c>
      <c r="W155" s="201">
        <f t="shared" si="10"/>
        <v>1116902344.1899998</v>
      </c>
      <c r="X155" s="201">
        <f t="shared" si="10"/>
        <v>507268162.17000008</v>
      </c>
      <c r="Y155" s="201">
        <f t="shared" si="10"/>
        <v>1126455397.8599997</v>
      </c>
      <c r="Z155" s="201">
        <f t="shared" si="10"/>
        <v>509790469.87999988</v>
      </c>
      <c r="AA155" s="201">
        <f t="shared" si="10"/>
        <v>1132468897.4099996</v>
      </c>
      <c r="AB155" s="201">
        <f t="shared" si="10"/>
        <v>511853411.42999995</v>
      </c>
      <c r="AC155" s="201">
        <f t="shared" si="10"/>
        <v>1148216101.98</v>
      </c>
      <c r="AD155" s="201">
        <f t="shared" si="10"/>
        <v>512376596.41999996</v>
      </c>
      <c r="AE155" s="201">
        <f t="shared" si="10"/>
        <v>1104349174.1183331</v>
      </c>
      <c r="AF155" s="201">
        <f t="shared" si="10"/>
        <v>502408082.9108333</v>
      </c>
    </row>
    <row r="156" spans="1:32" ht="16.5" thickTop="1">
      <c r="A156" s="446">
        <v>147</v>
      </c>
      <c r="F156" s="431"/>
      <c r="H156" s="431"/>
      <c r="J156" s="431"/>
      <c r="L156" s="431"/>
      <c r="N156" s="431"/>
      <c r="P156" s="431"/>
      <c r="R156" s="431"/>
      <c r="T156" s="431"/>
    </row>
    <row r="157" spans="1:32">
      <c r="A157" s="446">
        <v>148</v>
      </c>
      <c r="F157" s="431"/>
      <c r="H157" s="431"/>
      <c r="I157" s="431"/>
      <c r="J157" s="431"/>
      <c r="K157" s="431"/>
      <c r="L157" s="431"/>
      <c r="M157" s="431"/>
      <c r="N157" s="431"/>
      <c r="O157" s="431"/>
      <c r="P157" s="431"/>
      <c r="Q157" s="431"/>
      <c r="R157" s="431"/>
      <c r="S157" s="431"/>
      <c r="T157" s="431"/>
      <c r="X157" s="460"/>
      <c r="Y157" s="460"/>
      <c r="Z157" s="460"/>
      <c r="AC157" s="802"/>
      <c r="AD157" s="802"/>
      <c r="AE157" s="431"/>
    </row>
    <row r="158" spans="1:32" ht="30">
      <c r="A158" s="446">
        <v>149</v>
      </c>
      <c r="B158" s="461" t="s">
        <v>1099</v>
      </c>
      <c r="D158" s="462"/>
      <c r="X158" s="460"/>
      <c r="AA158" s="463"/>
      <c r="AB158" s="463"/>
      <c r="AC158" s="802"/>
      <c r="AD158" s="802"/>
      <c r="AE158" s="431"/>
      <c r="AF158" s="431"/>
    </row>
    <row r="159" spans="1:32">
      <c r="A159" s="446">
        <v>150</v>
      </c>
    </row>
    <row r="160" spans="1:32">
      <c r="A160" s="446">
        <v>151</v>
      </c>
      <c r="Q160" s="431"/>
    </row>
    <row r="161" spans="1:32">
      <c r="A161" s="446">
        <v>152</v>
      </c>
      <c r="D161" s="463" t="s">
        <v>952</v>
      </c>
      <c r="F161" s="431">
        <f>E92</f>
        <v>716908411.13999987</v>
      </c>
      <c r="H161" s="431">
        <f>G92</f>
        <v>719814865.54999983</v>
      </c>
      <c r="J161" s="431">
        <f>I92</f>
        <v>719822123.01999986</v>
      </c>
      <c r="L161" s="431">
        <f>K92</f>
        <v>721408629.44999981</v>
      </c>
      <c r="N161" s="431">
        <f>M92</f>
        <v>726009290.69999981</v>
      </c>
      <c r="P161" s="431">
        <f>O92</f>
        <v>729343349.84999967</v>
      </c>
      <c r="R161" s="431">
        <f>Q92</f>
        <v>732720558.29999971</v>
      </c>
      <c r="T161" s="431">
        <f>S92</f>
        <v>735226566.68999982</v>
      </c>
      <c r="V161" s="431">
        <f>U92</f>
        <v>737790044.5799998</v>
      </c>
      <c r="X161" s="431">
        <f>W92</f>
        <v>743022076.07999969</v>
      </c>
      <c r="Z161" s="431">
        <f>Y92</f>
        <v>748441437.37999976</v>
      </c>
      <c r="AB161" s="431">
        <f>AA92</f>
        <v>753183631.21999967</v>
      </c>
      <c r="AD161" s="431">
        <f>AC92</f>
        <v>764082473.55999994</v>
      </c>
    </row>
    <row r="162" spans="1:32">
      <c r="A162" s="446">
        <v>153</v>
      </c>
      <c r="D162" s="463" t="s">
        <v>953</v>
      </c>
      <c r="E162" s="291">
        <v>0.74850000000000005</v>
      </c>
      <c r="F162" s="431">
        <f>E162*SUM(E94:E144)</f>
        <v>43564551.96864</v>
      </c>
      <c r="G162" s="291">
        <f>+'State Allocation Formulas'!C21</f>
        <v>0.75170000000000003</v>
      </c>
      <c r="H162" s="431">
        <f>G162*SUM(G94:G144)</f>
        <v>43711878.115547001</v>
      </c>
      <c r="I162" s="291">
        <f>+G162</f>
        <v>0.75170000000000003</v>
      </c>
      <c r="J162" s="431">
        <f>I162*SUM(I94:I144)</f>
        <v>43718036.410280004</v>
      </c>
      <c r="K162" s="291">
        <f>+I162</f>
        <v>0.75170000000000003</v>
      </c>
      <c r="L162" s="431">
        <f>K162*SUM(K94:K144)</f>
        <v>43620859.603495002</v>
      </c>
      <c r="M162" s="291">
        <f>+K162</f>
        <v>0.75170000000000003</v>
      </c>
      <c r="N162" s="431">
        <f>M162*SUM(M94:M144)</f>
        <v>43692153.492513001</v>
      </c>
      <c r="O162" s="291">
        <f>+M162</f>
        <v>0.75170000000000003</v>
      </c>
      <c r="P162" s="431">
        <f>O162*SUM(O94:O144)</f>
        <v>43745558.176869996</v>
      </c>
      <c r="Q162" s="291">
        <f>+O162</f>
        <v>0.75170000000000003</v>
      </c>
      <c r="R162" s="431">
        <f>Q162*SUM(Q94:Q144)</f>
        <v>43752217.832952</v>
      </c>
      <c r="S162" s="291">
        <f>+Q162</f>
        <v>0.75170000000000003</v>
      </c>
      <c r="T162" s="431">
        <f>S162*SUM(S94:S144)</f>
        <v>43765669.008330002</v>
      </c>
      <c r="U162" s="291">
        <f>+S162</f>
        <v>0.75170000000000003</v>
      </c>
      <c r="V162" s="431">
        <f>U162*SUM(U94:U144)</f>
        <v>43864123.246578</v>
      </c>
      <c r="W162" s="291">
        <f>+U162</f>
        <v>0.75170000000000003</v>
      </c>
      <c r="X162" s="431">
        <f>W162*SUM(W94:W144)</f>
        <v>44336805.083198994</v>
      </c>
      <c r="Y162" s="291">
        <f>+W162</f>
        <v>0.75170000000000003</v>
      </c>
      <c r="Z162" s="431">
        <f>Y162*SUM(Y94:Y144)</f>
        <v>44443412.109306999</v>
      </c>
      <c r="AA162" s="291">
        <f>+Y162</f>
        <v>0.75170000000000003</v>
      </c>
      <c r="AB162" s="431">
        <f>AA162*SUM(AA94:AA144)</f>
        <v>44533617.139136001</v>
      </c>
      <c r="AC162" s="291">
        <f>+AA162</f>
        <v>0.75170000000000003</v>
      </c>
      <c r="AD162" s="431">
        <f>AC162*SUM(AC94:AC144)</f>
        <v>46007116.783269994</v>
      </c>
      <c r="AE162" s="431"/>
    </row>
    <row r="163" spans="1:32">
      <c r="A163" s="446">
        <v>154</v>
      </c>
      <c r="D163" s="463" t="s">
        <v>954</v>
      </c>
      <c r="E163" s="291">
        <v>0.74490000000000001</v>
      </c>
      <c r="F163" s="431">
        <f>SUM(E145:E147)*E163</f>
        <v>56747165.170136996</v>
      </c>
      <c r="G163" s="291">
        <f>+'State Allocation Formulas'!C16</f>
        <v>0.74299999999999999</v>
      </c>
      <c r="H163" s="431">
        <f>SUM(G145:G147)*G163</f>
        <v>56890646.871759996</v>
      </c>
      <c r="I163" s="291">
        <f>+G163</f>
        <v>0.74299999999999999</v>
      </c>
      <c r="J163" s="431">
        <f>SUM(I145:I147)*I163</f>
        <v>57157937.302740008</v>
      </c>
      <c r="K163" s="291">
        <f>+I163</f>
        <v>0.74299999999999999</v>
      </c>
      <c r="L163" s="431">
        <f>SUM(K145:K147)*K163</f>
        <v>57919007.077600002</v>
      </c>
      <c r="M163" s="291">
        <f>+K163</f>
        <v>0.74299999999999999</v>
      </c>
      <c r="N163" s="431">
        <f>SUM(M145:M147)*M163</f>
        <v>57965699.225990005</v>
      </c>
      <c r="O163" s="291">
        <f>+M163</f>
        <v>0.74299999999999999</v>
      </c>
      <c r="P163" s="431">
        <f>SUM(O145:O147)*O163</f>
        <v>58270449.37652</v>
      </c>
      <c r="Q163" s="291">
        <f>+O163</f>
        <v>0.74299999999999999</v>
      </c>
      <c r="R163" s="431">
        <f>SUM(Q145:Q147)*Q163</f>
        <v>59106898.076540001</v>
      </c>
      <c r="S163" s="291">
        <f>+Q163</f>
        <v>0.74299999999999999</v>
      </c>
      <c r="T163" s="431">
        <f>SUM(S145:S147)*S163</f>
        <v>57021132.085960001</v>
      </c>
      <c r="U163" s="291">
        <f>+S163</f>
        <v>0.74299999999999999</v>
      </c>
      <c r="V163" s="431">
        <f>SUM(U145:U147)*U163</f>
        <v>57861649.610009991</v>
      </c>
      <c r="W163" s="291">
        <f>+U163</f>
        <v>0.74299999999999999</v>
      </c>
      <c r="X163" s="431">
        <f>SUM(W145:W147)*W163</f>
        <v>58175751.908970006</v>
      </c>
      <c r="Y163" s="291">
        <f>+W163</f>
        <v>0.74299999999999999</v>
      </c>
      <c r="Z163" s="431">
        <f>SUM(Y145:Y147)*Y163</f>
        <v>58902295.98212</v>
      </c>
      <c r="AA163" s="291">
        <f>+Y163</f>
        <v>0.74299999999999999</v>
      </c>
      <c r="AB163" s="431">
        <f>SUM(AA145:AA147)*AA163</f>
        <v>59093652.890450001</v>
      </c>
      <c r="AC163" s="291">
        <f>+AA163</f>
        <v>0.74299999999999999</v>
      </c>
      <c r="AD163" s="431">
        <f>SUM(AC145:AC147)*AC163</f>
        <v>56855630.396259993</v>
      </c>
    </row>
    <row r="164" spans="1:32">
      <c r="A164" s="446">
        <v>155</v>
      </c>
      <c r="F164" s="431"/>
      <c r="H164" s="431"/>
      <c r="J164" s="431"/>
      <c r="L164" s="431"/>
      <c r="N164" s="431"/>
      <c r="P164" s="431"/>
      <c r="R164" s="431"/>
      <c r="T164" s="431"/>
      <c r="V164" s="431"/>
      <c r="X164" s="431"/>
      <c r="Z164" s="431"/>
      <c r="AB164" s="431"/>
      <c r="AD164" s="431"/>
    </row>
    <row r="165" spans="1:32">
      <c r="A165" s="446">
        <v>156</v>
      </c>
      <c r="D165" s="463" t="s">
        <v>955</v>
      </c>
      <c r="F165" s="431">
        <f>SUM(F161:F163)</f>
        <v>817220128.27877688</v>
      </c>
      <c r="H165" s="431">
        <f>SUM(H161:H163)</f>
        <v>820417390.5373069</v>
      </c>
      <c r="J165" s="431">
        <f>SUM(J161:J163)</f>
        <v>820698096.73301983</v>
      </c>
      <c r="L165" s="431">
        <f>SUM(L161:L163)</f>
        <v>822948496.13109481</v>
      </c>
      <c r="N165" s="431">
        <f>SUM(N161:N163)</f>
        <v>827667143.41850281</v>
      </c>
      <c r="P165" s="431">
        <f>SUM(P161:P163)</f>
        <v>831359357.40338969</v>
      </c>
      <c r="R165" s="431">
        <f>SUM(R161:R163)</f>
        <v>835579674.20949173</v>
      </c>
      <c r="T165" s="431">
        <f>SUM(T161:T163)</f>
        <v>836013367.78428984</v>
      </c>
      <c r="V165" s="431">
        <f>SUM(V161:V163)</f>
        <v>839515817.43658781</v>
      </c>
      <c r="X165" s="431">
        <f>SUM(X161:X163)</f>
        <v>845534633.07216871</v>
      </c>
      <c r="Z165" s="431">
        <f>SUM(Z161:Z163)</f>
        <v>851787145.47142684</v>
      </c>
      <c r="AB165" s="431">
        <f>SUM(AB161:AB163)</f>
        <v>856810901.24958563</v>
      </c>
      <c r="AD165" s="431">
        <f>SUM(AD161:AD163)</f>
        <v>866945220.73952997</v>
      </c>
      <c r="AE165" s="24" t="s">
        <v>963</v>
      </c>
      <c r="AF165" s="452">
        <f t="shared" ref="AF165" si="11">+(F165+AD165+(+H165+J165+L165+N165+P165+R165+T165+V165+X165+Z165+AB165)*2)/24</f>
        <v>835867891.49633491</v>
      </c>
    </row>
    <row r="166" spans="1:32">
      <c r="A166" s="446">
        <v>157</v>
      </c>
      <c r="AB166" s="431"/>
      <c r="AD166" s="431"/>
    </row>
    <row r="167" spans="1:32">
      <c r="A167" s="446">
        <v>158</v>
      </c>
      <c r="D167" s="463" t="s">
        <v>952</v>
      </c>
      <c r="F167" s="431">
        <f>F92</f>
        <v>349691372.54999995</v>
      </c>
      <c r="H167" s="431">
        <f>H92</f>
        <v>351122100.51999992</v>
      </c>
      <c r="J167" s="431">
        <f>J92</f>
        <v>352161619.25</v>
      </c>
      <c r="L167" s="431">
        <f>L92</f>
        <v>353579319.95999998</v>
      </c>
      <c r="N167" s="431">
        <f>N92</f>
        <v>355202929.90000004</v>
      </c>
      <c r="P167" s="431">
        <f>P92</f>
        <v>356554963.54000002</v>
      </c>
      <c r="R167" s="431">
        <f>R92</f>
        <v>358089078.43000007</v>
      </c>
      <c r="T167" s="431">
        <f>T92</f>
        <v>359533201.34000003</v>
      </c>
      <c r="V167" s="431">
        <f>V92</f>
        <v>361133539.03000003</v>
      </c>
      <c r="X167" s="431">
        <f>X92</f>
        <v>362566654.5</v>
      </c>
      <c r="Z167" s="431">
        <f>Z92</f>
        <v>364082428.88999987</v>
      </c>
      <c r="AB167" s="431">
        <f>AB92</f>
        <v>365355850.14999998</v>
      </c>
      <c r="AD167" s="431">
        <f>AD92</f>
        <v>366495933.66000003</v>
      </c>
    </row>
    <row r="168" spans="1:32">
      <c r="A168" s="446">
        <v>159</v>
      </c>
      <c r="D168" s="463" t="s">
        <v>953</v>
      </c>
      <c r="F168" s="431">
        <f>E162*SUM(F94:F144)</f>
        <v>22202291.72191501</v>
      </c>
      <c r="H168" s="431">
        <f>G162*SUM(H94:H144)</f>
        <v>22510173.278716009</v>
      </c>
      <c r="J168" s="431">
        <f>I162*SUM(J94:J144)</f>
        <v>22773562.802293006</v>
      </c>
      <c r="L168" s="431">
        <f>K162*SUM(L94:L144)</f>
        <v>22915040.281844005</v>
      </c>
      <c r="N168" s="431">
        <f>M162*SUM(N94:N144)</f>
        <v>23161400.688383002</v>
      </c>
      <c r="P168" s="431">
        <f>O162*SUM(P94:P144)</f>
        <v>23415565.357076999</v>
      </c>
      <c r="R168" s="431">
        <f>Q162*SUM(R94:R144)</f>
        <v>23677811.943355002</v>
      </c>
      <c r="T168" s="431">
        <f>S162*SUM(T94:T144)</f>
        <v>23940255.332210001</v>
      </c>
      <c r="V168" s="431">
        <f>U162*SUM(V94:V144)</f>
        <v>24202810.837119997</v>
      </c>
      <c r="X168" s="431">
        <f>W162*SUM(X94:X144)</f>
        <v>24445527.580868002</v>
      </c>
      <c r="Z168" s="431">
        <f>Y162*SUM(Z94:Z144)</f>
        <v>24704623.198603004</v>
      </c>
      <c r="AB168" s="431">
        <f>AA162*SUM(AB94:AB144)</f>
        <v>24931380.674821008</v>
      </c>
      <c r="AD168" s="431">
        <f>AC162*SUM(AD94:AD144)</f>
        <v>25198087.149818003</v>
      </c>
    </row>
    <row r="169" spans="1:32">
      <c r="A169" s="446">
        <v>160</v>
      </c>
      <c r="D169" s="463" t="s">
        <v>954</v>
      </c>
      <c r="F169" s="431">
        <f>SUM(F145:F147)*E163</f>
        <v>9313977.5332890004</v>
      </c>
      <c r="H169" s="431">
        <f>SUM(H145:H147)*G163</f>
        <v>9282415.2646400016</v>
      </c>
      <c r="J169" s="431">
        <f>SUM(J145:J147)*I163</f>
        <v>9324677.9962399993</v>
      </c>
      <c r="L169" s="431">
        <f>SUM(L145:L147)*K163</f>
        <v>9395823.0770699997</v>
      </c>
      <c r="N169" s="431">
        <f>SUM(N145:N147)*M163</f>
        <v>9289454.5357999988</v>
      </c>
      <c r="P169" s="431">
        <f>SUM(P145:P147)*O163</f>
        <v>9291886.0255899988</v>
      </c>
      <c r="R169" s="431">
        <f>SUM(R145:R147)*Q163</f>
        <v>9328779.7054500002</v>
      </c>
      <c r="T169" s="431">
        <f>SUM(T145:T147)*S163</f>
        <v>6235833.9797000019</v>
      </c>
      <c r="V169" s="431">
        <f>SUM(V145:V147)*U163</f>
        <v>6313688.4471199997</v>
      </c>
      <c r="X169" s="431">
        <f>SUM(X145:X147)*W163</f>
        <v>6488783.15099</v>
      </c>
      <c r="Z169" s="431">
        <f>SUM(Z145:Z147)*Y163</f>
        <v>6570429.06568</v>
      </c>
      <c r="AB169" s="431">
        <f>SUM(AB145:AB147)*AA163</f>
        <v>6577563.3591100005</v>
      </c>
      <c r="AD169" s="431">
        <f>SUM(AD145:AD147)*AC163</f>
        <v>5525143.8845200008</v>
      </c>
    </row>
    <row r="170" spans="1:32">
      <c r="A170" s="446">
        <v>161</v>
      </c>
      <c r="F170" s="431"/>
      <c r="H170" s="431"/>
      <c r="J170" s="431"/>
      <c r="L170" s="431"/>
      <c r="N170" s="431"/>
      <c r="P170" s="431"/>
      <c r="R170" s="431"/>
      <c r="T170" s="431"/>
      <c r="V170" s="431"/>
      <c r="X170" s="431"/>
      <c r="Z170" s="431"/>
      <c r="AB170" s="431"/>
      <c r="AD170" s="431"/>
    </row>
    <row r="171" spans="1:32">
      <c r="A171" s="446">
        <v>162</v>
      </c>
      <c r="D171" s="463" t="s">
        <v>956</v>
      </c>
      <c r="F171" s="431">
        <f>SUM(F167:F169)</f>
        <v>381207641.80520397</v>
      </c>
      <c r="H171" s="431">
        <f>SUM(H167:H169)</f>
        <v>382914689.06335592</v>
      </c>
      <c r="J171" s="431">
        <f>SUM(J167:J169)</f>
        <v>384259860.04853302</v>
      </c>
      <c r="L171" s="431">
        <f>SUM(L167:L169)</f>
        <v>385890183.318914</v>
      </c>
      <c r="N171" s="431">
        <f>SUM(N167:N169)</f>
        <v>387653785.124183</v>
      </c>
      <c r="P171" s="431">
        <f>SUM(P167:P169)</f>
        <v>389262414.92266703</v>
      </c>
      <c r="R171" s="431">
        <f>SUM(R167:R169)</f>
        <v>391095670.07880509</v>
      </c>
      <c r="T171" s="431">
        <f>SUM(T167:T169)</f>
        <v>389709290.65191007</v>
      </c>
      <c r="V171" s="431">
        <f>SUM(V167:V169)</f>
        <v>391650038.31424004</v>
      </c>
      <c r="X171" s="431">
        <f>SUM(X167:X169)</f>
        <v>393500965.23185802</v>
      </c>
      <c r="Z171" s="431">
        <f>SUM(Z167:Z169)</f>
        <v>395357481.15428293</v>
      </c>
      <c r="AB171" s="431">
        <f>SUM(AB167:AB169)</f>
        <v>396864794.18393099</v>
      </c>
      <c r="AD171" s="431">
        <f>SUM(AD167:AD169)</f>
        <v>397219164.69433802</v>
      </c>
      <c r="AE171" s="24" t="s">
        <v>964</v>
      </c>
      <c r="AF171" s="452">
        <f t="shared" ref="AF171" si="12">+(F171+AD171+(+H171+J171+L171+N171+P171+R171+T171+V171+X171+Z171+AB171)*2)/24</f>
        <v>389781047.94520426</v>
      </c>
    </row>
  </sheetData>
  <mergeCells count="17">
    <mergeCell ref="B149:C149"/>
    <mergeCell ref="B153:C153"/>
    <mergeCell ref="A1:L1"/>
    <mergeCell ref="A2:L2"/>
    <mergeCell ref="A3:L3"/>
    <mergeCell ref="A4:L4"/>
    <mergeCell ref="A5:L5"/>
    <mergeCell ref="M2:X2"/>
    <mergeCell ref="M3:X3"/>
    <mergeCell ref="M4:X4"/>
    <mergeCell ref="M5:X5"/>
    <mergeCell ref="Y1:AF1"/>
    <mergeCell ref="Y2:AF2"/>
    <mergeCell ref="Y3:AF3"/>
    <mergeCell ref="Y4:AF4"/>
    <mergeCell ref="Y5:AF5"/>
    <mergeCell ref="M1:X1"/>
  </mergeCells>
  <phoneticPr fontId="142" type="noConversion"/>
  <printOptions horizontalCentered="1"/>
  <pageMargins left="0.7" right="0.7" top="0.75" bottom="0.75" header="0.3" footer="0.3"/>
  <pageSetup scale="47" orientation="landscape" r:id="rId1"/>
  <headerFooter scaleWithDoc="0" alignWithMargins="0">
    <oddHeader>&amp;RPage &amp;P of &amp;N</oddHeader>
    <oddFooter>&amp;LElectronic Tab Name:&amp;A</oddFooter>
  </headerFooter>
  <rowBreaks count="3" manualBreakCount="3">
    <brk id="47" max="16383" man="1"/>
    <brk id="92" max="16383" man="1"/>
    <brk id="13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BD88"/>
  <sheetViews>
    <sheetView view="pageBreakPreview" zoomScale="50" zoomScaleNormal="100" zoomScaleSheetLayoutView="50" workbookViewId="0">
      <pane xSplit="9" ySplit="5" topLeftCell="AC6" activePane="bottomRight" state="frozen"/>
      <selection activeCell="G24" sqref="F24:G24"/>
      <selection pane="topRight" activeCell="G24" sqref="F24:G24"/>
      <selection pane="bottomLeft" activeCell="G24" sqref="F24:G24"/>
      <selection pane="bottomRight" activeCell="G24" sqref="F24:G24"/>
    </sheetView>
  </sheetViews>
  <sheetFormatPr defaultRowHeight="15.75"/>
  <cols>
    <col min="1" max="1" width="9.42578125" style="28" bestFit="1" customWidth="1"/>
    <col min="2" max="2" width="42.28515625" style="4" bestFit="1" customWidth="1"/>
    <col min="3" max="3" width="9.140625" style="4"/>
    <col min="4" max="4" width="4.5703125" style="4" customWidth="1"/>
    <col min="5" max="9" width="9.140625" style="4"/>
    <col min="10" max="10" width="21.28515625" style="4" bestFit="1" customWidth="1"/>
    <col min="11" max="12" width="20.42578125" style="4" bestFit="1" customWidth="1"/>
    <col min="13" max="13" width="21.85546875" style="4" bestFit="1" customWidth="1"/>
    <col min="14" max="14" width="20.42578125" style="4" bestFit="1" customWidth="1"/>
    <col min="15" max="15" width="19.85546875" style="4" bestFit="1" customWidth="1"/>
    <col min="16" max="16" width="21.28515625" style="4" bestFit="1" customWidth="1"/>
    <col min="17" max="18" width="20.42578125" style="4" bestFit="1" customWidth="1"/>
    <col min="19" max="19" width="20.5703125" style="4" bestFit="1" customWidth="1"/>
    <col min="20" max="21" width="19.85546875" style="4" bestFit="1" customWidth="1"/>
    <col min="22" max="22" width="20.42578125" style="4" bestFit="1" customWidth="1"/>
    <col min="23" max="23" width="19.85546875" style="4" bestFit="1" customWidth="1"/>
    <col min="24" max="24" width="20.42578125" style="4" bestFit="1" customWidth="1"/>
    <col min="25" max="25" width="21.85546875" style="4" bestFit="1" customWidth="1"/>
    <col min="26" max="27" width="20.42578125" style="4" bestFit="1" customWidth="1"/>
    <col min="28" max="28" width="20.5703125" style="4" bestFit="1" customWidth="1"/>
    <col min="29" max="30" width="20.42578125" style="4" bestFit="1" customWidth="1"/>
    <col min="31" max="31" width="20.5703125" style="4" bestFit="1" customWidth="1"/>
    <col min="32" max="32" width="19.42578125" style="4" bestFit="1" customWidth="1"/>
    <col min="33" max="34" width="19.85546875" style="4" bestFit="1" customWidth="1"/>
    <col min="35" max="36" width="20.42578125" style="4" bestFit="1" customWidth="1"/>
    <col min="37" max="37" width="21.85546875" style="4" bestFit="1" customWidth="1"/>
    <col min="38" max="38" width="19.85546875" style="4" bestFit="1" customWidth="1"/>
    <col min="39" max="39" width="20.42578125" style="4" bestFit="1" customWidth="1"/>
    <col min="40" max="40" width="21.28515625" style="4" bestFit="1" customWidth="1"/>
    <col min="41" max="41" width="20.42578125" style="4" bestFit="1" customWidth="1"/>
    <col min="42" max="42" width="19.85546875" style="4" bestFit="1" customWidth="1"/>
    <col min="43" max="43" width="21.28515625" style="4" bestFit="1" customWidth="1"/>
    <col min="44" max="44" width="19.85546875" style="4" bestFit="1" customWidth="1"/>
    <col min="45" max="45" width="19.42578125" style="4" bestFit="1" customWidth="1"/>
    <col min="46" max="46" width="21.85546875" style="4" bestFit="1" customWidth="1"/>
    <col min="47" max="47" width="20.42578125" style="4" bestFit="1" customWidth="1"/>
    <col min="48" max="48" width="19.85546875" style="4" bestFit="1" customWidth="1"/>
    <col min="49" max="49" width="20.5703125" style="4" bestFit="1" customWidth="1"/>
    <col min="50" max="51" width="17.5703125" style="4" bestFit="1" customWidth="1"/>
    <col min="52" max="16384" width="9.140625" style="4"/>
  </cols>
  <sheetData>
    <row r="1" spans="1:51">
      <c r="E1" s="904" t="s">
        <v>60</v>
      </c>
      <c r="F1" s="904"/>
      <c r="G1" s="904"/>
      <c r="H1" s="904"/>
      <c r="I1" s="904"/>
      <c r="J1" s="904"/>
      <c r="K1" s="904"/>
      <c r="R1" s="904" t="s">
        <v>60</v>
      </c>
      <c r="S1" s="904"/>
      <c r="T1" s="904"/>
      <c r="U1" s="904"/>
      <c r="V1" s="3"/>
      <c r="W1" s="3"/>
      <c r="X1" s="3"/>
      <c r="Y1" s="3"/>
      <c r="AB1" s="904" t="s">
        <v>60</v>
      </c>
      <c r="AC1" s="904"/>
      <c r="AD1" s="904"/>
      <c r="AE1" s="904"/>
      <c r="AF1" s="904"/>
      <c r="AG1" s="904"/>
      <c r="AH1" s="904"/>
      <c r="AI1" s="904"/>
      <c r="AJ1" s="904"/>
      <c r="AK1" s="904"/>
      <c r="AL1" s="904"/>
      <c r="AM1" s="904"/>
      <c r="AN1" s="904"/>
      <c r="AO1" s="904"/>
      <c r="AP1" s="904" t="s">
        <v>60</v>
      </c>
      <c r="AQ1" s="904"/>
      <c r="AR1" s="904"/>
      <c r="AS1" s="904"/>
      <c r="AT1" s="904"/>
      <c r="AU1" s="904"/>
      <c r="AV1" s="904"/>
      <c r="AW1" s="904"/>
      <c r="AX1" s="904"/>
      <c r="AY1" s="904"/>
    </row>
    <row r="2" spans="1:51">
      <c r="E2" s="6"/>
      <c r="F2" s="904" t="s">
        <v>1865</v>
      </c>
      <c r="G2" s="904"/>
      <c r="H2" s="904"/>
      <c r="I2" s="904"/>
      <c r="J2" s="904"/>
      <c r="K2" s="6"/>
      <c r="R2" s="904" t="str">
        <f>+F2</f>
        <v>UG 20_____</v>
      </c>
      <c r="S2" s="904"/>
      <c r="T2" s="904"/>
      <c r="U2" s="904"/>
      <c r="V2" s="3"/>
      <c r="W2" s="3"/>
      <c r="X2" s="3"/>
      <c r="Y2" s="6"/>
      <c r="AA2" s="6"/>
      <c r="AB2" s="904" t="str">
        <f>+R2</f>
        <v>UG 20_____</v>
      </c>
      <c r="AC2" s="904"/>
      <c r="AD2" s="904"/>
      <c r="AE2" s="904"/>
      <c r="AF2" s="904"/>
      <c r="AG2" s="904"/>
      <c r="AH2" s="904"/>
      <c r="AI2" s="904"/>
      <c r="AJ2" s="904"/>
      <c r="AK2" s="904"/>
      <c r="AL2" s="904"/>
      <c r="AM2" s="904"/>
      <c r="AN2" s="904"/>
      <c r="AO2" s="904"/>
      <c r="AP2" s="904" t="str">
        <f>+AB2</f>
        <v>UG 20_____</v>
      </c>
      <c r="AQ2" s="904"/>
      <c r="AR2" s="904"/>
      <c r="AS2" s="904"/>
      <c r="AT2" s="904"/>
      <c r="AU2" s="904"/>
      <c r="AV2" s="904"/>
      <c r="AW2" s="904"/>
      <c r="AX2" s="904"/>
      <c r="AY2" s="904"/>
    </row>
    <row r="3" spans="1:51">
      <c r="E3" s="6"/>
      <c r="F3" s="904" t="s">
        <v>1337</v>
      </c>
      <c r="G3" s="904"/>
      <c r="H3" s="904"/>
      <c r="I3" s="904"/>
      <c r="J3" s="904"/>
      <c r="K3" s="6"/>
      <c r="R3" s="904" t="str">
        <f>+F3</f>
        <v>MCP WP-1.4</v>
      </c>
      <c r="S3" s="904"/>
      <c r="T3" s="904"/>
      <c r="U3" s="904"/>
      <c r="V3" s="3"/>
      <c r="W3" s="3"/>
      <c r="X3" s="3"/>
      <c r="Y3" s="6"/>
      <c r="AA3" s="6"/>
      <c r="AB3" s="904" t="str">
        <f>+R3</f>
        <v>MCP WP-1.4</v>
      </c>
      <c r="AC3" s="904"/>
      <c r="AD3" s="904"/>
      <c r="AE3" s="904"/>
      <c r="AF3" s="904"/>
      <c r="AG3" s="904"/>
      <c r="AH3" s="904"/>
      <c r="AI3" s="904"/>
      <c r="AJ3" s="904"/>
      <c r="AK3" s="904"/>
      <c r="AL3" s="904"/>
      <c r="AM3" s="904"/>
      <c r="AN3" s="904"/>
      <c r="AO3" s="904"/>
      <c r="AP3" s="904" t="str">
        <f>+AB3</f>
        <v>MCP WP-1.4</v>
      </c>
      <c r="AQ3" s="904"/>
      <c r="AR3" s="904"/>
      <c r="AS3" s="904"/>
      <c r="AT3" s="904"/>
      <c r="AU3" s="904"/>
      <c r="AV3" s="904"/>
      <c r="AW3" s="904"/>
      <c r="AX3" s="904"/>
      <c r="AY3" s="904"/>
    </row>
    <row r="4" spans="1:51">
      <c r="E4" s="904" t="s">
        <v>1053</v>
      </c>
      <c r="F4" s="904"/>
      <c r="G4" s="904"/>
      <c r="H4" s="904"/>
      <c r="I4" s="904"/>
      <c r="J4" s="904"/>
      <c r="K4" s="904"/>
      <c r="R4" s="904" t="s">
        <v>1053</v>
      </c>
      <c r="S4" s="904"/>
      <c r="T4" s="904"/>
      <c r="U4" s="904"/>
      <c r="V4" s="3"/>
      <c r="W4" s="3"/>
      <c r="X4" s="3"/>
      <c r="Y4" s="3"/>
      <c r="AB4" s="904" t="s">
        <v>1053</v>
      </c>
      <c r="AC4" s="904"/>
      <c r="AD4" s="904"/>
      <c r="AE4" s="904"/>
      <c r="AF4" s="904"/>
      <c r="AG4" s="904"/>
      <c r="AH4" s="904"/>
      <c r="AI4" s="904"/>
      <c r="AJ4" s="904"/>
      <c r="AK4" s="904"/>
      <c r="AL4" s="904"/>
      <c r="AM4" s="904"/>
      <c r="AN4" s="904"/>
      <c r="AO4" s="904"/>
      <c r="AP4" s="904" t="s">
        <v>1053</v>
      </c>
      <c r="AQ4" s="904"/>
      <c r="AR4" s="904"/>
      <c r="AS4" s="904"/>
      <c r="AT4" s="904"/>
      <c r="AU4" s="904"/>
      <c r="AV4" s="904"/>
      <c r="AW4" s="904"/>
      <c r="AX4" s="904"/>
      <c r="AY4" s="904"/>
    </row>
    <row r="5" spans="1:51">
      <c r="F5" s="904" t="s">
        <v>1864</v>
      </c>
      <c r="G5" s="904"/>
      <c r="H5" s="904"/>
      <c r="I5" s="904"/>
      <c r="J5" s="904"/>
      <c r="R5" s="904" t="str">
        <f>+F5</f>
        <v>Twelve Months Ended December 31, 2019</v>
      </c>
      <c r="S5" s="904"/>
      <c r="T5" s="904"/>
      <c r="U5" s="904"/>
      <c r="V5" s="3"/>
      <c r="W5" s="3"/>
      <c r="X5" s="3"/>
      <c r="AB5" s="904" t="str">
        <f>+R5</f>
        <v>Twelve Months Ended December 31, 2019</v>
      </c>
      <c r="AC5" s="904"/>
      <c r="AD5" s="904"/>
      <c r="AE5" s="904"/>
      <c r="AF5" s="904"/>
      <c r="AG5" s="904"/>
      <c r="AH5" s="904"/>
      <c r="AI5" s="904"/>
      <c r="AJ5" s="904"/>
      <c r="AK5" s="904"/>
      <c r="AL5" s="904"/>
      <c r="AM5" s="904"/>
      <c r="AN5" s="904"/>
      <c r="AO5" s="904"/>
      <c r="AP5" s="904" t="str">
        <f>+AB5</f>
        <v>Twelve Months Ended December 31, 2019</v>
      </c>
      <c r="AQ5" s="904"/>
      <c r="AR5" s="904"/>
      <c r="AS5" s="904"/>
      <c r="AT5" s="904"/>
      <c r="AU5" s="904"/>
      <c r="AV5" s="904"/>
      <c r="AW5" s="904"/>
      <c r="AX5" s="904"/>
      <c r="AY5" s="904"/>
    </row>
    <row r="8" spans="1:51" s="28" customFormat="1" ht="16.5" thickBot="1">
      <c r="A8" s="28" t="s">
        <v>662</v>
      </c>
      <c r="B8" s="28" t="s">
        <v>803</v>
      </c>
      <c r="C8" s="28" t="s">
        <v>801</v>
      </c>
      <c r="E8" s="28" t="s">
        <v>802</v>
      </c>
      <c r="F8" s="28" t="s">
        <v>805</v>
      </c>
      <c r="G8" s="28" t="s">
        <v>806</v>
      </c>
      <c r="H8" s="28" t="s">
        <v>807</v>
      </c>
      <c r="I8" s="28" t="s">
        <v>808</v>
      </c>
      <c r="J8" s="28" t="s">
        <v>809</v>
      </c>
      <c r="K8" s="28" t="s">
        <v>810</v>
      </c>
      <c r="L8" s="28" t="s">
        <v>811</v>
      </c>
      <c r="M8" s="28" t="s">
        <v>812</v>
      </c>
      <c r="N8" s="28" t="s">
        <v>967</v>
      </c>
      <c r="O8" s="28" t="s">
        <v>814</v>
      </c>
      <c r="P8" s="28" t="s">
        <v>815</v>
      </c>
      <c r="Q8" s="28" t="s">
        <v>816</v>
      </c>
      <c r="R8" s="28" t="s">
        <v>1020</v>
      </c>
      <c r="S8" s="28" t="s">
        <v>1021</v>
      </c>
      <c r="T8" s="28" t="s">
        <v>1022</v>
      </c>
      <c r="U8" s="28" t="s">
        <v>1023</v>
      </c>
      <c r="V8" s="28" t="s">
        <v>1024</v>
      </c>
      <c r="W8" s="28" t="s">
        <v>1025</v>
      </c>
      <c r="X8" s="28" t="s">
        <v>1026</v>
      </c>
      <c r="Y8" s="28" t="s">
        <v>1027</v>
      </c>
      <c r="Z8" s="28" t="s">
        <v>1028</v>
      </c>
      <c r="AA8" s="28" t="s">
        <v>1029</v>
      </c>
      <c r="AB8" s="28" t="s">
        <v>1030</v>
      </c>
      <c r="AC8" s="28" t="s">
        <v>753</v>
      </c>
      <c r="AD8" s="28" t="s">
        <v>1031</v>
      </c>
      <c r="AE8" s="28" t="s">
        <v>1032</v>
      </c>
      <c r="AF8" s="28" t="s">
        <v>1033</v>
      </c>
      <c r="AG8" s="28" t="s">
        <v>1034</v>
      </c>
      <c r="AH8" s="28" t="s">
        <v>1036</v>
      </c>
      <c r="AI8" s="28" t="s">
        <v>1037</v>
      </c>
      <c r="AJ8" s="28" t="s">
        <v>1038</v>
      </c>
      <c r="AK8" s="28" t="s">
        <v>1039</v>
      </c>
      <c r="AL8" s="28" t="s">
        <v>1040</v>
      </c>
      <c r="AM8" s="28" t="s">
        <v>1041</v>
      </c>
      <c r="AN8" s="28" t="s">
        <v>1042</v>
      </c>
      <c r="AO8" s="28" t="s">
        <v>1043</v>
      </c>
      <c r="AP8" s="28" t="s">
        <v>1044</v>
      </c>
      <c r="AQ8" s="28" t="s">
        <v>1045</v>
      </c>
      <c r="AR8" s="28" t="s">
        <v>1046</v>
      </c>
      <c r="AS8" s="28" t="s">
        <v>1047</v>
      </c>
      <c r="AT8" s="28" t="s">
        <v>1048</v>
      </c>
      <c r="AU8" s="28" t="s">
        <v>906</v>
      </c>
      <c r="AV8" s="28" t="s">
        <v>1049</v>
      </c>
      <c r="AW8" s="28" t="s">
        <v>1050</v>
      </c>
      <c r="AX8" s="28" t="s">
        <v>1051</v>
      </c>
      <c r="AY8" s="28" t="s">
        <v>1052</v>
      </c>
    </row>
    <row r="9" spans="1:51">
      <c r="A9" s="28">
        <v>1</v>
      </c>
      <c r="B9" s="934" t="s">
        <v>1098</v>
      </c>
      <c r="C9" s="935"/>
      <c r="D9" s="935"/>
      <c r="E9" s="936"/>
      <c r="F9" s="943" t="s">
        <v>373</v>
      </c>
      <c r="G9" s="943"/>
      <c r="H9" s="943"/>
      <c r="I9" s="944"/>
      <c r="J9" s="202" t="s">
        <v>753</v>
      </c>
      <c r="K9" s="203" t="s">
        <v>965</v>
      </c>
      <c r="L9" s="204" t="s">
        <v>966</v>
      </c>
      <c r="M9" s="202" t="s">
        <v>753</v>
      </c>
      <c r="N9" s="203" t="s">
        <v>965</v>
      </c>
      <c r="O9" s="204" t="s">
        <v>966</v>
      </c>
      <c r="P9" s="202" t="s">
        <v>753</v>
      </c>
      <c r="Q9" s="203" t="s">
        <v>965</v>
      </c>
      <c r="R9" s="204" t="s">
        <v>966</v>
      </c>
      <c r="S9" s="202" t="s">
        <v>753</v>
      </c>
      <c r="T9" s="203" t="s">
        <v>965</v>
      </c>
      <c r="U9" s="204" t="s">
        <v>966</v>
      </c>
      <c r="V9" s="202" t="s">
        <v>753</v>
      </c>
      <c r="W9" s="203" t="s">
        <v>965</v>
      </c>
      <c r="X9" s="204" t="s">
        <v>966</v>
      </c>
      <c r="Y9" s="202" t="s">
        <v>753</v>
      </c>
      <c r="Z9" s="203" t="s">
        <v>965</v>
      </c>
      <c r="AA9" s="204" t="s">
        <v>966</v>
      </c>
      <c r="AB9" s="202" t="s">
        <v>753</v>
      </c>
      <c r="AC9" s="203" t="s">
        <v>965</v>
      </c>
      <c r="AD9" s="204" t="s">
        <v>966</v>
      </c>
      <c r="AE9" s="202" t="s">
        <v>753</v>
      </c>
      <c r="AF9" s="203" t="s">
        <v>965</v>
      </c>
      <c r="AG9" s="204" t="s">
        <v>966</v>
      </c>
      <c r="AH9" s="202" t="s">
        <v>753</v>
      </c>
      <c r="AI9" s="203" t="s">
        <v>965</v>
      </c>
      <c r="AJ9" s="204" t="s">
        <v>966</v>
      </c>
      <c r="AK9" s="202" t="s">
        <v>753</v>
      </c>
      <c r="AL9" s="203" t="s">
        <v>965</v>
      </c>
      <c r="AM9" s="204" t="s">
        <v>966</v>
      </c>
      <c r="AN9" s="202" t="s">
        <v>753</v>
      </c>
      <c r="AO9" s="203" t="s">
        <v>965</v>
      </c>
      <c r="AP9" s="204" t="s">
        <v>966</v>
      </c>
      <c r="AQ9" s="202" t="s">
        <v>753</v>
      </c>
      <c r="AR9" s="203" t="s">
        <v>965</v>
      </c>
      <c r="AS9" s="204" t="s">
        <v>966</v>
      </c>
      <c r="AT9" s="202" t="s">
        <v>753</v>
      </c>
      <c r="AU9" s="203" t="s">
        <v>965</v>
      </c>
      <c r="AV9" s="204" t="s">
        <v>966</v>
      </c>
      <c r="AW9" s="205" t="s">
        <v>1005</v>
      </c>
      <c r="AX9" s="205" t="s">
        <v>106</v>
      </c>
      <c r="AY9" s="205" t="s">
        <v>83</v>
      </c>
    </row>
    <row r="10" spans="1:51">
      <c r="A10" s="28">
        <v>2</v>
      </c>
      <c r="B10" s="937"/>
      <c r="C10" s="938"/>
      <c r="D10" s="938"/>
      <c r="E10" s="939"/>
      <c r="F10" s="945" t="s">
        <v>374</v>
      </c>
      <c r="G10" s="945"/>
      <c r="H10" s="945"/>
      <c r="I10" s="946"/>
      <c r="J10" s="767" t="s">
        <v>1338</v>
      </c>
      <c r="K10" s="758" t="s">
        <v>1338</v>
      </c>
      <c r="L10" s="768" t="s">
        <v>1338</v>
      </c>
      <c r="M10" s="767" t="s">
        <v>1868</v>
      </c>
      <c r="N10" s="758" t="s">
        <v>1868</v>
      </c>
      <c r="O10" s="758" t="s">
        <v>1868</v>
      </c>
      <c r="P10" s="767" t="s">
        <v>1868</v>
      </c>
      <c r="Q10" s="758" t="s">
        <v>1868</v>
      </c>
      <c r="R10" s="758" t="s">
        <v>1868</v>
      </c>
      <c r="S10" s="767" t="s">
        <v>1868</v>
      </c>
      <c r="T10" s="758" t="s">
        <v>1868</v>
      </c>
      <c r="U10" s="758" t="s">
        <v>1868</v>
      </c>
      <c r="V10" s="767" t="s">
        <v>1868</v>
      </c>
      <c r="W10" s="758" t="s">
        <v>1868</v>
      </c>
      <c r="X10" s="758" t="s">
        <v>1868</v>
      </c>
      <c r="Y10" s="767" t="s">
        <v>1868</v>
      </c>
      <c r="Z10" s="758" t="s">
        <v>1868</v>
      </c>
      <c r="AA10" s="758" t="s">
        <v>1868</v>
      </c>
      <c r="AB10" s="767" t="s">
        <v>1868</v>
      </c>
      <c r="AC10" s="767" t="s">
        <v>1868</v>
      </c>
      <c r="AD10" s="767" t="s">
        <v>1868</v>
      </c>
      <c r="AE10" s="767" t="s">
        <v>1868</v>
      </c>
      <c r="AF10" s="767" t="s">
        <v>1868</v>
      </c>
      <c r="AG10" s="767" t="s">
        <v>1868</v>
      </c>
      <c r="AH10" s="767" t="s">
        <v>1868</v>
      </c>
      <c r="AI10" s="767" t="s">
        <v>1868</v>
      </c>
      <c r="AJ10" s="767" t="s">
        <v>1868</v>
      </c>
      <c r="AK10" s="767" t="s">
        <v>1868</v>
      </c>
      <c r="AL10" s="767" t="s">
        <v>1868</v>
      </c>
      <c r="AM10" s="767" t="s">
        <v>1868</v>
      </c>
      <c r="AN10" s="767" t="s">
        <v>1868</v>
      </c>
      <c r="AO10" s="758" t="s">
        <v>1868</v>
      </c>
      <c r="AP10" s="758" t="s">
        <v>1868</v>
      </c>
      <c r="AQ10" s="767" t="s">
        <v>1868</v>
      </c>
      <c r="AR10" s="758" t="s">
        <v>1868</v>
      </c>
      <c r="AS10" s="758" t="s">
        <v>1868</v>
      </c>
      <c r="AT10" s="767" t="s">
        <v>1868</v>
      </c>
      <c r="AU10" s="758" t="s">
        <v>1868</v>
      </c>
      <c r="AV10" s="758" t="s">
        <v>1868</v>
      </c>
    </row>
    <row r="11" spans="1:51">
      <c r="A11" s="28">
        <v>3</v>
      </c>
      <c r="B11" s="937"/>
      <c r="C11" s="938"/>
      <c r="D11" s="938"/>
      <c r="E11" s="939"/>
      <c r="F11" s="945" t="s">
        <v>375</v>
      </c>
      <c r="G11" s="945"/>
      <c r="H11" s="945"/>
      <c r="I11" s="946"/>
      <c r="J11" s="206" t="s">
        <v>967</v>
      </c>
      <c r="K11" s="207" t="s">
        <v>967</v>
      </c>
      <c r="L11" s="208" t="s">
        <v>967</v>
      </c>
      <c r="M11" s="206" t="s">
        <v>967</v>
      </c>
      <c r="N11" s="207" t="s">
        <v>967</v>
      </c>
      <c r="O11" s="208" t="s">
        <v>967</v>
      </c>
      <c r="P11" s="206" t="s">
        <v>967</v>
      </c>
      <c r="Q11" s="207" t="s">
        <v>967</v>
      </c>
      <c r="R11" s="208" t="s">
        <v>967</v>
      </c>
      <c r="S11" s="206" t="s">
        <v>967</v>
      </c>
      <c r="T11" s="207" t="s">
        <v>967</v>
      </c>
      <c r="U11" s="208" t="s">
        <v>967</v>
      </c>
      <c r="V11" s="206" t="s">
        <v>967</v>
      </c>
      <c r="W11" s="207" t="s">
        <v>967</v>
      </c>
      <c r="X11" s="208" t="s">
        <v>967</v>
      </c>
      <c r="Y11" s="206" t="s">
        <v>967</v>
      </c>
      <c r="Z11" s="207" t="s">
        <v>967</v>
      </c>
      <c r="AA11" s="208" t="s">
        <v>967</v>
      </c>
      <c r="AB11" s="206" t="s">
        <v>967</v>
      </c>
      <c r="AC11" s="207" t="s">
        <v>967</v>
      </c>
      <c r="AD11" s="208" t="s">
        <v>967</v>
      </c>
      <c r="AE11" s="206" t="s">
        <v>967</v>
      </c>
      <c r="AF11" s="207" t="s">
        <v>967</v>
      </c>
      <c r="AG11" s="208" t="s">
        <v>967</v>
      </c>
      <c r="AH11" s="206" t="s">
        <v>967</v>
      </c>
      <c r="AI11" s="207" t="s">
        <v>967</v>
      </c>
      <c r="AJ11" s="208" t="s">
        <v>967</v>
      </c>
      <c r="AK11" s="206" t="s">
        <v>967</v>
      </c>
      <c r="AL11" s="207" t="s">
        <v>967</v>
      </c>
      <c r="AM11" s="208" t="s">
        <v>967</v>
      </c>
      <c r="AN11" s="206" t="s">
        <v>967</v>
      </c>
      <c r="AO11" s="207" t="s">
        <v>967</v>
      </c>
      <c r="AP11" s="208" t="s">
        <v>967</v>
      </c>
      <c r="AQ11" s="206" t="s">
        <v>967</v>
      </c>
      <c r="AR11" s="207" t="s">
        <v>967</v>
      </c>
      <c r="AS11" s="208" t="s">
        <v>967</v>
      </c>
      <c r="AT11" s="206" t="s">
        <v>967</v>
      </c>
      <c r="AU11" s="207" t="s">
        <v>967</v>
      </c>
      <c r="AV11" s="208" t="s">
        <v>967</v>
      </c>
      <c r="AX11" s="205" t="s">
        <v>369</v>
      </c>
    </row>
    <row r="12" spans="1:51">
      <c r="A12" s="190">
        <v>4</v>
      </c>
      <c r="B12" s="937"/>
      <c r="C12" s="938"/>
      <c r="D12" s="938"/>
      <c r="E12" s="939"/>
      <c r="F12" s="945" t="s">
        <v>376</v>
      </c>
      <c r="G12" s="945"/>
      <c r="H12" s="945"/>
      <c r="I12" s="946"/>
      <c r="J12" s="206" t="s">
        <v>473</v>
      </c>
      <c r="K12" s="207" t="s">
        <v>473</v>
      </c>
      <c r="L12" s="208" t="s">
        <v>473</v>
      </c>
      <c r="M12" s="206" t="s">
        <v>528</v>
      </c>
      <c r="N12" s="207" t="s">
        <v>528</v>
      </c>
      <c r="O12" s="208" t="s">
        <v>528</v>
      </c>
      <c r="P12" s="206" t="s">
        <v>562</v>
      </c>
      <c r="Q12" s="207" t="s">
        <v>562</v>
      </c>
      <c r="R12" s="208" t="s">
        <v>562</v>
      </c>
      <c r="S12" s="206" t="s">
        <v>563</v>
      </c>
      <c r="T12" s="207" t="s">
        <v>563</v>
      </c>
      <c r="U12" s="208" t="s">
        <v>563</v>
      </c>
      <c r="V12" s="206" t="s">
        <v>968</v>
      </c>
      <c r="W12" s="207" t="s">
        <v>968</v>
      </c>
      <c r="X12" s="208" t="s">
        <v>968</v>
      </c>
      <c r="Y12" s="206" t="s">
        <v>969</v>
      </c>
      <c r="Z12" s="207" t="s">
        <v>969</v>
      </c>
      <c r="AA12" s="208" t="s">
        <v>969</v>
      </c>
      <c r="AB12" s="206" t="s">
        <v>970</v>
      </c>
      <c r="AC12" s="207" t="s">
        <v>970</v>
      </c>
      <c r="AD12" s="208" t="s">
        <v>970</v>
      </c>
      <c r="AE12" s="206" t="s">
        <v>971</v>
      </c>
      <c r="AF12" s="207" t="s">
        <v>971</v>
      </c>
      <c r="AG12" s="208" t="s">
        <v>971</v>
      </c>
      <c r="AH12" s="206" t="s">
        <v>389</v>
      </c>
      <c r="AI12" s="207" t="s">
        <v>389</v>
      </c>
      <c r="AJ12" s="208" t="s">
        <v>389</v>
      </c>
      <c r="AK12" s="206" t="s">
        <v>972</v>
      </c>
      <c r="AL12" s="207" t="s">
        <v>972</v>
      </c>
      <c r="AM12" s="208" t="s">
        <v>972</v>
      </c>
      <c r="AN12" s="206" t="s">
        <v>973</v>
      </c>
      <c r="AO12" s="207" t="s">
        <v>973</v>
      </c>
      <c r="AP12" s="208" t="s">
        <v>973</v>
      </c>
      <c r="AQ12" s="206" t="s">
        <v>974</v>
      </c>
      <c r="AR12" s="207" t="s">
        <v>974</v>
      </c>
      <c r="AS12" s="208" t="s">
        <v>974</v>
      </c>
      <c r="AT12" s="206" t="s">
        <v>473</v>
      </c>
      <c r="AU12" s="207" t="s">
        <v>473</v>
      </c>
      <c r="AV12" s="208" t="s">
        <v>473</v>
      </c>
    </row>
    <row r="13" spans="1:51" ht="16.5" thickBot="1">
      <c r="A13" s="190">
        <v>5</v>
      </c>
      <c r="B13" s="940"/>
      <c r="C13" s="941"/>
      <c r="D13" s="941"/>
      <c r="E13" s="942"/>
      <c r="F13" s="945" t="s">
        <v>377</v>
      </c>
      <c r="G13" s="945"/>
      <c r="H13" s="945"/>
      <c r="I13" s="946"/>
      <c r="J13" s="206" t="s">
        <v>725</v>
      </c>
      <c r="K13" s="207" t="s">
        <v>725</v>
      </c>
      <c r="L13" s="208" t="s">
        <v>725</v>
      </c>
      <c r="M13" s="206" t="s">
        <v>725</v>
      </c>
      <c r="N13" s="207" t="s">
        <v>725</v>
      </c>
      <c r="O13" s="208" t="s">
        <v>725</v>
      </c>
      <c r="P13" s="206" t="s">
        <v>725</v>
      </c>
      <c r="Q13" s="207" t="s">
        <v>725</v>
      </c>
      <c r="R13" s="208" t="s">
        <v>725</v>
      </c>
      <c r="S13" s="206" t="s">
        <v>725</v>
      </c>
      <c r="T13" s="207" t="s">
        <v>725</v>
      </c>
      <c r="U13" s="208" t="s">
        <v>725</v>
      </c>
      <c r="V13" s="206" t="s">
        <v>725</v>
      </c>
      <c r="W13" s="207" t="s">
        <v>725</v>
      </c>
      <c r="X13" s="208" t="s">
        <v>725</v>
      </c>
      <c r="Y13" s="206" t="s">
        <v>725</v>
      </c>
      <c r="Z13" s="207" t="s">
        <v>725</v>
      </c>
      <c r="AA13" s="208" t="s">
        <v>725</v>
      </c>
      <c r="AB13" s="206" t="s">
        <v>725</v>
      </c>
      <c r="AC13" s="207" t="s">
        <v>725</v>
      </c>
      <c r="AD13" s="208" t="s">
        <v>725</v>
      </c>
      <c r="AE13" s="206" t="s">
        <v>725</v>
      </c>
      <c r="AF13" s="207" t="s">
        <v>725</v>
      </c>
      <c r="AG13" s="208" t="s">
        <v>725</v>
      </c>
      <c r="AH13" s="206" t="s">
        <v>725</v>
      </c>
      <c r="AI13" s="207" t="s">
        <v>725</v>
      </c>
      <c r="AJ13" s="208" t="s">
        <v>725</v>
      </c>
      <c r="AK13" s="206" t="s">
        <v>725</v>
      </c>
      <c r="AL13" s="207" t="s">
        <v>725</v>
      </c>
      <c r="AM13" s="208" t="s">
        <v>725</v>
      </c>
      <c r="AN13" s="206" t="s">
        <v>725</v>
      </c>
      <c r="AO13" s="207" t="s">
        <v>725</v>
      </c>
      <c r="AP13" s="208" t="s">
        <v>725</v>
      </c>
      <c r="AQ13" s="206" t="s">
        <v>725</v>
      </c>
      <c r="AR13" s="207" t="s">
        <v>725</v>
      </c>
      <c r="AS13" s="208" t="s">
        <v>725</v>
      </c>
      <c r="AT13" s="206" t="s">
        <v>725</v>
      </c>
      <c r="AU13" s="207" t="s">
        <v>725</v>
      </c>
      <c r="AV13" s="208" t="s">
        <v>725</v>
      </c>
    </row>
    <row r="14" spans="1:51">
      <c r="A14" s="190">
        <v>6</v>
      </c>
      <c r="B14" s="209"/>
      <c r="C14" s="210"/>
      <c r="D14" s="210"/>
      <c r="E14" s="210"/>
      <c r="F14" s="210"/>
      <c r="G14" s="210"/>
      <c r="H14" s="210"/>
      <c r="I14" s="211"/>
      <c r="J14" s="209"/>
      <c r="K14" s="210"/>
      <c r="L14" s="211"/>
      <c r="M14" s="209"/>
      <c r="N14" s="210"/>
      <c r="O14" s="211"/>
      <c r="P14" s="209"/>
      <c r="Q14" s="210"/>
      <c r="R14" s="211"/>
      <c r="S14" s="209"/>
      <c r="T14" s="210"/>
      <c r="U14" s="211"/>
      <c r="V14" s="209"/>
      <c r="W14" s="210"/>
      <c r="X14" s="211"/>
      <c r="Y14" s="209"/>
      <c r="Z14" s="210"/>
      <c r="AA14" s="211"/>
      <c r="AB14" s="209"/>
      <c r="AC14" s="210"/>
      <c r="AD14" s="211"/>
      <c r="AE14" s="209"/>
      <c r="AF14" s="210"/>
      <c r="AG14" s="211"/>
      <c r="AH14" s="209"/>
      <c r="AI14" s="210"/>
      <c r="AJ14" s="211"/>
      <c r="AK14" s="209"/>
      <c r="AL14" s="210"/>
      <c r="AM14" s="211"/>
      <c r="AN14" s="209"/>
      <c r="AO14" s="210"/>
      <c r="AP14" s="211"/>
      <c r="AQ14" s="209"/>
      <c r="AR14" s="210"/>
      <c r="AS14" s="211"/>
      <c r="AT14" s="209"/>
      <c r="AU14" s="210"/>
      <c r="AV14" s="211"/>
      <c r="AW14" s="211"/>
      <c r="AX14" s="211"/>
      <c r="AY14" s="211"/>
    </row>
    <row r="15" spans="1:51" ht="31.5">
      <c r="A15" s="190">
        <v>7</v>
      </c>
      <c r="B15" s="213"/>
      <c r="C15" s="214" t="s">
        <v>975</v>
      </c>
      <c r="D15" s="214"/>
      <c r="E15" s="214" t="s">
        <v>976</v>
      </c>
      <c r="F15" s="214" t="s">
        <v>977</v>
      </c>
      <c r="G15" s="214" t="s">
        <v>978</v>
      </c>
      <c r="H15" s="214" t="s">
        <v>979</v>
      </c>
      <c r="I15" s="215" t="s">
        <v>980</v>
      </c>
      <c r="J15" s="213"/>
      <c r="K15" s="216"/>
      <c r="L15" s="217"/>
      <c r="M15" s="213"/>
      <c r="N15" s="216"/>
      <c r="O15" s="217"/>
      <c r="P15" s="213"/>
      <c r="Q15" s="216"/>
      <c r="R15" s="217"/>
      <c r="S15" s="213"/>
      <c r="T15" s="216"/>
      <c r="U15" s="217"/>
      <c r="V15" s="213"/>
      <c r="W15" s="216"/>
      <c r="X15" s="217"/>
      <c r="Y15" s="213"/>
      <c r="Z15" s="216"/>
      <c r="AA15" s="217"/>
      <c r="AB15" s="213"/>
      <c r="AC15" s="216"/>
      <c r="AD15" s="217"/>
      <c r="AE15" s="213"/>
      <c r="AF15" s="216"/>
      <c r="AG15" s="217"/>
      <c r="AH15" s="213"/>
      <c r="AI15" s="216"/>
      <c r="AJ15" s="217"/>
      <c r="AK15" s="213"/>
      <c r="AL15" s="216"/>
      <c r="AM15" s="217"/>
      <c r="AN15" s="213"/>
      <c r="AO15" s="216"/>
      <c r="AP15" s="217"/>
      <c r="AQ15" s="213"/>
      <c r="AR15" s="216"/>
      <c r="AS15" s="217"/>
      <c r="AT15" s="213"/>
      <c r="AU15" s="216"/>
      <c r="AV15" s="217"/>
    </row>
    <row r="16" spans="1:51">
      <c r="A16" s="190">
        <v>8</v>
      </c>
      <c r="B16" s="931" t="s">
        <v>982</v>
      </c>
      <c r="C16" s="932"/>
      <c r="D16" s="932"/>
      <c r="E16" s="932"/>
      <c r="F16" s="932"/>
      <c r="G16" s="932"/>
      <c r="H16" s="932"/>
      <c r="I16" s="933"/>
      <c r="J16" s="218"/>
      <c r="K16" s="219"/>
      <c r="L16" s="220"/>
      <c r="M16" s="218"/>
      <c r="N16" s="219"/>
      <c r="O16" s="220"/>
      <c r="P16" s="218"/>
      <c r="Q16" s="219"/>
      <c r="R16" s="220"/>
      <c r="S16" s="218"/>
      <c r="T16" s="219"/>
      <c r="U16" s="220"/>
      <c r="V16" s="218"/>
      <c r="W16" s="219"/>
      <c r="X16" s="220"/>
      <c r="Y16" s="218"/>
      <c r="Z16" s="219"/>
      <c r="AA16" s="220"/>
      <c r="AB16" s="218"/>
      <c r="AC16" s="219"/>
      <c r="AD16" s="220"/>
      <c r="AE16" s="218"/>
      <c r="AF16" s="219"/>
      <c r="AG16" s="220"/>
      <c r="AH16" s="218"/>
      <c r="AI16" s="219"/>
      <c r="AJ16" s="220"/>
      <c r="AK16" s="218"/>
      <c r="AL16" s="219"/>
      <c r="AM16" s="220"/>
      <c r="AN16" s="218"/>
      <c r="AO16" s="219"/>
      <c r="AP16" s="220"/>
      <c r="AQ16" s="218"/>
      <c r="AR16" s="219"/>
      <c r="AS16" s="220"/>
      <c r="AT16" s="218"/>
      <c r="AU16" s="219"/>
      <c r="AV16" s="220"/>
    </row>
    <row r="17" spans="1:56">
      <c r="A17" s="190">
        <v>9</v>
      </c>
      <c r="B17" s="212" t="s">
        <v>983</v>
      </c>
      <c r="C17" s="207" t="s">
        <v>754</v>
      </c>
      <c r="D17" s="207"/>
      <c r="E17" s="207" t="s">
        <v>984</v>
      </c>
      <c r="F17" s="207" t="s">
        <v>632</v>
      </c>
      <c r="G17" s="207" t="s">
        <v>985</v>
      </c>
      <c r="H17" s="207" t="s">
        <v>382</v>
      </c>
      <c r="I17" s="208" t="s">
        <v>382</v>
      </c>
      <c r="J17" s="218">
        <v>0</v>
      </c>
      <c r="K17" s="219">
        <v>0</v>
      </c>
      <c r="L17" s="220"/>
      <c r="M17" s="218">
        <v>0</v>
      </c>
      <c r="N17" s="219">
        <v>0</v>
      </c>
      <c r="O17" s="220"/>
      <c r="P17" s="218">
        <v>0</v>
      </c>
      <c r="Q17" s="219">
        <v>0</v>
      </c>
      <c r="R17" s="220"/>
      <c r="S17" s="218">
        <v>0</v>
      </c>
      <c r="T17" s="219">
        <v>0</v>
      </c>
      <c r="U17" s="220"/>
      <c r="V17" s="218">
        <v>0</v>
      </c>
      <c r="W17" s="219">
        <v>0</v>
      </c>
      <c r="X17" s="220"/>
      <c r="Y17" s="218">
        <v>0</v>
      </c>
      <c r="Z17" s="219">
        <v>0</v>
      </c>
      <c r="AA17" s="220"/>
      <c r="AB17" s="218">
        <v>0</v>
      </c>
      <c r="AC17" s="219">
        <v>0</v>
      </c>
      <c r="AD17" s="220"/>
      <c r="AE17" s="218">
        <v>0</v>
      </c>
      <c r="AF17" s="219">
        <v>0</v>
      </c>
      <c r="AG17" s="220"/>
      <c r="AH17" s="218">
        <v>0</v>
      </c>
      <c r="AI17" s="219">
        <v>0</v>
      </c>
      <c r="AJ17" s="220"/>
      <c r="AK17" s="218">
        <v>0</v>
      </c>
      <c r="AL17" s="219">
        <v>0</v>
      </c>
      <c r="AM17" s="220"/>
      <c r="AN17" s="218">
        <v>0</v>
      </c>
      <c r="AO17" s="219">
        <v>0</v>
      </c>
      <c r="AP17" s="220"/>
      <c r="AQ17" s="218">
        <v>0</v>
      </c>
      <c r="AR17" s="219">
        <v>0</v>
      </c>
      <c r="AS17" s="220"/>
      <c r="AT17" s="218">
        <v>0</v>
      </c>
      <c r="AU17" s="219">
        <v>0</v>
      </c>
      <c r="AV17" s="220"/>
    </row>
    <row r="18" spans="1:56">
      <c r="A18" s="28">
        <v>10</v>
      </c>
      <c r="B18" s="212" t="s">
        <v>986</v>
      </c>
      <c r="C18" s="207" t="s">
        <v>754</v>
      </c>
      <c r="D18" s="207"/>
      <c r="E18" s="207" t="s">
        <v>382</v>
      </c>
      <c r="F18" s="207" t="s">
        <v>632</v>
      </c>
      <c r="G18" s="207" t="s">
        <v>987</v>
      </c>
      <c r="H18" s="207" t="s">
        <v>382</v>
      </c>
      <c r="I18" s="208" t="s">
        <v>382</v>
      </c>
      <c r="J18" s="218">
        <f>+K18+L18</f>
        <v>-3418947.2399999998</v>
      </c>
      <c r="K18" s="221">
        <v>-3255123.44</v>
      </c>
      <c r="L18" s="220">
        <v>-163823.79999999999</v>
      </c>
      <c r="M18" s="218">
        <f>+N18+O18</f>
        <v>-3302748.8</v>
      </c>
      <c r="N18" s="221">
        <v>-3146448.38</v>
      </c>
      <c r="O18" s="220">
        <v>-156300.42000000001</v>
      </c>
      <c r="P18" s="218">
        <f>+Q18+R18</f>
        <v>-3311183.56</v>
      </c>
      <c r="Q18" s="221">
        <v>-3146448.38</v>
      </c>
      <c r="R18" s="220">
        <v>-164735.18</v>
      </c>
      <c r="S18" s="218">
        <f>+T18+U18</f>
        <v>-3337179.04</v>
      </c>
      <c r="T18" s="221">
        <v>-3146448.38</v>
      </c>
      <c r="U18" s="220">
        <v>-190730.66</v>
      </c>
      <c r="V18" s="218">
        <f>+W18+X18</f>
        <v>-3333157.56</v>
      </c>
      <c r="W18" s="221">
        <v>-3142835.9</v>
      </c>
      <c r="X18" s="220">
        <v>-190321.66</v>
      </c>
      <c r="Y18" s="218">
        <f>+Z18+AA18</f>
        <v>-3338815.94</v>
      </c>
      <c r="Z18" s="221">
        <v>-3142439.63</v>
      </c>
      <c r="AA18" s="220">
        <v>-196376.31</v>
      </c>
      <c r="AB18" s="218">
        <f>+AC18+AD18</f>
        <v>-3338815.94</v>
      </c>
      <c r="AC18" s="221">
        <v>-3142439.63</v>
      </c>
      <c r="AD18" s="220">
        <v>-196376.31</v>
      </c>
      <c r="AE18" s="218">
        <f>+AF18+AG18</f>
        <v>-3336013.46</v>
      </c>
      <c r="AF18" s="221">
        <v>-3142439.63</v>
      </c>
      <c r="AG18" s="220">
        <v>-193573.83</v>
      </c>
      <c r="AH18" s="218">
        <f>+AI18+AJ18</f>
        <v>-3339862.54</v>
      </c>
      <c r="AI18" s="221">
        <v>-3142439.63</v>
      </c>
      <c r="AJ18" s="220">
        <v>-197422.91</v>
      </c>
      <c r="AK18" s="218">
        <f>+AL18+AM18</f>
        <v>-3340258.81</v>
      </c>
      <c r="AL18" s="221">
        <v>-3142835.9</v>
      </c>
      <c r="AM18" s="220">
        <v>-197422.91</v>
      </c>
      <c r="AN18" s="218">
        <f>+AO18+AP18</f>
        <v>-3343673.7199999997</v>
      </c>
      <c r="AO18" s="221">
        <v>-3142835.9</v>
      </c>
      <c r="AP18" s="220">
        <v>-200837.82</v>
      </c>
      <c r="AQ18" s="218">
        <f>+AR18+AS18</f>
        <v>-3349954.61</v>
      </c>
      <c r="AR18" s="221">
        <v>-3142835.9</v>
      </c>
      <c r="AS18" s="220">
        <v>-207118.71</v>
      </c>
      <c r="AT18" s="218">
        <f>+AU18+AV18</f>
        <v>-3349954.61</v>
      </c>
      <c r="AU18" s="221">
        <v>-3142835.9</v>
      </c>
      <c r="AV18" s="220">
        <v>-207118.71</v>
      </c>
      <c r="AW18" s="170">
        <f>+(AT18+J18+(M18+P18+S18+V18+Y18+AB18+AE18+AH18+AK18+AN18+AQ18)*2)/24</f>
        <v>-3338009.575416666</v>
      </c>
      <c r="AX18" s="170">
        <f t="shared" ref="AX18:AY22" si="0">+(AU18+K18+(N18+Q18+T18+W18+Z18+AC18+AF18+AI18+AL18+AO18+AR18)*2)/24</f>
        <v>-3148285.5775000001</v>
      </c>
      <c r="AY18" s="170">
        <f t="shared" si="0"/>
        <v>-189723.99791666667</v>
      </c>
    </row>
    <row r="19" spans="1:56">
      <c r="A19" s="28">
        <v>11</v>
      </c>
      <c r="B19" s="212" t="s">
        <v>988</v>
      </c>
      <c r="C19" s="207" t="s">
        <v>754</v>
      </c>
      <c r="D19" s="207"/>
      <c r="E19" s="207" t="s">
        <v>981</v>
      </c>
      <c r="F19" s="207" t="s">
        <v>632</v>
      </c>
      <c r="G19" s="207" t="s">
        <v>989</v>
      </c>
      <c r="H19" s="207" t="s">
        <v>382</v>
      </c>
      <c r="I19" s="208" t="s">
        <v>382</v>
      </c>
      <c r="J19" s="218">
        <f t="shared" ref="J19:J22" si="1">+K19+L19</f>
        <v>117299.85</v>
      </c>
      <c r="K19" s="219">
        <v>108675.06</v>
      </c>
      <c r="L19" s="220">
        <v>8624.7900000000009</v>
      </c>
      <c r="M19" s="218">
        <f>+N19+O19</f>
        <v>0</v>
      </c>
      <c r="N19" s="219">
        <v>0</v>
      </c>
      <c r="O19" s="220">
        <v>0</v>
      </c>
      <c r="P19" s="218">
        <v>0</v>
      </c>
      <c r="Q19" s="219">
        <v>0</v>
      </c>
      <c r="R19" s="220">
        <v>0</v>
      </c>
      <c r="S19" s="218">
        <f>+T19+U19</f>
        <v>77103.62</v>
      </c>
      <c r="T19" s="219">
        <v>74253.98</v>
      </c>
      <c r="U19" s="220">
        <v>2849.64</v>
      </c>
      <c r="V19" s="218">
        <f>+W19+X19</f>
        <v>77103.62</v>
      </c>
      <c r="W19" s="219">
        <v>74253.98</v>
      </c>
      <c r="X19" s="220">
        <v>2849.64</v>
      </c>
      <c r="Y19" s="218">
        <f>+Z19+AA19</f>
        <v>77103.62</v>
      </c>
      <c r="Z19" s="219">
        <v>74253.98</v>
      </c>
      <c r="AA19" s="220">
        <v>2849.64</v>
      </c>
      <c r="AB19" s="218">
        <f>+AC19+AD19</f>
        <v>77103.62</v>
      </c>
      <c r="AC19" s="219">
        <v>74253.98</v>
      </c>
      <c r="AD19" s="220">
        <v>2849.64</v>
      </c>
      <c r="AE19" s="218">
        <f>+AF19+AG19</f>
        <v>77103.62</v>
      </c>
      <c r="AF19" s="219">
        <v>74253.98</v>
      </c>
      <c r="AG19" s="220">
        <v>2849.64</v>
      </c>
      <c r="AH19" s="218">
        <f t="shared" ref="AH19:AH22" si="2">+AI19+AJ19</f>
        <v>77103.62</v>
      </c>
      <c r="AI19" s="219">
        <v>74253.98</v>
      </c>
      <c r="AJ19" s="220">
        <v>2849.64</v>
      </c>
      <c r="AK19" s="218">
        <f t="shared" ref="AK19:AK22" si="3">+AL19+AM19</f>
        <v>140365.51999999999</v>
      </c>
      <c r="AL19" s="219">
        <v>128346.79</v>
      </c>
      <c r="AM19" s="220">
        <v>12018.73</v>
      </c>
      <c r="AN19" s="218">
        <f t="shared" ref="AN19:AN22" si="4">+AO19+AP19</f>
        <v>140365.51999999999</v>
      </c>
      <c r="AO19" s="219">
        <v>128346.79</v>
      </c>
      <c r="AP19" s="220">
        <v>12018.73</v>
      </c>
      <c r="AQ19" s="218">
        <f t="shared" ref="AQ19:AQ22" si="5">+AR19+AS19</f>
        <v>140365.51999999999</v>
      </c>
      <c r="AR19" s="219">
        <v>128346.79</v>
      </c>
      <c r="AS19" s="220">
        <v>12018.73</v>
      </c>
      <c r="AT19" s="218">
        <f t="shared" ref="AT19:AT22" si="6">+AU19+AV19</f>
        <v>140365.51999999999</v>
      </c>
      <c r="AU19" s="219">
        <v>128346.79</v>
      </c>
      <c r="AV19" s="220">
        <v>12018.73</v>
      </c>
      <c r="AW19" s="170">
        <f t="shared" ref="AW19:AW22" si="7">+(AT19+J19+(M19+P19+S19+V19+Y19+AB19+AE19+AH19+AK19+AN19+AQ19)*2)/24</f>
        <v>84379.247083333335</v>
      </c>
      <c r="AX19" s="170">
        <f t="shared" si="0"/>
        <v>79089.597916666666</v>
      </c>
      <c r="AY19" s="170">
        <f t="shared" si="0"/>
        <v>5289.649166666667</v>
      </c>
    </row>
    <row r="20" spans="1:56">
      <c r="A20" s="28">
        <v>12</v>
      </c>
      <c r="B20" s="212" t="s">
        <v>990</v>
      </c>
      <c r="C20" s="207" t="s">
        <v>754</v>
      </c>
      <c r="D20" s="207"/>
      <c r="E20" s="207" t="s">
        <v>981</v>
      </c>
      <c r="F20" s="207" t="s">
        <v>632</v>
      </c>
      <c r="G20" s="207" t="s">
        <v>991</v>
      </c>
      <c r="H20" s="207" t="s">
        <v>382</v>
      </c>
      <c r="I20" s="208" t="s">
        <v>382</v>
      </c>
      <c r="J20" s="222">
        <f t="shared" si="1"/>
        <v>0</v>
      </c>
      <c r="K20" s="223">
        <v>0.01</v>
      </c>
      <c r="L20" s="224">
        <v>-0.01</v>
      </c>
      <c r="M20" s="222">
        <f>+N20+O20</f>
        <v>0</v>
      </c>
      <c r="N20" s="223">
        <v>0.01</v>
      </c>
      <c r="O20" s="224">
        <v>-0.01</v>
      </c>
      <c r="P20" s="222">
        <v>0</v>
      </c>
      <c r="Q20" s="223">
        <v>0.01</v>
      </c>
      <c r="R20" s="224">
        <v>-0.01</v>
      </c>
      <c r="S20" s="222">
        <v>0</v>
      </c>
      <c r="T20" s="223">
        <v>0.01</v>
      </c>
      <c r="U20" s="224">
        <v>-0.01</v>
      </c>
      <c r="V20" s="222">
        <v>0</v>
      </c>
      <c r="W20" s="223">
        <v>0.01</v>
      </c>
      <c r="X20" s="224">
        <v>-0.01</v>
      </c>
      <c r="Y20" s="222">
        <v>0</v>
      </c>
      <c r="Z20" s="223">
        <v>0.01</v>
      </c>
      <c r="AA20" s="224">
        <v>-0.01</v>
      </c>
      <c r="AB20" s="222">
        <v>0</v>
      </c>
      <c r="AC20" s="223">
        <v>0.01</v>
      </c>
      <c r="AD20" s="224">
        <v>-0.01</v>
      </c>
      <c r="AE20" s="222">
        <v>0</v>
      </c>
      <c r="AF20" s="223">
        <v>0.01</v>
      </c>
      <c r="AG20" s="224">
        <v>-0.01</v>
      </c>
      <c r="AH20" s="222">
        <f t="shared" si="2"/>
        <v>0</v>
      </c>
      <c r="AI20" s="223">
        <v>0.01</v>
      </c>
      <c r="AJ20" s="224">
        <v>-0.01</v>
      </c>
      <c r="AK20" s="222">
        <f t="shared" si="3"/>
        <v>0</v>
      </c>
      <c r="AL20" s="223">
        <v>0.01</v>
      </c>
      <c r="AM20" s="224">
        <v>-0.01</v>
      </c>
      <c r="AN20" s="222">
        <f t="shared" si="4"/>
        <v>0</v>
      </c>
      <c r="AO20" s="223">
        <v>0.01</v>
      </c>
      <c r="AP20" s="224">
        <v>-0.01</v>
      </c>
      <c r="AQ20" s="222">
        <f t="shared" si="5"/>
        <v>0</v>
      </c>
      <c r="AR20" s="223">
        <v>0.01</v>
      </c>
      <c r="AS20" s="224">
        <v>-0.01</v>
      </c>
      <c r="AT20" s="222">
        <f t="shared" si="6"/>
        <v>0</v>
      </c>
      <c r="AU20" s="223">
        <v>0.01</v>
      </c>
      <c r="AV20" s="224">
        <v>-0.01</v>
      </c>
      <c r="AW20" s="170">
        <f t="shared" si="7"/>
        <v>0</v>
      </c>
      <c r="AX20" s="170">
        <f t="shared" si="0"/>
        <v>9.9999999999999985E-3</v>
      </c>
      <c r="AY20" s="170">
        <f t="shared" si="0"/>
        <v>-9.9999999999999985E-3</v>
      </c>
    </row>
    <row r="21" spans="1:56">
      <c r="A21" s="190">
        <v>13</v>
      </c>
      <c r="B21" s="212" t="s">
        <v>992</v>
      </c>
      <c r="C21" s="207" t="s">
        <v>754</v>
      </c>
      <c r="D21" s="207"/>
      <c r="E21" s="207" t="s">
        <v>981</v>
      </c>
      <c r="F21" s="207" t="s">
        <v>632</v>
      </c>
      <c r="G21" s="207" t="s">
        <v>993</v>
      </c>
      <c r="H21" s="207" t="s">
        <v>382</v>
      </c>
      <c r="I21" s="208" t="s">
        <v>382</v>
      </c>
      <c r="J21" s="222">
        <f t="shared" si="1"/>
        <v>-1014253.48</v>
      </c>
      <c r="K21" s="223">
        <v>-758934.52</v>
      </c>
      <c r="L21" s="224">
        <v>-255318.96</v>
      </c>
      <c r="M21" s="222">
        <f t="shared" ref="M21:M22" si="8">+N21+O21</f>
        <v>-1014253.48</v>
      </c>
      <c r="N21" s="223">
        <v>-762301.02</v>
      </c>
      <c r="O21" s="224">
        <v>-251952.46</v>
      </c>
      <c r="P21" s="222">
        <f>+Q21+R21</f>
        <v>-1014253.48</v>
      </c>
      <c r="Q21" s="223">
        <v>-762301.02</v>
      </c>
      <c r="R21" s="224">
        <v>-251952.46</v>
      </c>
      <c r="S21" s="222">
        <f>+T21+U21</f>
        <v>-998215.14</v>
      </c>
      <c r="T21" s="223">
        <v>-750245</v>
      </c>
      <c r="U21" s="224">
        <v>-247970.14</v>
      </c>
      <c r="V21" s="222">
        <f>+W21+X21</f>
        <v>-961008.70000000007</v>
      </c>
      <c r="W21" s="223">
        <v>-722276.92</v>
      </c>
      <c r="X21" s="224">
        <v>-238731.78</v>
      </c>
      <c r="Y21" s="222">
        <f>+Z21+AA21</f>
        <v>-961008.70000000007</v>
      </c>
      <c r="Z21" s="223">
        <v>-722276.92</v>
      </c>
      <c r="AA21" s="224">
        <v>-238731.78</v>
      </c>
      <c r="AB21" s="222">
        <f>+AC21+AD21</f>
        <v>-961008.70000000007</v>
      </c>
      <c r="AC21" s="223">
        <v>-722276.92</v>
      </c>
      <c r="AD21" s="224">
        <v>-238731.78</v>
      </c>
      <c r="AE21" s="222">
        <f>+AF21+AG21</f>
        <v>-961008.70000000007</v>
      </c>
      <c r="AF21" s="223">
        <v>-722276.92</v>
      </c>
      <c r="AG21" s="224">
        <v>-238731.78</v>
      </c>
      <c r="AH21" s="222">
        <f t="shared" si="2"/>
        <v>-961008.70000000007</v>
      </c>
      <c r="AI21" s="223">
        <v>-722276.92</v>
      </c>
      <c r="AJ21" s="224">
        <v>-238731.78</v>
      </c>
      <c r="AK21" s="222">
        <f t="shared" si="3"/>
        <v>-940392.64999999991</v>
      </c>
      <c r="AL21" s="223">
        <v>-706779.84</v>
      </c>
      <c r="AM21" s="224">
        <v>-233612.81</v>
      </c>
      <c r="AN21" s="222">
        <f t="shared" si="4"/>
        <v>-947948.91</v>
      </c>
      <c r="AO21" s="223">
        <v>-712459.88</v>
      </c>
      <c r="AP21" s="224">
        <v>-235489.03</v>
      </c>
      <c r="AQ21" s="222">
        <f t="shared" si="5"/>
        <v>-956826.3</v>
      </c>
      <c r="AR21" s="223">
        <v>-719133.01</v>
      </c>
      <c r="AS21" s="224">
        <v>-237693.29</v>
      </c>
      <c r="AT21" s="222">
        <f t="shared" si="6"/>
        <v>-985998.22</v>
      </c>
      <c r="AU21" s="223">
        <v>-741061.54</v>
      </c>
      <c r="AV21" s="224">
        <v>-244936.68</v>
      </c>
      <c r="AW21" s="170">
        <f t="shared" si="7"/>
        <v>-973088.27583333338</v>
      </c>
      <c r="AX21" s="170">
        <f t="shared" si="0"/>
        <v>-731216.86666666658</v>
      </c>
      <c r="AY21" s="170">
        <f t="shared" si="0"/>
        <v>-241871.40916666665</v>
      </c>
    </row>
    <row r="22" spans="1:56" ht="16.5" thickBot="1">
      <c r="A22" s="190">
        <v>14</v>
      </c>
      <c r="B22" s="212" t="s">
        <v>994</v>
      </c>
      <c r="C22" s="207" t="s">
        <v>754</v>
      </c>
      <c r="D22" s="207"/>
      <c r="E22" s="207" t="s">
        <v>981</v>
      </c>
      <c r="F22" s="207" t="s">
        <v>632</v>
      </c>
      <c r="G22" s="207" t="s">
        <v>995</v>
      </c>
      <c r="H22" s="207" t="s">
        <v>382</v>
      </c>
      <c r="I22" s="208" t="s">
        <v>382</v>
      </c>
      <c r="J22" s="222">
        <f t="shared" si="1"/>
        <v>0</v>
      </c>
      <c r="K22" s="223">
        <v>0</v>
      </c>
      <c r="L22" s="224">
        <v>0</v>
      </c>
      <c r="M22" s="222">
        <f t="shared" si="8"/>
        <v>0</v>
      </c>
      <c r="N22" s="223">
        <v>0</v>
      </c>
      <c r="O22" s="224">
        <v>0</v>
      </c>
      <c r="P22" s="222">
        <v>0</v>
      </c>
      <c r="Q22" s="223">
        <v>0</v>
      </c>
      <c r="R22" s="224">
        <v>0</v>
      </c>
      <c r="S22" s="222">
        <v>0</v>
      </c>
      <c r="T22" s="223">
        <v>0</v>
      </c>
      <c r="U22" s="224">
        <v>0</v>
      </c>
      <c r="V22" s="222">
        <v>0</v>
      </c>
      <c r="W22" s="223">
        <v>0</v>
      </c>
      <c r="X22" s="224">
        <v>0</v>
      </c>
      <c r="Y22" s="222">
        <v>0</v>
      </c>
      <c r="Z22" s="223">
        <v>0</v>
      </c>
      <c r="AA22" s="224">
        <v>0</v>
      </c>
      <c r="AB22" s="222">
        <v>0</v>
      </c>
      <c r="AC22" s="223">
        <v>0</v>
      </c>
      <c r="AD22" s="224">
        <v>0</v>
      </c>
      <c r="AE22" s="222">
        <v>0</v>
      </c>
      <c r="AF22" s="223">
        <v>0</v>
      </c>
      <c r="AG22" s="224">
        <v>0</v>
      </c>
      <c r="AH22" s="222">
        <f t="shared" si="2"/>
        <v>0</v>
      </c>
      <c r="AI22" s="223">
        <v>0</v>
      </c>
      <c r="AJ22" s="224">
        <v>0</v>
      </c>
      <c r="AK22" s="222">
        <f t="shared" si="3"/>
        <v>0</v>
      </c>
      <c r="AL22" s="223">
        <v>0</v>
      </c>
      <c r="AM22" s="224">
        <v>0</v>
      </c>
      <c r="AN22" s="222">
        <f t="shared" si="4"/>
        <v>0</v>
      </c>
      <c r="AO22" s="223">
        <v>0</v>
      </c>
      <c r="AP22" s="224">
        <v>0</v>
      </c>
      <c r="AQ22" s="222">
        <f t="shared" si="5"/>
        <v>0</v>
      </c>
      <c r="AR22" s="223">
        <v>0</v>
      </c>
      <c r="AS22" s="224">
        <v>0</v>
      </c>
      <c r="AT22" s="222">
        <f t="shared" si="6"/>
        <v>0</v>
      </c>
      <c r="AU22" s="223">
        <v>0</v>
      </c>
      <c r="AV22" s="224">
        <v>0</v>
      </c>
      <c r="AW22" s="225">
        <f t="shared" si="7"/>
        <v>0</v>
      </c>
      <c r="AX22" s="225">
        <f t="shared" si="0"/>
        <v>0</v>
      </c>
      <c r="AY22" s="225">
        <f t="shared" si="0"/>
        <v>0</v>
      </c>
    </row>
    <row r="23" spans="1:56" ht="16.5" thickBot="1">
      <c r="A23" s="190">
        <v>15</v>
      </c>
      <c r="B23" s="212"/>
      <c r="C23" s="207"/>
      <c r="D23" s="207"/>
      <c r="E23" s="207"/>
      <c r="F23" s="207"/>
      <c r="G23" s="207"/>
      <c r="H23" s="207"/>
      <c r="I23" s="208"/>
      <c r="J23" s="226">
        <f>SUM(J18:J22)</f>
        <v>-4315900.8699999992</v>
      </c>
      <c r="K23" s="227">
        <f>SUM(K17:K22)</f>
        <v>-3905382.89</v>
      </c>
      <c r="L23" s="228">
        <f>SUM(L18:L22)</f>
        <v>-410517.98</v>
      </c>
      <c r="M23" s="226">
        <f>SUM(M17:M22)</f>
        <v>-4317002.2799999993</v>
      </c>
      <c r="N23" s="227">
        <f>SUM(N17:N22)</f>
        <v>-3908749.39</v>
      </c>
      <c r="O23" s="228">
        <f>SUM(O18:O22)</f>
        <v>-408252.89</v>
      </c>
      <c r="P23" s="226">
        <f>SUM(P17:P22)</f>
        <v>-4325437.04</v>
      </c>
      <c r="Q23" s="227">
        <f>SUM(Q17:Q22)</f>
        <v>-3908749.39</v>
      </c>
      <c r="R23" s="228">
        <f>SUM(R18:R22)</f>
        <v>-416687.65</v>
      </c>
      <c r="S23" s="226">
        <f>SUM(S17:S22)</f>
        <v>-4258290.5599999996</v>
      </c>
      <c r="T23" s="227">
        <f>SUM(T17:T22)</f>
        <v>-3822439.39</v>
      </c>
      <c r="U23" s="228">
        <f>SUM(U18:U22)</f>
        <v>-435851.17000000004</v>
      </c>
      <c r="V23" s="226">
        <f>SUM(V17:V22)</f>
        <v>-4217062.6399999997</v>
      </c>
      <c r="W23" s="227">
        <f>SUM(W17:W22)</f>
        <v>-3790858.83</v>
      </c>
      <c r="X23" s="228">
        <f>SUM(X18:X22)</f>
        <v>-426203.81</v>
      </c>
      <c r="Y23" s="226">
        <f>SUM(Y17:Y22)</f>
        <v>-4222721.0199999996</v>
      </c>
      <c r="Z23" s="227">
        <f>SUM(Z17:Z22)</f>
        <v>-3790462.56</v>
      </c>
      <c r="AA23" s="228">
        <f>SUM(AA18:AA22)</f>
        <v>-432258.45999999996</v>
      </c>
      <c r="AB23" s="226">
        <f>SUM(AB17:AB22)</f>
        <v>-4222721.0199999996</v>
      </c>
      <c r="AC23" s="227">
        <f>SUM(AC17:AC22)</f>
        <v>-3790462.56</v>
      </c>
      <c r="AD23" s="228">
        <f>SUM(AD18:AD22)</f>
        <v>-432258.45999999996</v>
      </c>
      <c r="AE23" s="226">
        <f>SUM(AE17:AE22)</f>
        <v>-4219918.54</v>
      </c>
      <c r="AF23" s="227">
        <f>SUM(AF17:AF22)</f>
        <v>-3790462.56</v>
      </c>
      <c r="AG23" s="228">
        <f>SUM(AG18:AG22)</f>
        <v>-429455.98</v>
      </c>
      <c r="AH23" s="226">
        <f>SUM(AH17:AH22)</f>
        <v>-4223767.62</v>
      </c>
      <c r="AI23" s="227">
        <f>SUM(AI17:AI22)</f>
        <v>-3790462.56</v>
      </c>
      <c r="AJ23" s="228">
        <f>SUM(AJ18:AJ22)</f>
        <v>-433305.06</v>
      </c>
      <c r="AK23" s="226">
        <f>SUM(AK17:AK22)</f>
        <v>-4140285.94</v>
      </c>
      <c r="AL23" s="227">
        <f>SUM(AL17:AL22)</f>
        <v>-3721268.94</v>
      </c>
      <c r="AM23" s="228">
        <f>SUM(AM18:AM22)</f>
        <v>-419017</v>
      </c>
      <c r="AN23" s="226">
        <f>SUM(AN17:AN22)</f>
        <v>-4151257.11</v>
      </c>
      <c r="AO23" s="227">
        <f>SUM(AO17:AO22)</f>
        <v>-3726948.98</v>
      </c>
      <c r="AP23" s="228">
        <f>SUM(AP18:AP22)</f>
        <v>-424308.13</v>
      </c>
      <c r="AQ23" s="226">
        <f>SUM(AQ17:AQ22)</f>
        <v>-4166415.3899999997</v>
      </c>
      <c r="AR23" s="227">
        <f>SUM(AR17:AR22)</f>
        <v>-3733622.1100000003</v>
      </c>
      <c r="AS23" s="228">
        <f>SUM(AS18:AS22)</f>
        <v>-432793.28</v>
      </c>
      <c r="AT23" s="226">
        <f>SUM(AT17:AT22)</f>
        <v>-4195587.3099999996</v>
      </c>
      <c r="AU23" s="227">
        <f>SUM(AU17:AU22)</f>
        <v>-3755550.64</v>
      </c>
      <c r="AV23" s="228">
        <f>SUM(AV18:AV22)</f>
        <v>-440036.67</v>
      </c>
      <c r="AW23" s="229">
        <f>SUM(AW18:AW22)</f>
        <v>-4226718.604166666</v>
      </c>
      <c r="AX23" s="794">
        <f t="shared" ref="AX23:AY23" si="9">SUM(AX18:AX22)</f>
        <v>-3800412.8362500002</v>
      </c>
      <c r="AY23" s="230">
        <f t="shared" si="9"/>
        <v>-426305.76791666669</v>
      </c>
    </row>
    <row r="24" spans="1:56" ht="16.5" thickTop="1">
      <c r="A24" s="190">
        <v>16</v>
      </c>
      <c r="B24" s="212"/>
      <c r="C24" s="207"/>
      <c r="D24" s="207"/>
      <c r="E24" s="207"/>
      <c r="F24" s="207"/>
      <c r="G24" s="207"/>
      <c r="H24" s="207"/>
      <c r="I24" s="208"/>
      <c r="J24" s="218"/>
      <c r="K24" s="219"/>
      <c r="L24" s="220">
        <v>8.7311491370201111E-10</v>
      </c>
      <c r="M24" s="218"/>
      <c r="N24" s="219"/>
      <c r="O24" s="220">
        <v>5.8207660913467407E-10</v>
      </c>
      <c r="P24" s="218"/>
      <c r="Q24" s="219"/>
      <c r="R24" s="220">
        <v>6.9849193096160889E-10</v>
      </c>
      <c r="S24" s="218"/>
      <c r="T24" s="219"/>
      <c r="U24" s="220">
        <v>0</v>
      </c>
      <c r="V24" s="218"/>
      <c r="W24" s="219"/>
      <c r="X24" s="220">
        <v>0</v>
      </c>
      <c r="Y24" s="218"/>
      <c r="Z24" s="219"/>
      <c r="AA24" s="220">
        <v>0</v>
      </c>
      <c r="AB24" s="218"/>
      <c r="AC24" s="219"/>
      <c r="AD24" s="220">
        <v>0</v>
      </c>
      <c r="AE24" s="218"/>
      <c r="AF24" s="219"/>
      <c r="AG24" s="220">
        <v>0</v>
      </c>
      <c r="AH24" s="218"/>
      <c r="AI24" s="219"/>
      <c r="AJ24" s="220">
        <v>0</v>
      </c>
      <c r="AK24" s="218"/>
      <c r="AL24" s="219"/>
      <c r="AM24" s="220">
        <v>4.6566128730773926E-10</v>
      </c>
      <c r="AN24" s="218"/>
      <c r="AO24" s="219"/>
      <c r="AP24" s="220">
        <v>4.6566128730773926E-10</v>
      </c>
      <c r="AQ24" s="218"/>
      <c r="AR24" s="219"/>
      <c r="AS24" s="220">
        <v>6.4028427004814148E-10</v>
      </c>
      <c r="AT24" s="218"/>
      <c r="AU24" s="219"/>
      <c r="AV24" s="220">
        <v>0</v>
      </c>
      <c r="AW24" s="231"/>
      <c r="AX24" s="924" t="s">
        <v>2033</v>
      </c>
      <c r="AY24" s="924"/>
      <c r="AZ24" s="924"/>
      <c r="BA24" s="924"/>
      <c r="BB24" s="924"/>
      <c r="BC24" s="924"/>
      <c r="BD24" s="924"/>
    </row>
    <row r="25" spans="1:56">
      <c r="A25" s="190">
        <v>17</v>
      </c>
      <c r="B25" s="931" t="s">
        <v>996</v>
      </c>
      <c r="C25" s="932"/>
      <c r="D25" s="932"/>
      <c r="E25" s="932"/>
      <c r="F25" s="932"/>
      <c r="G25" s="932"/>
      <c r="H25" s="932"/>
      <c r="I25" s="933"/>
      <c r="J25" s="232"/>
      <c r="K25" s="233"/>
      <c r="L25" s="234"/>
      <c r="M25" s="232"/>
      <c r="N25" s="233"/>
      <c r="O25" s="234"/>
      <c r="P25" s="232"/>
      <c r="Q25" s="233"/>
      <c r="R25" s="234"/>
      <c r="S25" s="232"/>
      <c r="T25" s="233"/>
      <c r="U25" s="234"/>
      <c r="V25" s="232"/>
      <c r="W25" s="233"/>
      <c r="X25" s="234"/>
      <c r="Y25" s="232"/>
      <c r="Z25" s="233"/>
      <c r="AA25" s="234"/>
      <c r="AB25" s="232"/>
      <c r="AC25" s="233"/>
      <c r="AD25" s="234"/>
      <c r="AE25" s="232"/>
      <c r="AF25" s="233"/>
      <c r="AG25" s="234"/>
      <c r="AH25" s="232"/>
      <c r="AI25" s="233"/>
      <c r="AJ25" s="234"/>
      <c r="AK25" s="232"/>
      <c r="AL25" s="233"/>
      <c r="AM25" s="234"/>
      <c r="AN25" s="232"/>
      <c r="AO25" s="233"/>
      <c r="AP25" s="234"/>
      <c r="AQ25" s="232"/>
      <c r="AR25" s="233"/>
      <c r="AS25" s="234"/>
      <c r="AT25" s="232"/>
      <c r="AU25" s="233"/>
      <c r="AV25" s="234"/>
      <c r="AX25" s="924"/>
      <c r="AY25" s="924"/>
      <c r="AZ25" s="924"/>
      <c r="BA25" s="924"/>
      <c r="BB25" s="924"/>
      <c r="BC25" s="924"/>
      <c r="BD25" s="924"/>
    </row>
    <row r="26" spans="1:56">
      <c r="A26" s="190">
        <v>18</v>
      </c>
      <c r="B26" s="235" t="s">
        <v>997</v>
      </c>
      <c r="C26" s="207" t="s">
        <v>754</v>
      </c>
      <c r="D26" s="207"/>
      <c r="E26" s="207" t="s">
        <v>981</v>
      </c>
      <c r="F26" s="236" t="s">
        <v>641</v>
      </c>
      <c r="G26" s="236" t="s">
        <v>998</v>
      </c>
      <c r="H26" s="236" t="s">
        <v>382</v>
      </c>
      <c r="I26" s="237" t="s">
        <v>382</v>
      </c>
      <c r="J26" s="238">
        <f>+K26+L26</f>
        <v>-99638867.390000001</v>
      </c>
      <c r="K26" s="749">
        <v>-76751819.560000002</v>
      </c>
      <c r="L26" s="239">
        <v>-22887047.829999998</v>
      </c>
      <c r="M26" s="238">
        <f>+N26+O26</f>
        <v>-99562756.319999993</v>
      </c>
      <c r="N26" s="749">
        <v>-75209706.129999995</v>
      </c>
      <c r="O26" s="239">
        <v>-24353050.190000001</v>
      </c>
      <c r="P26" s="238">
        <f>+Q26+R26</f>
        <v>-99486645.239999995</v>
      </c>
      <c r="Q26" s="749">
        <v>-75152211.819999993</v>
      </c>
      <c r="R26" s="239">
        <v>-24334433.420000002</v>
      </c>
      <c r="S26" s="238">
        <f>+T26+U26</f>
        <v>-99410534.159999996</v>
      </c>
      <c r="T26" s="749">
        <v>-75094717.510000005</v>
      </c>
      <c r="U26" s="239">
        <v>-24315816.649999999</v>
      </c>
      <c r="V26" s="238">
        <f>+W26+X26</f>
        <v>-99334423.089999989</v>
      </c>
      <c r="W26" s="749">
        <v>-75037223.209999993</v>
      </c>
      <c r="X26" s="239">
        <v>-24297199.879999999</v>
      </c>
      <c r="Y26" s="238">
        <v>-1.4901161193847699E-8</v>
      </c>
      <c r="Z26" s="749">
        <v>-9.9999904632568394E-3</v>
      </c>
      <c r="AA26" s="239">
        <v>1.00000016391277E-2</v>
      </c>
      <c r="AB26" s="238">
        <v>-1.4901161193847699E-8</v>
      </c>
      <c r="AC26" s="749">
        <v>-9.9999904632568394E-3</v>
      </c>
      <c r="AD26" s="239">
        <v>1.00000016391277E-2</v>
      </c>
      <c r="AE26" s="238">
        <v>-1.4901161193847699E-8</v>
      </c>
      <c r="AF26" s="749">
        <v>-9.9999904632568394E-3</v>
      </c>
      <c r="AG26" s="239">
        <v>1.00000016391277E-2</v>
      </c>
      <c r="AH26" s="238">
        <v>-1.4901161193847699E-8</v>
      </c>
      <c r="AI26" s="749">
        <v>-9.9999904632568394E-3</v>
      </c>
      <c r="AJ26" s="239">
        <v>1.00000016391277E-2</v>
      </c>
      <c r="AK26" s="238">
        <v>-1.4901161193847699E-8</v>
      </c>
      <c r="AL26" s="749">
        <v>-9.9999904632568394E-3</v>
      </c>
      <c r="AM26" s="239">
        <v>1.00000016391277E-2</v>
      </c>
      <c r="AN26" s="238">
        <v>-1.4901161193847699E-8</v>
      </c>
      <c r="AO26" s="749">
        <v>-9.9999904632568394E-3</v>
      </c>
      <c r="AP26" s="239">
        <v>1.00000016391277E-2</v>
      </c>
      <c r="AQ26" s="238">
        <v>-1.4901161193847699E-8</v>
      </c>
      <c r="AR26" s="749">
        <v>-9.9999904632568394E-3</v>
      </c>
      <c r="AS26" s="239">
        <v>1.00000016391277E-2</v>
      </c>
      <c r="AT26" s="238">
        <v>-1.4901161193847699E-8</v>
      </c>
      <c r="AU26" s="749">
        <v>-9.9999904632568394E-3</v>
      </c>
      <c r="AV26" s="239">
        <v>1.00000016391277E-2</v>
      </c>
      <c r="AW26" s="170">
        <f t="shared" ref="AW26:AW42" si="10">+(AT26+J26+(M26+P26+S26+V26+Y26+AB26+AE26+AH26+AK26+AN26+AQ26)*2)/24</f>
        <v>-37301149.375416666</v>
      </c>
      <c r="AX26" s="170">
        <f t="shared" ref="AX26:AX42" si="11">+(AU26+K26+(N26+Q26+T26+W26+Z26+AC26+AF26+AI26+AL26+AO26+AR26)*2)/24</f>
        <v>-28239147.37708332</v>
      </c>
      <c r="AY26" s="170">
        <f t="shared" ref="AY26:AY42" si="12">+(AV26+L26+(O26+R26+U26+X26+AA26+AD26+AG26+AJ26+AM26+AP26+AS26)*2)/24</f>
        <v>-9062001.9983333293</v>
      </c>
    </row>
    <row r="27" spans="1:56">
      <c r="A27" s="190">
        <v>19</v>
      </c>
      <c r="B27" s="235" t="s">
        <v>997</v>
      </c>
      <c r="C27" s="207" t="s">
        <v>754</v>
      </c>
      <c r="D27" s="207"/>
      <c r="E27" s="207" t="s">
        <v>1009</v>
      </c>
      <c r="F27" s="236" t="s">
        <v>641</v>
      </c>
      <c r="G27" s="236" t="s">
        <v>998</v>
      </c>
      <c r="H27" s="236" t="s">
        <v>382</v>
      </c>
      <c r="I27" s="237" t="s">
        <v>382</v>
      </c>
      <c r="J27" s="238">
        <f t="shared" ref="J27:J34" si="13">+K27+L27</f>
        <v>0</v>
      </c>
      <c r="K27" s="749">
        <v>0</v>
      </c>
      <c r="L27" s="239">
        <v>0</v>
      </c>
      <c r="M27" s="238">
        <f t="shared" ref="M27:M34" si="14">+N27+O27</f>
        <v>0</v>
      </c>
      <c r="N27" s="749">
        <v>0</v>
      </c>
      <c r="O27" s="239">
        <v>0</v>
      </c>
      <c r="P27" s="238">
        <f t="shared" ref="P27:P34" si="15">+Q27+R27</f>
        <v>0</v>
      </c>
      <c r="Q27" s="749">
        <v>0</v>
      </c>
      <c r="R27" s="239">
        <v>0</v>
      </c>
      <c r="S27" s="238">
        <f t="shared" ref="S27:S34" si="16">+T27+U27</f>
        <v>0</v>
      </c>
      <c r="T27" s="749">
        <v>0</v>
      </c>
      <c r="U27" s="239">
        <v>0</v>
      </c>
      <c r="V27" s="238">
        <f t="shared" ref="V27:V34" si="17">+W27+X27</f>
        <v>0</v>
      </c>
      <c r="W27" s="749">
        <v>0</v>
      </c>
      <c r="X27" s="239">
        <v>0</v>
      </c>
      <c r="Y27" s="238">
        <f>+Z27+AA27</f>
        <v>-22343046.039999999</v>
      </c>
      <c r="Z27" s="749">
        <v>0</v>
      </c>
      <c r="AA27" s="239">
        <v>-22343046.039999999</v>
      </c>
      <c r="AB27" s="238">
        <f>+AC27+AD27</f>
        <v>-22325913.43</v>
      </c>
      <c r="AC27" s="749">
        <v>0</v>
      </c>
      <c r="AD27" s="239">
        <v>-22325913.43</v>
      </c>
      <c r="AE27" s="238">
        <f>+AF27+AG27</f>
        <v>-22308780.829999998</v>
      </c>
      <c r="AF27" s="749">
        <v>0</v>
      </c>
      <c r="AG27" s="239">
        <v>-22308780.829999998</v>
      </c>
      <c r="AH27" s="238">
        <f>+AI27+AJ27</f>
        <v>-22291648.23</v>
      </c>
      <c r="AI27" s="749">
        <v>0</v>
      </c>
      <c r="AJ27" s="239">
        <v>-22291648.23</v>
      </c>
      <c r="AK27" s="238">
        <f>+AL27+AM27</f>
        <v>-22274515.629999999</v>
      </c>
      <c r="AL27" s="749">
        <v>0</v>
      </c>
      <c r="AM27" s="239">
        <v>-22274515.629999999</v>
      </c>
      <c r="AN27" s="238">
        <f>+AO27+AP27</f>
        <v>-22257383.030000001</v>
      </c>
      <c r="AO27" s="749">
        <v>0</v>
      </c>
      <c r="AP27" s="239">
        <v>-22257383.030000001</v>
      </c>
      <c r="AQ27" s="238">
        <f>+AR27+AS27</f>
        <v>-22454623.309999999</v>
      </c>
      <c r="AR27" s="749">
        <v>0</v>
      </c>
      <c r="AS27" s="239">
        <v>-22454623.309999999</v>
      </c>
      <c r="AT27" s="238">
        <f>+AU27+AV27</f>
        <v>-22776131.02</v>
      </c>
      <c r="AU27" s="749">
        <v>0</v>
      </c>
      <c r="AV27" s="239">
        <v>-22776131.02</v>
      </c>
      <c r="AW27" s="170">
        <f t="shared" si="10"/>
        <v>-13970331.334166666</v>
      </c>
      <c r="AX27" s="170">
        <f t="shared" si="11"/>
        <v>0</v>
      </c>
      <c r="AY27" s="170">
        <f t="shared" si="12"/>
        <v>-13970331.334166666</v>
      </c>
    </row>
    <row r="28" spans="1:56">
      <c r="A28" s="190">
        <v>20</v>
      </c>
      <c r="B28" s="235" t="s">
        <v>997</v>
      </c>
      <c r="C28" s="207" t="s">
        <v>754</v>
      </c>
      <c r="D28" s="207"/>
      <c r="E28" s="207" t="s">
        <v>984</v>
      </c>
      <c r="F28" s="236" t="s">
        <v>641</v>
      </c>
      <c r="G28" s="236" t="s">
        <v>998</v>
      </c>
      <c r="H28" s="236" t="s">
        <v>382</v>
      </c>
      <c r="I28" s="237" t="s">
        <v>382</v>
      </c>
      <c r="J28" s="238">
        <f t="shared" si="13"/>
        <v>0</v>
      </c>
      <c r="K28" s="749">
        <v>0</v>
      </c>
      <c r="L28" s="239">
        <v>0</v>
      </c>
      <c r="M28" s="238">
        <f t="shared" si="14"/>
        <v>0</v>
      </c>
      <c r="N28" s="749">
        <v>0</v>
      </c>
      <c r="O28" s="239">
        <v>0</v>
      </c>
      <c r="P28" s="238">
        <f t="shared" si="15"/>
        <v>0</v>
      </c>
      <c r="Q28" s="749">
        <v>0</v>
      </c>
      <c r="R28" s="239">
        <v>0</v>
      </c>
      <c r="S28" s="238">
        <f t="shared" si="16"/>
        <v>0</v>
      </c>
      <c r="T28" s="749">
        <v>0</v>
      </c>
      <c r="U28" s="239">
        <v>0</v>
      </c>
      <c r="V28" s="238">
        <f t="shared" si="17"/>
        <v>0</v>
      </c>
      <c r="W28" s="749">
        <v>0</v>
      </c>
      <c r="X28" s="239">
        <v>0</v>
      </c>
      <c r="Y28" s="238">
        <f t="shared" ref="Y28:Y34" si="18">+Z28+AA28</f>
        <v>-76915265.980000004</v>
      </c>
      <c r="Z28" s="749">
        <v>-76915265.980000004</v>
      </c>
      <c r="AA28" s="239">
        <v>0</v>
      </c>
      <c r="AB28" s="238">
        <f t="shared" ref="AB28:AB34" si="19">+AC28+AD28</f>
        <v>-76856287.510000005</v>
      </c>
      <c r="AC28" s="749">
        <v>-76856287.510000005</v>
      </c>
      <c r="AD28" s="239">
        <v>0</v>
      </c>
      <c r="AE28" s="238">
        <f t="shared" ref="AE28:AE34" si="20">+AF28+AG28</f>
        <v>-76797309.040000007</v>
      </c>
      <c r="AF28" s="749">
        <v>-76797309.040000007</v>
      </c>
      <c r="AG28" s="239">
        <v>0</v>
      </c>
      <c r="AH28" s="238">
        <f t="shared" ref="AH28:AH34" si="21">+AI28+AJ28</f>
        <v>-76738330.569999993</v>
      </c>
      <c r="AI28" s="749">
        <v>-76738330.569999993</v>
      </c>
      <c r="AJ28" s="239">
        <v>0</v>
      </c>
      <c r="AK28" s="238">
        <f t="shared" ref="AK28:AK34" si="22">+AL28+AM28</f>
        <v>-76679352.090000004</v>
      </c>
      <c r="AL28" s="749">
        <v>-76679352.090000004</v>
      </c>
      <c r="AM28" s="239">
        <v>0</v>
      </c>
      <c r="AN28" s="238">
        <f t="shared" ref="AN28:AN34" si="23">+AO28+AP28</f>
        <v>-76620373.620000005</v>
      </c>
      <c r="AO28" s="749">
        <v>-76620373.620000005</v>
      </c>
      <c r="AP28" s="239">
        <v>0</v>
      </c>
      <c r="AQ28" s="238">
        <f t="shared" ref="AQ28:AQ34" si="24">+AR28+AS28</f>
        <v>-77299367.390000001</v>
      </c>
      <c r="AR28" s="749">
        <v>-77299367.390000001</v>
      </c>
      <c r="AS28" s="239">
        <v>0</v>
      </c>
      <c r="AT28" s="238">
        <f t="shared" ref="AT28:AT34" si="25">+AU28+AV28</f>
        <v>-78406148.049999997</v>
      </c>
      <c r="AU28" s="749">
        <v>-78406148.049999997</v>
      </c>
      <c r="AV28" s="239">
        <v>0</v>
      </c>
      <c r="AW28" s="170">
        <f t="shared" si="10"/>
        <v>-48092446.685416669</v>
      </c>
      <c r="AX28" s="170">
        <f t="shared" si="11"/>
        <v>-48092446.685416669</v>
      </c>
      <c r="AY28" s="170">
        <f t="shared" si="12"/>
        <v>0</v>
      </c>
    </row>
    <row r="29" spans="1:56">
      <c r="A29" s="190">
        <v>21</v>
      </c>
      <c r="B29" s="235" t="s">
        <v>999</v>
      </c>
      <c r="C29" s="207" t="s">
        <v>754</v>
      </c>
      <c r="D29" s="207"/>
      <c r="E29" s="207" t="s">
        <v>981</v>
      </c>
      <c r="F29" s="236" t="s">
        <v>642</v>
      </c>
      <c r="G29" s="236" t="s">
        <v>1000</v>
      </c>
      <c r="H29" s="236" t="s">
        <v>382</v>
      </c>
      <c r="I29" s="237" t="s">
        <v>382</v>
      </c>
      <c r="J29" s="238">
        <f t="shared" si="13"/>
        <v>-153482.01</v>
      </c>
      <c r="K29" s="749">
        <v>-118227.19</v>
      </c>
      <c r="L29" s="239">
        <v>-35254.82</v>
      </c>
      <c r="M29" s="238">
        <f t="shared" si="14"/>
        <v>-152777.97</v>
      </c>
      <c r="N29" s="749">
        <v>-115408.48</v>
      </c>
      <c r="O29" s="239">
        <v>-37369.49</v>
      </c>
      <c r="P29" s="238">
        <f t="shared" si="15"/>
        <v>-152073.93</v>
      </c>
      <c r="Q29" s="749">
        <v>-114876.65</v>
      </c>
      <c r="R29" s="239">
        <v>-37197.279999999999</v>
      </c>
      <c r="S29" s="238">
        <f t="shared" si="16"/>
        <v>-151369.9</v>
      </c>
      <c r="T29" s="749">
        <v>-114344.83</v>
      </c>
      <c r="U29" s="239">
        <v>-37025.07</v>
      </c>
      <c r="V29" s="238">
        <f t="shared" si="17"/>
        <v>-150665.85999999999</v>
      </c>
      <c r="W29" s="749">
        <v>-113813</v>
      </c>
      <c r="X29" s="239">
        <v>-36852.86</v>
      </c>
      <c r="Y29" s="238">
        <f t="shared" si="18"/>
        <v>2.1827898863402417E-11</v>
      </c>
      <c r="Z29" s="749">
        <v>-9.9999999802094005E-3</v>
      </c>
      <c r="AA29" s="239">
        <v>1.0000000002037299E-2</v>
      </c>
      <c r="AB29" s="238">
        <f t="shared" si="19"/>
        <v>2.1827898863402417E-11</v>
      </c>
      <c r="AC29" s="749">
        <v>-9.9999999802094005E-3</v>
      </c>
      <c r="AD29" s="239">
        <v>1.0000000002037299E-2</v>
      </c>
      <c r="AE29" s="238">
        <f t="shared" si="20"/>
        <v>2.1827898863402417E-11</v>
      </c>
      <c r="AF29" s="749">
        <v>-9.9999999802094005E-3</v>
      </c>
      <c r="AG29" s="239">
        <v>1.0000000002037299E-2</v>
      </c>
      <c r="AH29" s="238">
        <f t="shared" si="21"/>
        <v>2.1827898863402417E-11</v>
      </c>
      <c r="AI29" s="749">
        <v>-9.9999999802094005E-3</v>
      </c>
      <c r="AJ29" s="239">
        <v>1.0000000002037299E-2</v>
      </c>
      <c r="AK29" s="238">
        <f t="shared" si="22"/>
        <v>2.1827898863402417E-11</v>
      </c>
      <c r="AL29" s="749">
        <v>-9.9999999802094005E-3</v>
      </c>
      <c r="AM29" s="239">
        <v>1.0000000002037299E-2</v>
      </c>
      <c r="AN29" s="238">
        <f t="shared" si="23"/>
        <v>2.1827898863402417E-11</v>
      </c>
      <c r="AO29" s="749">
        <v>-9.9999999802094005E-3</v>
      </c>
      <c r="AP29" s="239">
        <v>1.0000000002037299E-2</v>
      </c>
      <c r="AQ29" s="238">
        <f t="shared" si="24"/>
        <v>2.1827898863402417E-11</v>
      </c>
      <c r="AR29" s="749">
        <v>-9.9999999802094005E-3</v>
      </c>
      <c r="AS29" s="239">
        <v>1.0000000002037299E-2</v>
      </c>
      <c r="AT29" s="238">
        <f t="shared" si="25"/>
        <v>2.1827898863402417E-11</v>
      </c>
      <c r="AU29" s="749">
        <v>-9.9999999802094005E-3</v>
      </c>
      <c r="AV29" s="239">
        <v>1.0000000002037299E-2</v>
      </c>
      <c r="AW29" s="439">
        <f t="shared" si="10"/>
        <v>-56969.05541666667</v>
      </c>
      <c r="AX29" s="440">
        <f t="shared" si="11"/>
        <v>-43129.719166666669</v>
      </c>
      <c r="AY29" s="440">
        <f t="shared" si="12"/>
        <v>-13839.336249999995</v>
      </c>
    </row>
    <row r="30" spans="1:56">
      <c r="A30" s="190">
        <v>22</v>
      </c>
      <c r="B30" s="235" t="s">
        <v>999</v>
      </c>
      <c r="C30" s="207" t="s">
        <v>754</v>
      </c>
      <c r="D30" s="207"/>
      <c r="E30" s="207" t="s">
        <v>1009</v>
      </c>
      <c r="F30" s="236" t="s">
        <v>642</v>
      </c>
      <c r="G30" s="236" t="s">
        <v>1000</v>
      </c>
      <c r="H30" s="236" t="s">
        <v>382</v>
      </c>
      <c r="I30" s="237" t="s">
        <v>382</v>
      </c>
      <c r="J30" s="238">
        <f t="shared" si="13"/>
        <v>0</v>
      </c>
      <c r="K30" s="749">
        <v>0</v>
      </c>
      <c r="L30" s="239">
        <v>0</v>
      </c>
      <c r="M30" s="238">
        <f t="shared" si="14"/>
        <v>0</v>
      </c>
      <c r="N30" s="749">
        <v>0</v>
      </c>
      <c r="O30" s="239">
        <v>0</v>
      </c>
      <c r="P30" s="238">
        <f t="shared" si="15"/>
        <v>0</v>
      </c>
      <c r="Q30" s="749">
        <v>0</v>
      </c>
      <c r="R30" s="239">
        <v>0</v>
      </c>
      <c r="S30" s="238">
        <f t="shared" si="16"/>
        <v>0</v>
      </c>
      <c r="T30" s="749">
        <v>0</v>
      </c>
      <c r="U30" s="239">
        <v>0</v>
      </c>
      <c r="V30" s="238">
        <f t="shared" si="17"/>
        <v>0</v>
      </c>
      <c r="W30" s="749">
        <v>0</v>
      </c>
      <c r="X30" s="239">
        <v>0</v>
      </c>
      <c r="Y30" s="238">
        <f t="shared" si="18"/>
        <v>-36680.65</v>
      </c>
      <c r="Z30" s="749">
        <v>0</v>
      </c>
      <c r="AA30" s="239">
        <v>-36680.65</v>
      </c>
      <c r="AB30" s="238">
        <f t="shared" si="19"/>
        <v>-36508.44</v>
      </c>
      <c r="AC30" s="749">
        <v>0</v>
      </c>
      <c r="AD30" s="239">
        <v>-36508.44</v>
      </c>
      <c r="AE30" s="238">
        <f t="shared" si="20"/>
        <v>-36336.230000000003</v>
      </c>
      <c r="AF30" s="749">
        <v>0</v>
      </c>
      <c r="AG30" s="239">
        <v>-36336.230000000003</v>
      </c>
      <c r="AH30" s="238">
        <f t="shared" si="21"/>
        <v>-36164.019999999997</v>
      </c>
      <c r="AI30" s="749">
        <v>0</v>
      </c>
      <c r="AJ30" s="239">
        <v>-36164.019999999997</v>
      </c>
      <c r="AK30" s="238">
        <f t="shared" si="22"/>
        <v>-35991.82</v>
      </c>
      <c r="AL30" s="749">
        <v>0</v>
      </c>
      <c r="AM30" s="239">
        <v>-35991.82</v>
      </c>
      <c r="AN30" s="238">
        <f t="shared" si="23"/>
        <v>-35819.61</v>
      </c>
      <c r="AO30" s="749">
        <v>0</v>
      </c>
      <c r="AP30" s="239">
        <v>-35819.61</v>
      </c>
      <c r="AQ30" s="238">
        <f t="shared" si="24"/>
        <v>-35647.4</v>
      </c>
      <c r="AR30" s="749">
        <v>0</v>
      </c>
      <c r="AS30" s="239">
        <v>-35647.4</v>
      </c>
      <c r="AT30" s="238">
        <f t="shared" si="25"/>
        <v>-35475.199999999997</v>
      </c>
      <c r="AU30" s="749">
        <v>0</v>
      </c>
      <c r="AV30" s="239">
        <v>-35475.199999999997</v>
      </c>
      <c r="AW30" s="439">
        <f t="shared" si="10"/>
        <v>-22573.814166666667</v>
      </c>
      <c r="AX30" s="440">
        <f t="shared" si="11"/>
        <v>0</v>
      </c>
      <c r="AY30" s="440">
        <f t="shared" si="12"/>
        <v>-22573.814166666667</v>
      </c>
    </row>
    <row r="31" spans="1:56">
      <c r="A31" s="190">
        <v>23</v>
      </c>
      <c r="B31" s="235" t="s">
        <v>999</v>
      </c>
      <c r="C31" s="207" t="s">
        <v>754</v>
      </c>
      <c r="D31" s="207"/>
      <c r="E31" s="207" t="s">
        <v>984</v>
      </c>
      <c r="F31" s="236" t="s">
        <v>642</v>
      </c>
      <c r="G31" s="236" t="s">
        <v>1000</v>
      </c>
      <c r="H31" s="236" t="s">
        <v>382</v>
      </c>
      <c r="I31" s="237" t="s">
        <v>382</v>
      </c>
      <c r="J31" s="238">
        <f t="shared" si="13"/>
        <v>0</v>
      </c>
      <c r="K31" s="749">
        <v>0</v>
      </c>
      <c r="L31" s="239">
        <v>0</v>
      </c>
      <c r="M31" s="238">
        <f t="shared" si="14"/>
        <v>0</v>
      </c>
      <c r="N31" s="749">
        <v>0</v>
      </c>
      <c r="O31" s="239">
        <v>0</v>
      </c>
      <c r="P31" s="238">
        <f t="shared" si="15"/>
        <v>0</v>
      </c>
      <c r="Q31" s="749">
        <v>0</v>
      </c>
      <c r="R31" s="239">
        <v>0</v>
      </c>
      <c r="S31" s="238">
        <f t="shared" si="16"/>
        <v>0</v>
      </c>
      <c r="T31" s="749">
        <v>0</v>
      </c>
      <c r="U31" s="239">
        <v>0</v>
      </c>
      <c r="V31" s="238">
        <f t="shared" si="17"/>
        <v>0</v>
      </c>
      <c r="W31" s="749">
        <v>0</v>
      </c>
      <c r="X31" s="239">
        <v>0</v>
      </c>
      <c r="Y31" s="238">
        <f t="shared" si="18"/>
        <v>-113281.17</v>
      </c>
      <c r="Z31" s="749">
        <v>-113281.17</v>
      </c>
      <c r="AA31" s="239">
        <v>0</v>
      </c>
      <c r="AB31" s="238">
        <f t="shared" si="19"/>
        <v>-112749.34</v>
      </c>
      <c r="AC31" s="749">
        <v>-112749.34</v>
      </c>
      <c r="AD31" s="239">
        <v>0</v>
      </c>
      <c r="AE31" s="238">
        <f t="shared" si="20"/>
        <v>-112217.51</v>
      </c>
      <c r="AF31" s="749">
        <v>-112217.51</v>
      </c>
      <c r="AG31" s="239">
        <v>0</v>
      </c>
      <c r="AH31" s="238">
        <f t="shared" si="21"/>
        <v>-111685.68</v>
      </c>
      <c r="AI31" s="749">
        <v>-111685.68</v>
      </c>
      <c r="AJ31" s="239">
        <v>0</v>
      </c>
      <c r="AK31" s="238">
        <f t="shared" si="22"/>
        <v>-111153.85</v>
      </c>
      <c r="AL31" s="749">
        <v>-111153.85</v>
      </c>
      <c r="AM31" s="239">
        <v>0</v>
      </c>
      <c r="AN31" s="238">
        <f t="shared" si="23"/>
        <v>-110622.02</v>
      </c>
      <c r="AO31" s="749">
        <v>-110622.02</v>
      </c>
      <c r="AP31" s="239">
        <v>0</v>
      </c>
      <c r="AQ31" s="238">
        <f t="shared" si="24"/>
        <v>-110090.19</v>
      </c>
      <c r="AR31" s="749">
        <v>-110090.19</v>
      </c>
      <c r="AS31" s="239">
        <v>0</v>
      </c>
      <c r="AT31" s="238">
        <f t="shared" si="25"/>
        <v>-109558.36</v>
      </c>
      <c r="AU31" s="749">
        <v>-109558.36</v>
      </c>
      <c r="AV31" s="239">
        <v>0</v>
      </c>
      <c r="AW31" s="439">
        <f t="shared" si="10"/>
        <v>-69714.911666666667</v>
      </c>
      <c r="AX31" s="440">
        <f t="shared" si="11"/>
        <v>-69714.911666666667</v>
      </c>
      <c r="AY31" s="440">
        <f t="shared" si="12"/>
        <v>0</v>
      </c>
    </row>
    <row r="32" spans="1:56">
      <c r="A32" s="190">
        <v>24</v>
      </c>
      <c r="B32" s="235" t="s">
        <v>1339</v>
      </c>
      <c r="C32" s="207" t="s">
        <v>754</v>
      </c>
      <c r="D32" s="207"/>
      <c r="E32" s="207" t="s">
        <v>981</v>
      </c>
      <c r="F32" s="236" t="s">
        <v>469</v>
      </c>
      <c r="G32" s="236" t="s">
        <v>1344</v>
      </c>
      <c r="H32" s="236" t="s">
        <v>382</v>
      </c>
      <c r="I32" s="237" t="s">
        <v>382</v>
      </c>
      <c r="J32" s="238">
        <f t="shared" si="13"/>
        <v>680831.94</v>
      </c>
      <c r="K32" s="749">
        <v>524444.86</v>
      </c>
      <c r="L32" s="239">
        <v>156387.07999999999</v>
      </c>
      <c r="M32" s="238">
        <f t="shared" si="14"/>
        <v>681059.07000000007</v>
      </c>
      <c r="N32" s="749">
        <v>514472.02</v>
      </c>
      <c r="O32" s="239">
        <v>166587.04999999999</v>
      </c>
      <c r="P32" s="238">
        <f t="shared" si="15"/>
        <v>682798.39999999991</v>
      </c>
      <c r="Q32" s="749">
        <v>515785.91</v>
      </c>
      <c r="R32" s="239">
        <v>167012.49</v>
      </c>
      <c r="S32" s="238">
        <f t="shared" si="16"/>
        <v>672259.39</v>
      </c>
      <c r="T32" s="749">
        <v>507824.74</v>
      </c>
      <c r="U32" s="239">
        <v>164434.65</v>
      </c>
      <c r="V32" s="238">
        <f t="shared" si="17"/>
        <v>671430.12</v>
      </c>
      <c r="W32" s="749">
        <v>507198.31</v>
      </c>
      <c r="X32" s="239">
        <v>164231.81</v>
      </c>
      <c r="Y32" s="238">
        <f t="shared" si="18"/>
        <v>0</v>
      </c>
      <c r="Z32" s="749">
        <v>0</v>
      </c>
      <c r="AA32" s="239">
        <v>0</v>
      </c>
      <c r="AB32" s="238">
        <f t="shared" si="19"/>
        <v>0</v>
      </c>
      <c r="AC32" s="749">
        <v>0</v>
      </c>
      <c r="AD32" s="239">
        <v>0</v>
      </c>
      <c r="AE32" s="238">
        <f t="shared" si="20"/>
        <v>0</v>
      </c>
      <c r="AF32" s="749">
        <v>0</v>
      </c>
      <c r="AG32" s="239">
        <v>0</v>
      </c>
      <c r="AH32" s="238">
        <f t="shared" si="21"/>
        <v>0</v>
      </c>
      <c r="AI32" s="749">
        <v>0</v>
      </c>
      <c r="AJ32" s="239">
        <v>0</v>
      </c>
      <c r="AK32" s="238">
        <f t="shared" si="22"/>
        <v>0</v>
      </c>
      <c r="AL32" s="749">
        <v>0</v>
      </c>
      <c r="AM32" s="239">
        <v>0</v>
      </c>
      <c r="AN32" s="238">
        <f t="shared" si="23"/>
        <v>0</v>
      </c>
      <c r="AO32" s="749">
        <v>0</v>
      </c>
      <c r="AP32" s="239">
        <v>0</v>
      </c>
      <c r="AQ32" s="238">
        <f t="shared" si="24"/>
        <v>0</v>
      </c>
      <c r="AR32" s="749">
        <v>0</v>
      </c>
      <c r="AS32" s="239">
        <v>0</v>
      </c>
      <c r="AT32" s="238">
        <f t="shared" si="25"/>
        <v>0</v>
      </c>
      <c r="AU32" s="749">
        <v>0</v>
      </c>
      <c r="AV32" s="239">
        <v>0</v>
      </c>
      <c r="AW32" s="439">
        <f t="shared" si="10"/>
        <v>253996.91250000001</v>
      </c>
      <c r="AX32" s="440">
        <f t="shared" si="11"/>
        <v>192291.95083333334</v>
      </c>
      <c r="AY32" s="440">
        <f t="shared" si="12"/>
        <v>61704.96166666667</v>
      </c>
    </row>
    <row r="33" spans="1:51">
      <c r="A33" s="190">
        <v>25</v>
      </c>
      <c r="B33" s="235" t="s">
        <v>1339</v>
      </c>
      <c r="C33" s="207" t="s">
        <v>754</v>
      </c>
      <c r="D33" s="207"/>
      <c r="E33" s="207" t="s">
        <v>1009</v>
      </c>
      <c r="F33" s="236" t="s">
        <v>469</v>
      </c>
      <c r="G33" s="236" t="s">
        <v>1344</v>
      </c>
      <c r="H33" s="236" t="s">
        <v>382</v>
      </c>
      <c r="I33" s="237" t="s">
        <v>382</v>
      </c>
      <c r="J33" s="238">
        <f t="shared" si="13"/>
        <v>0</v>
      </c>
      <c r="K33" s="749">
        <v>0</v>
      </c>
      <c r="L33" s="239">
        <v>0</v>
      </c>
      <c r="M33" s="238">
        <f t="shared" si="14"/>
        <v>0</v>
      </c>
      <c r="N33" s="749">
        <v>0</v>
      </c>
      <c r="O33" s="239">
        <v>0</v>
      </c>
      <c r="P33" s="238">
        <f t="shared" si="15"/>
        <v>0</v>
      </c>
      <c r="Q33" s="749">
        <v>0</v>
      </c>
      <c r="R33" s="239">
        <v>0</v>
      </c>
      <c r="S33" s="238">
        <f t="shared" si="16"/>
        <v>0</v>
      </c>
      <c r="T33" s="749">
        <v>0</v>
      </c>
      <c r="U33" s="239">
        <v>0</v>
      </c>
      <c r="V33" s="238">
        <f t="shared" si="17"/>
        <v>0</v>
      </c>
      <c r="W33" s="749">
        <v>0</v>
      </c>
      <c r="X33" s="239">
        <v>0</v>
      </c>
      <c r="Y33" s="238">
        <f t="shared" si="18"/>
        <v>39907.08</v>
      </c>
      <c r="Z33" s="749">
        <v>0</v>
      </c>
      <c r="AA33" s="239">
        <v>39907.08</v>
      </c>
      <c r="AB33" s="238">
        <f t="shared" si="19"/>
        <v>39907.08</v>
      </c>
      <c r="AC33" s="749">
        <v>0</v>
      </c>
      <c r="AD33" s="239">
        <v>39907.08</v>
      </c>
      <c r="AE33" s="238">
        <f t="shared" si="20"/>
        <v>39329.18</v>
      </c>
      <c r="AF33" s="749">
        <v>0</v>
      </c>
      <c r="AG33" s="239">
        <v>39329.18</v>
      </c>
      <c r="AH33" s="238">
        <f t="shared" si="21"/>
        <v>40122.9</v>
      </c>
      <c r="AI33" s="749">
        <v>0</v>
      </c>
      <c r="AJ33" s="239">
        <v>40122.9</v>
      </c>
      <c r="AK33" s="238">
        <f t="shared" si="22"/>
        <v>38232.14</v>
      </c>
      <c r="AL33" s="749">
        <v>0</v>
      </c>
      <c r="AM33" s="239">
        <v>38232.14</v>
      </c>
      <c r="AN33" s="238">
        <f t="shared" si="23"/>
        <v>38936.33</v>
      </c>
      <c r="AO33" s="749">
        <v>0</v>
      </c>
      <c r="AP33" s="239">
        <v>38936.33</v>
      </c>
      <c r="AQ33" s="238">
        <f t="shared" si="24"/>
        <v>40231.5</v>
      </c>
      <c r="AR33" s="749">
        <v>0</v>
      </c>
      <c r="AS33" s="239">
        <v>40231.5</v>
      </c>
      <c r="AT33" s="238">
        <f t="shared" si="25"/>
        <v>40231.5</v>
      </c>
      <c r="AU33" s="749">
        <v>0</v>
      </c>
      <c r="AV33" s="239">
        <v>40231.5</v>
      </c>
      <c r="AW33" s="439">
        <f t="shared" si="10"/>
        <v>24731.83</v>
      </c>
      <c r="AX33" s="440">
        <f t="shared" si="11"/>
        <v>0</v>
      </c>
      <c r="AY33" s="440">
        <f t="shared" si="12"/>
        <v>24731.83</v>
      </c>
    </row>
    <row r="34" spans="1:51">
      <c r="A34" s="190">
        <v>26</v>
      </c>
      <c r="B34" s="235" t="s">
        <v>1339</v>
      </c>
      <c r="C34" s="207" t="s">
        <v>754</v>
      </c>
      <c r="D34" s="207"/>
      <c r="E34" s="207" t="s">
        <v>984</v>
      </c>
      <c r="F34" s="236" t="s">
        <v>469</v>
      </c>
      <c r="G34" s="236" t="s">
        <v>1344</v>
      </c>
      <c r="H34" s="236" t="s">
        <v>382</v>
      </c>
      <c r="I34" s="237" t="s">
        <v>382</v>
      </c>
      <c r="J34" s="238">
        <f t="shared" si="13"/>
        <v>0</v>
      </c>
      <c r="K34" s="749">
        <v>0</v>
      </c>
      <c r="L34" s="239">
        <v>0</v>
      </c>
      <c r="M34" s="238">
        <f t="shared" si="14"/>
        <v>0</v>
      </c>
      <c r="N34" s="749">
        <v>0</v>
      </c>
      <c r="O34" s="239">
        <v>0</v>
      </c>
      <c r="P34" s="238">
        <f t="shared" si="15"/>
        <v>0</v>
      </c>
      <c r="Q34" s="749">
        <v>0</v>
      </c>
      <c r="R34" s="239">
        <v>0</v>
      </c>
      <c r="S34" s="238">
        <f t="shared" si="16"/>
        <v>0</v>
      </c>
      <c r="T34" s="749">
        <v>0</v>
      </c>
      <c r="U34" s="239">
        <v>0</v>
      </c>
      <c r="V34" s="238">
        <f t="shared" si="17"/>
        <v>0</v>
      </c>
      <c r="W34" s="749">
        <v>0</v>
      </c>
      <c r="X34" s="239">
        <v>0</v>
      </c>
      <c r="Y34" s="238">
        <f t="shared" si="18"/>
        <v>632689.85</v>
      </c>
      <c r="Z34" s="749">
        <v>632689.85</v>
      </c>
      <c r="AA34" s="239">
        <v>0</v>
      </c>
      <c r="AB34" s="238">
        <f t="shared" si="19"/>
        <v>632689.85</v>
      </c>
      <c r="AC34" s="749">
        <v>632689.85</v>
      </c>
      <c r="AD34" s="239">
        <v>0</v>
      </c>
      <c r="AE34" s="238">
        <f t="shared" si="20"/>
        <v>632689.85</v>
      </c>
      <c r="AF34" s="749">
        <v>632689.85</v>
      </c>
      <c r="AG34" s="239">
        <v>0</v>
      </c>
      <c r="AH34" s="238">
        <f t="shared" si="21"/>
        <v>632689.85</v>
      </c>
      <c r="AI34" s="749">
        <v>632689.85</v>
      </c>
      <c r="AJ34" s="239">
        <v>0</v>
      </c>
      <c r="AK34" s="238">
        <f t="shared" si="22"/>
        <v>621617.1</v>
      </c>
      <c r="AL34" s="749">
        <v>621617.1</v>
      </c>
      <c r="AM34" s="239">
        <v>0</v>
      </c>
      <c r="AN34" s="238">
        <f t="shared" si="23"/>
        <v>621617.1</v>
      </c>
      <c r="AO34" s="749">
        <v>621617.1</v>
      </c>
      <c r="AP34" s="239">
        <v>0</v>
      </c>
      <c r="AQ34" s="238">
        <f t="shared" si="24"/>
        <v>621617.1</v>
      </c>
      <c r="AR34" s="749">
        <v>621617.1</v>
      </c>
      <c r="AS34" s="239">
        <v>0</v>
      </c>
      <c r="AT34" s="238">
        <f t="shared" si="25"/>
        <v>621617.1</v>
      </c>
      <c r="AU34" s="749">
        <v>621617.1</v>
      </c>
      <c r="AV34" s="239">
        <v>0</v>
      </c>
      <c r="AW34" s="439">
        <f t="shared" si="10"/>
        <v>392201.60416666669</v>
      </c>
      <c r="AX34" s="440">
        <f t="shared" si="11"/>
        <v>392201.60416666669</v>
      </c>
      <c r="AY34" s="440">
        <f t="shared" si="12"/>
        <v>0</v>
      </c>
    </row>
    <row r="35" spans="1:51">
      <c r="A35" s="190">
        <v>27</v>
      </c>
      <c r="B35" s="235" t="s">
        <v>1340</v>
      </c>
      <c r="C35" s="207" t="s">
        <v>754</v>
      </c>
      <c r="D35" s="207"/>
      <c r="E35" s="207" t="s">
        <v>984</v>
      </c>
      <c r="F35" s="236" t="s">
        <v>641</v>
      </c>
      <c r="G35" s="236" t="s">
        <v>1345</v>
      </c>
      <c r="H35" s="236" t="s">
        <v>382</v>
      </c>
      <c r="I35" s="237" t="s">
        <v>382</v>
      </c>
      <c r="J35" s="441">
        <v>0</v>
      </c>
      <c r="K35" s="750">
        <v>0</v>
      </c>
      <c r="L35" s="442">
        <v>0</v>
      </c>
      <c r="M35" s="441">
        <v>0</v>
      </c>
      <c r="N35" s="750">
        <v>0</v>
      </c>
      <c r="O35" s="442">
        <v>0</v>
      </c>
      <c r="P35" s="441">
        <v>0</v>
      </c>
      <c r="Q35" s="750">
        <v>0</v>
      </c>
      <c r="R35" s="442">
        <v>0</v>
      </c>
      <c r="S35" s="441">
        <v>0</v>
      </c>
      <c r="T35" s="750">
        <v>0</v>
      </c>
      <c r="U35" s="442">
        <v>0</v>
      </c>
      <c r="V35" s="441">
        <v>0</v>
      </c>
      <c r="W35" s="750">
        <v>0</v>
      </c>
      <c r="X35" s="442">
        <v>0</v>
      </c>
      <c r="Y35" s="441">
        <v>0</v>
      </c>
      <c r="Z35" s="750">
        <v>0</v>
      </c>
      <c r="AA35" s="442">
        <v>0</v>
      </c>
      <c r="AB35" s="441">
        <v>0</v>
      </c>
      <c r="AC35" s="750">
        <v>0</v>
      </c>
      <c r="AD35" s="442">
        <v>0</v>
      </c>
      <c r="AE35" s="441">
        <v>0</v>
      </c>
      <c r="AF35" s="750">
        <v>0</v>
      </c>
      <c r="AG35" s="442">
        <v>0</v>
      </c>
      <c r="AH35" s="441">
        <v>0</v>
      </c>
      <c r="AI35" s="750">
        <v>0</v>
      </c>
      <c r="AJ35" s="442">
        <v>0</v>
      </c>
      <c r="AK35" s="441">
        <v>0</v>
      </c>
      <c r="AL35" s="750">
        <v>0</v>
      </c>
      <c r="AM35" s="442">
        <v>0</v>
      </c>
      <c r="AN35" s="441">
        <v>0</v>
      </c>
      <c r="AO35" s="750">
        <v>0</v>
      </c>
      <c r="AP35" s="442">
        <v>0</v>
      </c>
      <c r="AQ35" s="441">
        <v>0</v>
      </c>
      <c r="AR35" s="750">
        <v>0</v>
      </c>
      <c r="AS35" s="442">
        <v>0</v>
      </c>
      <c r="AT35" s="441">
        <v>0</v>
      </c>
      <c r="AU35" s="750">
        <v>0</v>
      </c>
      <c r="AV35" s="442">
        <v>0</v>
      </c>
      <c r="AW35" s="439">
        <f t="shared" si="10"/>
        <v>0</v>
      </c>
      <c r="AX35" s="440">
        <f t="shared" si="11"/>
        <v>0</v>
      </c>
      <c r="AY35" s="440">
        <f t="shared" si="12"/>
        <v>0</v>
      </c>
    </row>
    <row r="36" spans="1:51">
      <c r="A36" s="190">
        <v>28</v>
      </c>
      <c r="B36" s="235" t="s">
        <v>1341</v>
      </c>
      <c r="C36" s="207" t="s">
        <v>754</v>
      </c>
      <c r="D36" s="207"/>
      <c r="E36" s="207" t="s">
        <v>984</v>
      </c>
      <c r="F36" s="236" t="s">
        <v>469</v>
      </c>
      <c r="G36" s="236" t="s">
        <v>1346</v>
      </c>
      <c r="H36" s="236" t="s">
        <v>382</v>
      </c>
      <c r="I36" s="237" t="s">
        <v>382</v>
      </c>
      <c r="J36" s="441">
        <f>+K36+L36</f>
        <v>248712.88</v>
      </c>
      <c r="K36" s="750">
        <v>248712.88</v>
      </c>
      <c r="L36" s="442">
        <v>0</v>
      </c>
      <c r="M36" s="441">
        <f>+N36+O36</f>
        <v>246409.98</v>
      </c>
      <c r="N36" s="750">
        <v>246409.98</v>
      </c>
      <c r="O36" s="442">
        <v>0</v>
      </c>
      <c r="P36" s="441">
        <f>+Q36+R36</f>
        <v>244107.08</v>
      </c>
      <c r="Q36" s="750">
        <v>244107.08</v>
      </c>
      <c r="R36" s="442">
        <v>0</v>
      </c>
      <c r="S36" s="441">
        <f>+T36+U36</f>
        <v>241804.19</v>
      </c>
      <c r="T36" s="750">
        <v>241804.19</v>
      </c>
      <c r="U36" s="442">
        <v>0</v>
      </c>
      <c r="V36" s="441">
        <f>+W36+X36</f>
        <v>239501.29</v>
      </c>
      <c r="W36" s="750">
        <v>239501.29</v>
      </c>
      <c r="X36" s="442">
        <v>0</v>
      </c>
      <c r="Y36" s="441">
        <f>+Z36+AA36</f>
        <v>237198.39</v>
      </c>
      <c r="Z36" s="750">
        <v>237198.39</v>
      </c>
      <c r="AA36" s="442">
        <v>0</v>
      </c>
      <c r="AB36" s="441">
        <f>+AC36+AD36</f>
        <v>234895.5</v>
      </c>
      <c r="AC36" s="750">
        <v>234895.5</v>
      </c>
      <c r="AD36" s="442">
        <v>0</v>
      </c>
      <c r="AE36" s="441">
        <f>+AF36+AG36</f>
        <v>232592.6</v>
      </c>
      <c r="AF36" s="750">
        <v>232592.6</v>
      </c>
      <c r="AG36" s="442">
        <v>0</v>
      </c>
      <c r="AH36" s="441">
        <f>+AI36+AJ36</f>
        <v>230289.7</v>
      </c>
      <c r="AI36" s="750">
        <v>230289.7</v>
      </c>
      <c r="AJ36" s="442">
        <v>0</v>
      </c>
      <c r="AK36" s="441">
        <f>+AL36+AM36</f>
        <v>227986.81</v>
      </c>
      <c r="AL36" s="750">
        <v>227986.81</v>
      </c>
      <c r="AM36" s="442">
        <v>0</v>
      </c>
      <c r="AN36" s="441">
        <f>+AO36+AP36</f>
        <v>225683.91</v>
      </c>
      <c r="AO36" s="750">
        <v>225683.91</v>
      </c>
      <c r="AP36" s="442">
        <v>0</v>
      </c>
      <c r="AQ36" s="441">
        <f>+AR36+AS36</f>
        <v>223381.01</v>
      </c>
      <c r="AR36" s="750">
        <v>223381.01</v>
      </c>
      <c r="AS36" s="442">
        <v>0</v>
      </c>
      <c r="AT36" s="441">
        <f>+AU36+AV36</f>
        <v>221078.12</v>
      </c>
      <c r="AU36" s="750">
        <v>221078.12</v>
      </c>
      <c r="AV36" s="442">
        <v>0</v>
      </c>
      <c r="AW36" s="439">
        <f t="shared" si="10"/>
        <v>234895.49666666667</v>
      </c>
      <c r="AX36" s="440">
        <f t="shared" si="11"/>
        <v>234895.49666666667</v>
      </c>
      <c r="AY36" s="440">
        <f t="shared" si="12"/>
        <v>0</v>
      </c>
    </row>
    <row r="37" spans="1:51">
      <c r="A37" s="190">
        <v>29</v>
      </c>
      <c r="B37" s="235" t="s">
        <v>1341</v>
      </c>
      <c r="C37" s="207" t="s">
        <v>754</v>
      </c>
      <c r="D37" s="207"/>
      <c r="E37" s="207" t="s">
        <v>1009</v>
      </c>
      <c r="F37" s="236" t="s">
        <v>469</v>
      </c>
      <c r="G37" s="236" t="s">
        <v>1346</v>
      </c>
      <c r="H37" s="236"/>
      <c r="I37" s="237"/>
      <c r="J37" s="443">
        <f>+K37+L37</f>
        <v>65440.960000000101</v>
      </c>
      <c r="K37" s="751">
        <v>0</v>
      </c>
      <c r="L37" s="240">
        <v>65440.960000000101</v>
      </c>
      <c r="M37" s="443">
        <f>+N37+O37</f>
        <v>64077.61</v>
      </c>
      <c r="N37" s="751">
        <v>0</v>
      </c>
      <c r="O37" s="240">
        <v>64077.61</v>
      </c>
      <c r="P37" s="443">
        <f>+Q37+R37</f>
        <v>62714.26</v>
      </c>
      <c r="Q37" s="751">
        <v>0</v>
      </c>
      <c r="R37" s="240">
        <v>62714.26</v>
      </c>
      <c r="S37" s="443">
        <f>+T37+U37</f>
        <v>61350.9</v>
      </c>
      <c r="T37" s="751">
        <v>0</v>
      </c>
      <c r="U37" s="240">
        <v>61350.9</v>
      </c>
      <c r="V37" s="443">
        <f>+W37+X37</f>
        <v>59987.55</v>
      </c>
      <c r="W37" s="751">
        <v>0</v>
      </c>
      <c r="X37" s="240">
        <v>59987.55</v>
      </c>
      <c r="Y37" s="443">
        <f>+Z37+AA37</f>
        <v>58624.2</v>
      </c>
      <c r="Z37" s="751">
        <v>0</v>
      </c>
      <c r="AA37" s="240">
        <v>58624.2</v>
      </c>
      <c r="AB37" s="443">
        <f>+AC37+AD37</f>
        <v>57260.84</v>
      </c>
      <c r="AC37" s="751">
        <v>0</v>
      </c>
      <c r="AD37" s="240">
        <v>57260.84</v>
      </c>
      <c r="AE37" s="443">
        <f>+AF37+AG37</f>
        <v>55897.49</v>
      </c>
      <c r="AF37" s="751">
        <v>0</v>
      </c>
      <c r="AG37" s="240">
        <v>55897.49</v>
      </c>
      <c r="AH37" s="443">
        <f>+AI37+AJ37</f>
        <v>54534.14</v>
      </c>
      <c r="AI37" s="751">
        <v>0</v>
      </c>
      <c r="AJ37" s="240">
        <v>54534.14</v>
      </c>
      <c r="AK37" s="443">
        <f>+AL37+AM37</f>
        <v>53170.78</v>
      </c>
      <c r="AL37" s="751">
        <v>0</v>
      </c>
      <c r="AM37" s="240">
        <v>53170.78</v>
      </c>
      <c r="AN37" s="443">
        <f>+AO37+AP37</f>
        <v>51807.43</v>
      </c>
      <c r="AO37" s="751">
        <v>0</v>
      </c>
      <c r="AP37" s="240">
        <v>51807.43</v>
      </c>
      <c r="AQ37" s="443">
        <f>+AR37+AS37</f>
        <v>50444.08</v>
      </c>
      <c r="AR37" s="751">
        <v>0</v>
      </c>
      <c r="AS37" s="240">
        <v>50444.08</v>
      </c>
      <c r="AT37" s="443">
        <f>+AU37+AV37</f>
        <v>49080.72</v>
      </c>
      <c r="AU37" s="751">
        <v>0</v>
      </c>
      <c r="AV37" s="240">
        <v>49080.72</v>
      </c>
      <c r="AW37" s="439">
        <f t="shared" si="10"/>
        <v>57260.843333333345</v>
      </c>
      <c r="AX37" s="440">
        <f t="shared" si="11"/>
        <v>0</v>
      </c>
      <c r="AY37" s="440">
        <f t="shared" si="12"/>
        <v>57260.843333333345</v>
      </c>
    </row>
    <row r="38" spans="1:51">
      <c r="A38" s="190">
        <v>30</v>
      </c>
      <c r="B38" s="235" t="s">
        <v>1340</v>
      </c>
      <c r="C38" s="207" t="s">
        <v>754</v>
      </c>
      <c r="D38" s="207"/>
      <c r="E38" s="207" t="s">
        <v>1009</v>
      </c>
      <c r="F38" s="236" t="s">
        <v>641</v>
      </c>
      <c r="G38" s="236" t="s">
        <v>1345</v>
      </c>
      <c r="H38" s="236"/>
      <c r="I38" s="237"/>
      <c r="J38" s="443">
        <f t="shared" ref="J38:J42" si="26">+K38+L38</f>
        <v>0</v>
      </c>
      <c r="K38" s="751">
        <v>0</v>
      </c>
      <c r="L38" s="240">
        <v>0</v>
      </c>
      <c r="M38" s="443">
        <f t="shared" ref="M38:M42" si="27">+N38+O38</f>
        <v>0</v>
      </c>
      <c r="N38" s="751">
        <v>0</v>
      </c>
      <c r="O38" s="240">
        <v>0</v>
      </c>
      <c r="P38" s="443">
        <f t="shared" ref="P38:P42" si="28">+Q38+R38</f>
        <v>0</v>
      </c>
      <c r="Q38" s="751">
        <v>0</v>
      </c>
      <c r="R38" s="240">
        <v>0</v>
      </c>
      <c r="S38" s="443">
        <f t="shared" ref="S38:S42" si="29">+T38+U38</f>
        <v>0</v>
      </c>
      <c r="T38" s="751">
        <v>0</v>
      </c>
      <c r="U38" s="240">
        <v>0</v>
      </c>
      <c r="V38" s="443">
        <f t="shared" ref="V38:V42" si="30">+W38+X38</f>
        <v>0</v>
      </c>
      <c r="W38" s="751">
        <v>0</v>
      </c>
      <c r="X38" s="240">
        <v>0</v>
      </c>
      <c r="Y38" s="443">
        <f t="shared" ref="Y38:Y42" si="31">+Z38+AA38</f>
        <v>0</v>
      </c>
      <c r="Z38" s="751">
        <v>0</v>
      </c>
      <c r="AA38" s="240">
        <v>0</v>
      </c>
      <c r="AB38" s="443">
        <f t="shared" ref="AB38:AB42" si="32">+AC38+AD38</f>
        <v>0</v>
      </c>
      <c r="AC38" s="751">
        <v>0</v>
      </c>
      <c r="AD38" s="240">
        <v>0</v>
      </c>
      <c r="AE38" s="443">
        <f t="shared" ref="AE38:AE42" si="33">+AF38+AG38</f>
        <v>0</v>
      </c>
      <c r="AF38" s="751">
        <v>0</v>
      </c>
      <c r="AG38" s="240">
        <v>0</v>
      </c>
      <c r="AH38" s="443">
        <f t="shared" ref="AH38:AH42" si="34">+AI38+AJ38</f>
        <v>0</v>
      </c>
      <c r="AI38" s="751">
        <v>0</v>
      </c>
      <c r="AJ38" s="240">
        <v>0</v>
      </c>
      <c r="AK38" s="443">
        <f t="shared" ref="AK38:AK42" si="35">+AL38+AM38</f>
        <v>0</v>
      </c>
      <c r="AL38" s="751">
        <v>0</v>
      </c>
      <c r="AM38" s="240">
        <v>0</v>
      </c>
      <c r="AN38" s="443">
        <f t="shared" ref="AN38:AN42" si="36">+AO38+AP38</f>
        <v>0</v>
      </c>
      <c r="AO38" s="751">
        <v>0</v>
      </c>
      <c r="AP38" s="240">
        <v>0</v>
      </c>
      <c r="AQ38" s="443">
        <f t="shared" ref="AQ38:AQ42" si="37">+AR38+AS38</f>
        <v>0</v>
      </c>
      <c r="AR38" s="751">
        <v>0</v>
      </c>
      <c r="AS38" s="240">
        <v>0</v>
      </c>
      <c r="AT38" s="443">
        <f t="shared" ref="AT38:AT42" si="38">+AU38+AV38</f>
        <v>0</v>
      </c>
      <c r="AU38" s="751">
        <v>0</v>
      </c>
      <c r="AV38" s="240">
        <v>0</v>
      </c>
      <c r="AW38" s="439">
        <f t="shared" si="10"/>
        <v>0</v>
      </c>
      <c r="AX38" s="440">
        <f t="shared" si="11"/>
        <v>0</v>
      </c>
      <c r="AY38" s="440">
        <f t="shared" si="12"/>
        <v>0</v>
      </c>
    </row>
    <row r="39" spans="1:51">
      <c r="A39" s="190">
        <v>31</v>
      </c>
      <c r="B39" s="235" t="s">
        <v>1001</v>
      </c>
      <c r="C39" s="207" t="s">
        <v>754</v>
      </c>
      <c r="D39" s="207"/>
      <c r="E39" s="207" t="s">
        <v>1009</v>
      </c>
      <c r="F39" s="236" t="s">
        <v>641</v>
      </c>
      <c r="G39" s="236" t="s">
        <v>1002</v>
      </c>
      <c r="H39" s="236"/>
      <c r="I39" s="237"/>
      <c r="J39" s="443">
        <f t="shared" si="26"/>
        <v>-4420542.34</v>
      </c>
      <c r="K39" s="751">
        <v>0</v>
      </c>
      <c r="L39" s="240">
        <v>-4420542.34</v>
      </c>
      <c r="M39" s="443">
        <f t="shared" si="27"/>
        <v>-4433550.5599999996</v>
      </c>
      <c r="N39" s="751">
        <v>0</v>
      </c>
      <c r="O39" s="240">
        <v>-4433550.5599999996</v>
      </c>
      <c r="P39" s="443">
        <f t="shared" si="28"/>
        <v>-4446558.79</v>
      </c>
      <c r="Q39" s="751">
        <v>0</v>
      </c>
      <c r="R39" s="240">
        <v>-4446558.79</v>
      </c>
      <c r="S39" s="443">
        <f t="shared" si="29"/>
        <v>-4459567.03</v>
      </c>
      <c r="T39" s="751">
        <v>0</v>
      </c>
      <c r="U39" s="240">
        <v>-4459567.03</v>
      </c>
      <c r="V39" s="443">
        <f t="shared" si="30"/>
        <v>-4472575.25</v>
      </c>
      <c r="W39" s="751">
        <v>0</v>
      </c>
      <c r="X39" s="240">
        <v>-4472575.25</v>
      </c>
      <c r="Y39" s="443">
        <f t="shared" si="31"/>
        <v>-4485583.4800000004</v>
      </c>
      <c r="Z39" s="751">
        <v>0</v>
      </c>
      <c r="AA39" s="240">
        <v>-4485583.4800000004</v>
      </c>
      <c r="AB39" s="443">
        <f t="shared" si="32"/>
        <v>-4498591.7</v>
      </c>
      <c r="AC39" s="751">
        <v>0</v>
      </c>
      <c r="AD39" s="240">
        <v>-4498591.7</v>
      </c>
      <c r="AE39" s="443">
        <f t="shared" si="33"/>
        <v>-4511599.92</v>
      </c>
      <c r="AF39" s="751">
        <v>0</v>
      </c>
      <c r="AG39" s="240">
        <v>-4511599.92</v>
      </c>
      <c r="AH39" s="443">
        <f t="shared" si="34"/>
        <v>-4524608.1500000004</v>
      </c>
      <c r="AI39" s="751">
        <v>0</v>
      </c>
      <c r="AJ39" s="240">
        <v>-4524608.1500000004</v>
      </c>
      <c r="AK39" s="443">
        <f t="shared" si="35"/>
        <v>-4537616.3899999997</v>
      </c>
      <c r="AL39" s="751">
        <v>0</v>
      </c>
      <c r="AM39" s="240">
        <v>-4537616.3899999997</v>
      </c>
      <c r="AN39" s="443">
        <f t="shared" si="36"/>
        <v>-4550624.6100000003</v>
      </c>
      <c r="AO39" s="751">
        <v>0</v>
      </c>
      <c r="AP39" s="240">
        <v>-4550624.6100000003</v>
      </c>
      <c r="AQ39" s="443">
        <f t="shared" si="37"/>
        <v>-4641330.5999999996</v>
      </c>
      <c r="AR39" s="751">
        <v>0</v>
      </c>
      <c r="AS39" s="240">
        <v>-4641330.5999999996</v>
      </c>
      <c r="AT39" s="443">
        <f t="shared" si="38"/>
        <v>-4791249.5199999996</v>
      </c>
      <c r="AU39" s="751">
        <v>0</v>
      </c>
      <c r="AV39" s="240">
        <v>-4791249.5199999996</v>
      </c>
      <c r="AW39" s="439">
        <f t="shared" si="10"/>
        <v>-4514008.5341666667</v>
      </c>
      <c r="AX39" s="440">
        <f t="shared" si="11"/>
        <v>0</v>
      </c>
      <c r="AY39" s="440">
        <f t="shared" si="12"/>
        <v>-4514008.5341666667</v>
      </c>
    </row>
    <row r="40" spans="1:51">
      <c r="A40" s="190">
        <v>32</v>
      </c>
      <c r="B40" s="235" t="s">
        <v>1003</v>
      </c>
      <c r="C40" s="207" t="s">
        <v>754</v>
      </c>
      <c r="D40" s="207"/>
      <c r="E40" s="207" t="s">
        <v>1009</v>
      </c>
      <c r="F40" s="236" t="s">
        <v>642</v>
      </c>
      <c r="G40" s="236" t="s">
        <v>1004</v>
      </c>
      <c r="H40" s="236"/>
      <c r="I40" s="237"/>
      <c r="J40" s="443">
        <f t="shared" si="26"/>
        <v>-13433.67</v>
      </c>
      <c r="K40" s="751">
        <v>0</v>
      </c>
      <c r="L40" s="240">
        <v>-13433.67</v>
      </c>
      <c r="M40" s="443">
        <f t="shared" si="27"/>
        <v>-13372.05</v>
      </c>
      <c r="N40" s="751">
        <v>0</v>
      </c>
      <c r="O40" s="240">
        <v>-13372.05</v>
      </c>
      <c r="P40" s="443">
        <f t="shared" si="28"/>
        <v>-13310.43</v>
      </c>
      <c r="Q40" s="751">
        <v>0</v>
      </c>
      <c r="R40" s="240">
        <v>-13310.43</v>
      </c>
      <c r="S40" s="443">
        <f t="shared" si="29"/>
        <v>-13248.81</v>
      </c>
      <c r="T40" s="751">
        <v>0</v>
      </c>
      <c r="U40" s="240">
        <v>-13248.81</v>
      </c>
      <c r="V40" s="443">
        <f t="shared" si="30"/>
        <v>-13187.19</v>
      </c>
      <c r="W40" s="751">
        <v>0</v>
      </c>
      <c r="X40" s="240">
        <v>-13187.19</v>
      </c>
      <c r="Y40" s="443">
        <f t="shared" si="31"/>
        <v>-13125.57</v>
      </c>
      <c r="Z40" s="751">
        <v>0</v>
      </c>
      <c r="AA40" s="240">
        <v>-13125.57</v>
      </c>
      <c r="AB40" s="443">
        <f t="shared" si="32"/>
        <v>-13063.95</v>
      </c>
      <c r="AC40" s="751">
        <v>0</v>
      </c>
      <c r="AD40" s="240">
        <v>-13063.95</v>
      </c>
      <c r="AE40" s="443">
        <f t="shared" si="33"/>
        <v>-13002.33</v>
      </c>
      <c r="AF40" s="751">
        <v>0</v>
      </c>
      <c r="AG40" s="240">
        <v>-13002.33</v>
      </c>
      <c r="AH40" s="443">
        <f t="shared" si="34"/>
        <v>-12940.71</v>
      </c>
      <c r="AI40" s="751">
        <v>0</v>
      </c>
      <c r="AJ40" s="240">
        <v>-12940.71</v>
      </c>
      <c r="AK40" s="443">
        <f t="shared" si="35"/>
        <v>-12879.09</v>
      </c>
      <c r="AL40" s="751">
        <v>0</v>
      </c>
      <c r="AM40" s="240">
        <v>-12879.09</v>
      </c>
      <c r="AN40" s="443">
        <f t="shared" si="36"/>
        <v>-12817.47</v>
      </c>
      <c r="AO40" s="751">
        <v>0</v>
      </c>
      <c r="AP40" s="240">
        <v>-12817.47</v>
      </c>
      <c r="AQ40" s="443">
        <f t="shared" si="37"/>
        <v>-12755.85</v>
      </c>
      <c r="AR40" s="751">
        <v>0</v>
      </c>
      <c r="AS40" s="240">
        <v>-12755.85</v>
      </c>
      <c r="AT40" s="443">
        <f t="shared" si="38"/>
        <v>-12694.23</v>
      </c>
      <c r="AU40" s="751">
        <v>0</v>
      </c>
      <c r="AV40" s="240">
        <v>-12694.23</v>
      </c>
      <c r="AW40" s="439">
        <f t="shared" si="10"/>
        <v>-13063.950000000003</v>
      </c>
      <c r="AX40" s="440">
        <f t="shared" si="11"/>
        <v>0</v>
      </c>
      <c r="AY40" s="440">
        <f t="shared" si="12"/>
        <v>-13063.950000000003</v>
      </c>
    </row>
    <row r="41" spans="1:51">
      <c r="A41" s="190">
        <v>33</v>
      </c>
      <c r="B41" s="235" t="s">
        <v>1342</v>
      </c>
      <c r="C41" s="207" t="s">
        <v>754</v>
      </c>
      <c r="D41" s="207"/>
      <c r="E41" s="207" t="s">
        <v>1009</v>
      </c>
      <c r="F41" s="236" t="s">
        <v>469</v>
      </c>
      <c r="G41" s="236" t="s">
        <v>1347</v>
      </c>
      <c r="H41" s="236"/>
      <c r="I41" s="237"/>
      <c r="J41" s="443">
        <f t="shared" si="26"/>
        <v>59590.47</v>
      </c>
      <c r="K41" s="751">
        <v>0</v>
      </c>
      <c r="L41" s="240">
        <v>59590.47</v>
      </c>
      <c r="M41" s="443">
        <f t="shared" si="27"/>
        <v>59610.35</v>
      </c>
      <c r="N41" s="751">
        <v>0</v>
      </c>
      <c r="O41" s="240">
        <v>59610.35</v>
      </c>
      <c r="P41" s="443">
        <f t="shared" si="28"/>
        <v>59762.59</v>
      </c>
      <c r="Q41" s="751">
        <v>0</v>
      </c>
      <c r="R41" s="240">
        <v>59762.59</v>
      </c>
      <c r="S41" s="443">
        <f t="shared" si="29"/>
        <v>58840.15</v>
      </c>
      <c r="T41" s="751">
        <v>0</v>
      </c>
      <c r="U41" s="240">
        <v>58840.15</v>
      </c>
      <c r="V41" s="443">
        <f t="shared" si="30"/>
        <v>58767.57</v>
      </c>
      <c r="W41" s="751">
        <v>0</v>
      </c>
      <c r="X41" s="240">
        <v>58767.57</v>
      </c>
      <c r="Y41" s="443">
        <f t="shared" si="31"/>
        <v>58869.7</v>
      </c>
      <c r="Z41" s="751">
        <v>0</v>
      </c>
      <c r="AA41" s="240">
        <v>58869.7</v>
      </c>
      <c r="AB41" s="443">
        <f t="shared" si="32"/>
        <v>58869.7</v>
      </c>
      <c r="AC41" s="751">
        <v>0</v>
      </c>
      <c r="AD41" s="240">
        <v>58869.7</v>
      </c>
      <c r="AE41" s="443">
        <f t="shared" si="33"/>
        <v>58819.12</v>
      </c>
      <c r="AF41" s="751">
        <v>0</v>
      </c>
      <c r="AG41" s="240">
        <v>58819.12</v>
      </c>
      <c r="AH41" s="443">
        <f t="shared" si="34"/>
        <v>58888.59</v>
      </c>
      <c r="AI41" s="751">
        <v>0</v>
      </c>
      <c r="AJ41" s="240">
        <v>58888.59</v>
      </c>
      <c r="AK41" s="443">
        <f t="shared" si="35"/>
        <v>57753.95</v>
      </c>
      <c r="AL41" s="751">
        <v>0</v>
      </c>
      <c r="AM41" s="240">
        <v>57753.95</v>
      </c>
      <c r="AN41" s="443">
        <f t="shared" si="36"/>
        <v>57815.58</v>
      </c>
      <c r="AO41" s="751">
        <v>0</v>
      </c>
      <c r="AP41" s="240">
        <v>57815.58</v>
      </c>
      <c r="AQ41" s="443">
        <f t="shared" si="37"/>
        <v>57928.94</v>
      </c>
      <c r="AR41" s="751">
        <v>0</v>
      </c>
      <c r="AS41" s="240">
        <v>57928.94</v>
      </c>
      <c r="AT41" s="443">
        <f t="shared" si="38"/>
        <v>57928.94</v>
      </c>
      <c r="AU41" s="751">
        <v>0</v>
      </c>
      <c r="AV41" s="240">
        <v>57928.94</v>
      </c>
      <c r="AW41" s="439">
        <f t="shared" si="10"/>
        <v>58723.828749999993</v>
      </c>
      <c r="AX41" s="440">
        <f t="shared" si="11"/>
        <v>0</v>
      </c>
      <c r="AY41" s="440">
        <f t="shared" si="12"/>
        <v>58723.828749999993</v>
      </c>
    </row>
    <row r="42" spans="1:51">
      <c r="A42" s="190">
        <v>34</v>
      </c>
      <c r="B42" s="235" t="s">
        <v>1343</v>
      </c>
      <c r="C42" s="207" t="s">
        <v>754</v>
      </c>
      <c r="D42" s="207"/>
      <c r="E42" s="207" t="s">
        <v>1009</v>
      </c>
      <c r="F42" s="236" t="s">
        <v>469</v>
      </c>
      <c r="G42" s="236" t="s">
        <v>1348</v>
      </c>
      <c r="H42" s="236"/>
      <c r="I42" s="237"/>
      <c r="J42" s="443">
        <f t="shared" si="26"/>
        <v>-2574.25</v>
      </c>
      <c r="K42" s="751">
        <v>0</v>
      </c>
      <c r="L42" s="240">
        <v>-2574.25</v>
      </c>
      <c r="M42" s="443">
        <f t="shared" si="27"/>
        <v>-2526.58</v>
      </c>
      <c r="N42" s="751">
        <v>0</v>
      </c>
      <c r="O42" s="240">
        <v>-2526.58</v>
      </c>
      <c r="P42" s="443">
        <f t="shared" si="28"/>
        <v>-2478.91</v>
      </c>
      <c r="Q42" s="751">
        <v>0</v>
      </c>
      <c r="R42" s="240">
        <v>-2478.91</v>
      </c>
      <c r="S42" s="443">
        <f t="shared" si="29"/>
        <v>-2431.2399999999998</v>
      </c>
      <c r="T42" s="751">
        <v>0</v>
      </c>
      <c r="U42" s="240">
        <v>-2431.2399999999998</v>
      </c>
      <c r="V42" s="443">
        <f t="shared" si="30"/>
        <v>-2383.5700000000002</v>
      </c>
      <c r="W42" s="751">
        <v>0</v>
      </c>
      <c r="X42" s="240">
        <v>-2383.5700000000002</v>
      </c>
      <c r="Y42" s="443">
        <f t="shared" si="31"/>
        <v>-2335.9</v>
      </c>
      <c r="Z42" s="751">
        <v>0</v>
      </c>
      <c r="AA42" s="240">
        <v>-2335.9</v>
      </c>
      <c r="AB42" s="443">
        <f t="shared" si="32"/>
        <v>-2288.2199999999998</v>
      </c>
      <c r="AC42" s="751">
        <v>0</v>
      </c>
      <c r="AD42" s="240">
        <v>-2288.2199999999998</v>
      </c>
      <c r="AE42" s="443">
        <f t="shared" si="33"/>
        <v>-2240.5500000000002</v>
      </c>
      <c r="AF42" s="751">
        <v>0</v>
      </c>
      <c r="AG42" s="240">
        <v>-2240.5500000000002</v>
      </c>
      <c r="AH42" s="443">
        <f t="shared" si="34"/>
        <v>-2192.88</v>
      </c>
      <c r="AI42" s="751">
        <v>0</v>
      </c>
      <c r="AJ42" s="240">
        <v>-2192.88</v>
      </c>
      <c r="AK42" s="443">
        <f t="shared" si="35"/>
        <v>-2145.21</v>
      </c>
      <c r="AL42" s="751">
        <v>0</v>
      </c>
      <c r="AM42" s="240">
        <v>-2145.21</v>
      </c>
      <c r="AN42" s="443">
        <f t="shared" si="36"/>
        <v>-2097.54</v>
      </c>
      <c r="AO42" s="751">
        <v>0</v>
      </c>
      <c r="AP42" s="240">
        <v>-2097.54</v>
      </c>
      <c r="AQ42" s="443">
        <f t="shared" si="37"/>
        <v>-2049.87</v>
      </c>
      <c r="AR42" s="751">
        <v>0</v>
      </c>
      <c r="AS42" s="240">
        <v>-2049.87</v>
      </c>
      <c r="AT42" s="443">
        <f t="shared" si="38"/>
        <v>-2002.19</v>
      </c>
      <c r="AU42" s="751">
        <v>0</v>
      </c>
      <c r="AV42" s="240">
        <v>-2002.19</v>
      </c>
      <c r="AW42" s="439">
        <f t="shared" si="10"/>
        <v>-2288.2241666666664</v>
      </c>
      <c r="AX42" s="440">
        <f t="shared" si="11"/>
        <v>0</v>
      </c>
      <c r="AY42" s="440">
        <f t="shared" si="12"/>
        <v>-2288.2241666666664</v>
      </c>
    </row>
    <row r="43" spans="1:51" ht="16.5" thickBot="1">
      <c r="A43" s="190">
        <v>35</v>
      </c>
      <c r="B43" s="212"/>
      <c r="C43" s="207"/>
      <c r="D43" s="207"/>
      <c r="E43" s="207"/>
      <c r="F43" s="207"/>
      <c r="G43" s="207"/>
      <c r="H43" s="207"/>
      <c r="I43" s="208"/>
      <c r="J43" s="226">
        <f>SUM(J26:J42)</f>
        <v>-103174323.41000003</v>
      </c>
      <c r="K43" s="226">
        <f t="shared" ref="K43:M43" si="39">SUM(K26:K42)</f>
        <v>-76096889.010000005</v>
      </c>
      <c r="L43" s="226">
        <f t="shared" si="39"/>
        <v>-27077434.400000002</v>
      </c>
      <c r="M43" s="226">
        <f t="shared" si="39"/>
        <v>-103113826.47</v>
      </c>
      <c r="N43" s="226">
        <f t="shared" ref="N43" si="40">SUM(N26:N42)</f>
        <v>-74564232.609999999</v>
      </c>
      <c r="O43" s="226">
        <f t="shared" ref="O43:P43" si="41">SUM(O26:O42)</f>
        <v>-28549593.859999996</v>
      </c>
      <c r="P43" s="226">
        <f t="shared" si="41"/>
        <v>-103051684.97</v>
      </c>
      <c r="Q43" s="226">
        <f t="shared" ref="Q43" si="42">SUM(Q26:Q42)</f>
        <v>-74507195.480000004</v>
      </c>
      <c r="R43" s="226">
        <f t="shared" ref="R43:S43" si="43">SUM(R26:R42)</f>
        <v>-28544489.490000002</v>
      </c>
      <c r="S43" s="226">
        <f t="shared" si="43"/>
        <v>-103002896.50999999</v>
      </c>
      <c r="T43" s="226">
        <f t="shared" ref="T43" si="44">SUM(T26:T42)</f>
        <v>-74459433.410000011</v>
      </c>
      <c r="U43" s="226">
        <f t="shared" ref="U43:V43" si="45">SUM(U26:U42)</f>
        <v>-28543463.100000001</v>
      </c>
      <c r="V43" s="226">
        <f t="shared" si="45"/>
        <v>-102943548.42999998</v>
      </c>
      <c r="W43" s="226">
        <f t="shared" ref="W43" si="46">SUM(W26:W42)</f>
        <v>-74404336.609999985</v>
      </c>
      <c r="X43" s="226">
        <f t="shared" ref="X43:Y43" si="47">SUM(X26:X42)</f>
        <v>-28539211.82</v>
      </c>
      <c r="Y43" s="226">
        <f t="shared" si="47"/>
        <v>-102882029.57000002</v>
      </c>
      <c r="Z43" s="226">
        <f t="shared" ref="Z43" si="48">SUM(Z26:Z42)</f>
        <v>-76158658.930000007</v>
      </c>
      <c r="AA43" s="226">
        <f t="shared" ref="AA43:AB43" si="49">SUM(AA26:AA42)</f>
        <v>-26723370.639999997</v>
      </c>
      <c r="AB43" s="226">
        <f t="shared" si="49"/>
        <v>-102821779.62000003</v>
      </c>
      <c r="AC43" s="226">
        <f t="shared" ref="AC43" si="50">SUM(AC26:AC42)</f>
        <v>-76101451.520000011</v>
      </c>
      <c r="AD43" s="226">
        <f t="shared" ref="AD43:AE43" si="51">SUM(AD26:AD42)</f>
        <v>-26720328.099999998</v>
      </c>
      <c r="AE43" s="226">
        <f t="shared" si="51"/>
        <v>-102762158.17000003</v>
      </c>
      <c r="AF43" s="226">
        <f t="shared" ref="AF43" si="52">SUM(AF26:AF42)</f>
        <v>-76044244.12000002</v>
      </c>
      <c r="AG43" s="226">
        <f t="shared" ref="AG43:AH43" si="53">SUM(AG26:AG42)</f>
        <v>-26717914.049999997</v>
      </c>
      <c r="AH43" s="226">
        <f t="shared" si="53"/>
        <v>-102701045.06</v>
      </c>
      <c r="AI43" s="226">
        <f t="shared" ref="AI43" si="54">SUM(AI26:AI42)</f>
        <v>-75987036.719999999</v>
      </c>
      <c r="AJ43" s="226">
        <f t="shared" ref="AJ43:AK43" si="55">SUM(AJ26:AJ42)</f>
        <v>-26714008.339999996</v>
      </c>
      <c r="AK43" s="226">
        <f t="shared" si="55"/>
        <v>-102654893.3</v>
      </c>
      <c r="AL43" s="226">
        <f t="shared" ref="AL43" si="56">SUM(AL26:AL42)</f>
        <v>-75940902.049999997</v>
      </c>
      <c r="AM43" s="226">
        <f t="shared" ref="AM43:AN43" si="57">SUM(AM26:AM42)</f>
        <v>-26713991.249999996</v>
      </c>
      <c r="AN43" s="226">
        <f t="shared" si="57"/>
        <v>-102593877.55000003</v>
      </c>
      <c r="AO43" s="226">
        <f t="shared" ref="AO43" si="58">SUM(AO26:AO42)</f>
        <v>-75883694.650000006</v>
      </c>
      <c r="AP43" s="226">
        <f t="shared" ref="AP43:AQ43" si="59">SUM(AP26:AP42)</f>
        <v>-26710182.899999999</v>
      </c>
      <c r="AQ43" s="226">
        <f t="shared" si="59"/>
        <v>-103562261.98000002</v>
      </c>
      <c r="AR43" s="226">
        <f t="shared" ref="AR43" si="60">SUM(AR26:AR42)</f>
        <v>-76564459.489999995</v>
      </c>
      <c r="AS43" s="226">
        <f t="shared" ref="AS43:AT43" si="61">SUM(AS26:AS42)</f>
        <v>-26997802.489999995</v>
      </c>
      <c r="AT43" s="226">
        <f t="shared" si="61"/>
        <v>-105143322.19000001</v>
      </c>
      <c r="AU43" s="226">
        <f t="shared" ref="AU43" si="62">SUM(AU26:AU42)</f>
        <v>-77673011.209999993</v>
      </c>
      <c r="AV43" s="226">
        <f t="shared" ref="AV43" si="63">SUM(AV26:AV42)</f>
        <v>-27470310.979999997</v>
      </c>
      <c r="AW43" s="444">
        <f>SUM(AW25:AW42)</f>
        <v>-103020735.36916667</v>
      </c>
      <c r="AX43" s="542">
        <f>SUM(AX25:AX42)</f>
        <v>-75625049.641666636</v>
      </c>
      <c r="AY43" s="445">
        <f>SUM(AY25:AY42)</f>
        <v>-27395685.727499995</v>
      </c>
    </row>
    <row r="44" spans="1:51" s="24" customFormat="1" ht="17.25" thickTop="1" thickBot="1">
      <c r="A44" s="759">
        <v>30</v>
      </c>
      <c r="B44" s="518" t="s">
        <v>1018</v>
      </c>
      <c r="C44" s="519"/>
      <c r="D44" s="519"/>
      <c r="E44" s="519"/>
      <c r="F44" s="519"/>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19"/>
      <c r="AK44" s="519"/>
      <c r="AL44" s="519"/>
      <c r="AM44" s="519"/>
      <c r="AN44" s="519"/>
      <c r="AO44" s="519"/>
      <c r="AP44" s="519"/>
      <c r="AQ44" s="519"/>
      <c r="AR44" s="519"/>
      <c r="AS44" s="519"/>
      <c r="AT44" s="519"/>
      <c r="AU44" s="519"/>
      <c r="AV44" s="519"/>
      <c r="AW44" s="519"/>
      <c r="AX44" s="519"/>
      <c r="AY44" s="519"/>
    </row>
    <row r="45" spans="1:51" s="24" customFormat="1">
      <c r="A45" s="759">
        <v>31</v>
      </c>
      <c r="B45" s="24" t="s">
        <v>1399</v>
      </c>
      <c r="C45" s="519" t="s">
        <v>754</v>
      </c>
      <c r="E45" s="519"/>
      <c r="F45" s="520">
        <v>1900</v>
      </c>
      <c r="G45" s="520" t="s">
        <v>1010</v>
      </c>
      <c r="H45" s="519"/>
      <c r="I45" s="519"/>
      <c r="J45" s="521">
        <v>-7249.34</v>
      </c>
      <c r="K45" s="522"/>
      <c r="L45" s="523"/>
      <c r="M45" s="522">
        <v>-7165.15</v>
      </c>
      <c r="N45" s="522"/>
      <c r="O45" s="523"/>
      <c r="P45" s="522">
        <v>-7080.94</v>
      </c>
      <c r="Q45" s="522"/>
      <c r="R45" s="523"/>
      <c r="S45" s="522">
        <v>-6996.75</v>
      </c>
      <c r="T45" s="522"/>
      <c r="U45" s="523"/>
      <c r="V45" s="522">
        <v>-6912.56</v>
      </c>
      <c r="W45" s="522"/>
      <c r="X45" s="523"/>
      <c r="Y45" s="522">
        <v>-6828.37</v>
      </c>
      <c r="Z45" s="522"/>
      <c r="AA45" s="523"/>
      <c r="AB45" s="522">
        <v>-6744.18</v>
      </c>
      <c r="AC45" s="522"/>
      <c r="AD45" s="523"/>
      <c r="AE45" s="522">
        <v>-6659.99</v>
      </c>
      <c r="AF45" s="522"/>
      <c r="AG45" s="523"/>
      <c r="AH45" s="522">
        <v>-6575.8</v>
      </c>
      <c r="AI45" s="522"/>
      <c r="AJ45" s="523"/>
      <c r="AK45" s="522">
        <v>-6491.61</v>
      </c>
      <c r="AL45" s="522"/>
      <c r="AM45" s="523"/>
      <c r="AN45" s="522">
        <v>-6407.42</v>
      </c>
      <c r="AO45" s="522"/>
      <c r="AP45" s="523"/>
      <c r="AQ45" s="522">
        <v>-6323.23</v>
      </c>
      <c r="AR45" s="522"/>
      <c r="AS45" s="523"/>
      <c r="AT45" s="522">
        <v>-6239.04</v>
      </c>
      <c r="AU45" s="522"/>
      <c r="AV45" s="523"/>
      <c r="AW45" s="524">
        <f t="shared" ref="AW45:AW72" si="64">+(AT45+J45+(M45+P45+S45+V45+Y45+AB45+AE45+AH45+AK45+AN45+AQ45)*2)/24</f>
        <v>-6744.1824999999999</v>
      </c>
      <c r="AX45" s="519"/>
      <c r="AY45" s="519"/>
    </row>
    <row r="46" spans="1:51" s="24" customFormat="1">
      <c r="A46" s="759">
        <v>32</v>
      </c>
      <c r="B46" s="24" t="s">
        <v>1400</v>
      </c>
      <c r="C46" s="519" t="s">
        <v>754</v>
      </c>
      <c r="E46" s="519"/>
      <c r="F46" s="520" t="s">
        <v>469</v>
      </c>
      <c r="G46" s="520" t="s">
        <v>1011</v>
      </c>
      <c r="H46" s="519"/>
      <c r="I46" s="519"/>
      <c r="J46" s="525">
        <v>2574.23</v>
      </c>
      <c r="K46" s="526"/>
      <c r="L46" s="527"/>
      <c r="M46" s="526">
        <v>2526.5500000000002</v>
      </c>
      <c r="N46" s="526"/>
      <c r="O46" s="527"/>
      <c r="P46" s="526">
        <v>2478.9</v>
      </c>
      <c r="Q46" s="526"/>
      <c r="R46" s="527"/>
      <c r="S46" s="526">
        <v>2431.23</v>
      </c>
      <c r="T46" s="526"/>
      <c r="U46" s="527"/>
      <c r="V46" s="526">
        <v>2383.5700000000002</v>
      </c>
      <c r="W46" s="526"/>
      <c r="X46" s="527"/>
      <c r="Y46" s="526">
        <v>2335.9</v>
      </c>
      <c r="Z46" s="526"/>
      <c r="AA46" s="527"/>
      <c r="AB46" s="526">
        <v>2288.2199999999998</v>
      </c>
      <c r="AC46" s="526"/>
      <c r="AD46" s="527"/>
      <c r="AE46" s="526">
        <v>2240.5700000000002</v>
      </c>
      <c r="AF46" s="526"/>
      <c r="AG46" s="527"/>
      <c r="AH46" s="526">
        <v>2192.91</v>
      </c>
      <c r="AI46" s="526"/>
      <c r="AJ46" s="527"/>
      <c r="AK46" s="526">
        <v>2145.2199999999998</v>
      </c>
      <c r="AL46" s="526"/>
      <c r="AM46" s="527"/>
      <c r="AN46" s="526">
        <v>2097.56</v>
      </c>
      <c r="AO46" s="526"/>
      <c r="AP46" s="527"/>
      <c r="AQ46" s="526">
        <v>2049.87</v>
      </c>
      <c r="AR46" s="526"/>
      <c r="AS46" s="527"/>
      <c r="AT46" s="526">
        <v>2002.16</v>
      </c>
      <c r="AU46" s="526"/>
      <c r="AV46" s="527"/>
      <c r="AW46" s="528">
        <f t="shared" si="64"/>
        <v>2288.2245833333332</v>
      </c>
      <c r="AX46" s="519"/>
      <c r="AY46" s="519"/>
    </row>
    <row r="47" spans="1:51" s="24" customFormat="1">
      <c r="A47" s="190">
        <v>34</v>
      </c>
      <c r="B47" s="24" t="s">
        <v>1401</v>
      </c>
      <c r="C47" s="519" t="s">
        <v>754</v>
      </c>
      <c r="E47" s="519"/>
      <c r="F47" s="520" t="s">
        <v>469</v>
      </c>
      <c r="G47" s="520" t="s">
        <v>1012</v>
      </c>
      <c r="H47" s="519"/>
      <c r="I47" s="519"/>
      <c r="J47" s="525">
        <v>1007436.65</v>
      </c>
      <c r="K47" s="526"/>
      <c r="L47" s="527"/>
      <c r="M47" s="526">
        <v>1007188.66</v>
      </c>
      <c r="N47" s="526"/>
      <c r="O47" s="527"/>
      <c r="P47" s="526">
        <v>1005952.68</v>
      </c>
      <c r="Q47" s="526"/>
      <c r="R47" s="527"/>
      <c r="S47" s="526">
        <v>1003898.25</v>
      </c>
      <c r="T47" s="526"/>
      <c r="U47" s="527"/>
      <c r="V47" s="526">
        <v>1001032.56</v>
      </c>
      <c r="W47" s="526"/>
      <c r="X47" s="527"/>
      <c r="Y47" s="526">
        <v>418897.9</v>
      </c>
      <c r="Z47" s="526"/>
      <c r="AA47" s="527"/>
      <c r="AB47" s="526">
        <v>408252.29</v>
      </c>
      <c r="AC47" s="526"/>
      <c r="AD47" s="527"/>
      <c r="AE47" s="526">
        <v>407353.09</v>
      </c>
      <c r="AF47" s="526"/>
      <c r="AG47" s="527"/>
      <c r="AH47" s="526">
        <v>405581.88</v>
      </c>
      <c r="AI47" s="526"/>
      <c r="AJ47" s="527"/>
      <c r="AK47" s="526">
        <v>404369.91999999998</v>
      </c>
      <c r="AL47" s="526"/>
      <c r="AM47" s="527"/>
      <c r="AN47" s="526">
        <v>401034.88</v>
      </c>
      <c r="AO47" s="526"/>
      <c r="AP47" s="527"/>
      <c r="AQ47" s="526">
        <v>399699.02</v>
      </c>
      <c r="AR47" s="526"/>
      <c r="AS47" s="527"/>
      <c r="AT47" s="526">
        <v>329517.43</v>
      </c>
      <c r="AU47" s="526"/>
      <c r="AV47" s="527"/>
      <c r="AW47" s="528">
        <f t="shared" si="64"/>
        <v>627644.84749999992</v>
      </c>
      <c r="AX47" s="519"/>
      <c r="AY47" s="519"/>
    </row>
    <row r="48" spans="1:51" s="24" customFormat="1">
      <c r="A48" s="190">
        <v>35</v>
      </c>
      <c r="B48" s="24" t="s">
        <v>1402</v>
      </c>
      <c r="C48" s="519" t="s">
        <v>754</v>
      </c>
      <c r="E48" s="519"/>
      <c r="F48" s="520" t="s">
        <v>469</v>
      </c>
      <c r="G48" s="520" t="s">
        <v>200</v>
      </c>
      <c r="H48" s="519"/>
      <c r="I48" s="519"/>
      <c r="J48" s="525">
        <v>145396.82</v>
      </c>
      <c r="K48" s="526"/>
      <c r="L48" s="527"/>
      <c r="M48" s="526">
        <v>148421.38</v>
      </c>
      <c r="N48" s="526"/>
      <c r="O48" s="527"/>
      <c r="P48" s="526">
        <v>128771.35</v>
      </c>
      <c r="Q48" s="526"/>
      <c r="R48" s="527"/>
      <c r="S48" s="526">
        <v>129857.41</v>
      </c>
      <c r="T48" s="526"/>
      <c r="U48" s="527"/>
      <c r="V48" s="526">
        <v>112857.27</v>
      </c>
      <c r="W48" s="526"/>
      <c r="X48" s="527"/>
      <c r="Y48" s="526">
        <v>114490.48</v>
      </c>
      <c r="Z48" s="526"/>
      <c r="AA48" s="527"/>
      <c r="AB48" s="526">
        <v>117214.76</v>
      </c>
      <c r="AC48" s="526"/>
      <c r="AD48" s="527"/>
      <c r="AE48" s="526">
        <v>119154.55</v>
      </c>
      <c r="AF48" s="526"/>
      <c r="AG48" s="527"/>
      <c r="AH48" s="526">
        <v>121273.61</v>
      </c>
      <c r="AI48" s="526"/>
      <c r="AJ48" s="527"/>
      <c r="AK48" s="526">
        <v>120858.67</v>
      </c>
      <c r="AL48" s="526"/>
      <c r="AM48" s="527"/>
      <c r="AN48" s="526">
        <v>120291.11</v>
      </c>
      <c r="AO48" s="526"/>
      <c r="AP48" s="527"/>
      <c r="AQ48" s="526">
        <v>100655.08</v>
      </c>
      <c r="AR48" s="526"/>
      <c r="AS48" s="527"/>
      <c r="AT48" s="526">
        <v>152233.85999999999</v>
      </c>
      <c r="AU48" s="526"/>
      <c r="AV48" s="527"/>
      <c r="AW48" s="528">
        <f t="shared" si="64"/>
        <v>123555.08416666668</v>
      </c>
      <c r="AX48" s="519"/>
      <c r="AY48" s="519"/>
    </row>
    <row r="49" spans="1:51" s="24" customFormat="1">
      <c r="A49" s="190">
        <v>36</v>
      </c>
      <c r="B49" s="24" t="s">
        <v>1403</v>
      </c>
      <c r="C49" s="519" t="s">
        <v>754</v>
      </c>
      <c r="E49" s="519"/>
      <c r="F49" s="520" t="s">
        <v>469</v>
      </c>
      <c r="G49" s="520" t="s">
        <v>1013</v>
      </c>
      <c r="H49" s="519"/>
      <c r="I49" s="519"/>
      <c r="J49" s="525">
        <v>-82824.95</v>
      </c>
      <c r="K49" s="526"/>
      <c r="L49" s="527"/>
      <c r="M49" s="526">
        <v>-81863.039999999994</v>
      </c>
      <c r="N49" s="526"/>
      <c r="O49" s="527"/>
      <c r="P49" s="526">
        <v>-80901.16</v>
      </c>
      <c r="Q49" s="526"/>
      <c r="R49" s="527"/>
      <c r="S49" s="526">
        <v>-79939.23</v>
      </c>
      <c r="T49" s="526"/>
      <c r="U49" s="527"/>
      <c r="V49" s="526">
        <v>-78977.33</v>
      </c>
      <c r="W49" s="526"/>
      <c r="X49" s="527"/>
      <c r="Y49" s="526">
        <v>-78015.429999999993</v>
      </c>
      <c r="Z49" s="526"/>
      <c r="AA49" s="527"/>
      <c r="AB49" s="526">
        <v>-77053.539999999994</v>
      </c>
      <c r="AC49" s="526"/>
      <c r="AD49" s="527"/>
      <c r="AE49" s="526">
        <v>-76091.649999999994</v>
      </c>
      <c r="AF49" s="526"/>
      <c r="AG49" s="527"/>
      <c r="AH49" s="526">
        <v>-75129.75</v>
      </c>
      <c r="AI49" s="526"/>
      <c r="AJ49" s="527"/>
      <c r="AK49" s="526">
        <v>-74167.83</v>
      </c>
      <c r="AL49" s="526"/>
      <c r="AM49" s="527"/>
      <c r="AN49" s="526">
        <v>-73205.919999999998</v>
      </c>
      <c r="AO49" s="526"/>
      <c r="AP49" s="527"/>
      <c r="AQ49" s="526">
        <v>-72244.02</v>
      </c>
      <c r="AR49" s="526"/>
      <c r="AS49" s="527"/>
      <c r="AT49" s="526">
        <v>-71282.13</v>
      </c>
      <c r="AU49" s="526"/>
      <c r="AV49" s="527"/>
      <c r="AW49" s="528">
        <f t="shared" si="64"/>
        <v>-77053.536666666667</v>
      </c>
      <c r="AX49" s="519"/>
      <c r="AY49" s="519"/>
    </row>
    <row r="50" spans="1:51" s="24" customFormat="1">
      <c r="A50" s="190">
        <v>37</v>
      </c>
      <c r="B50" s="24" t="s">
        <v>1404</v>
      </c>
      <c r="C50" s="519" t="s">
        <v>754</v>
      </c>
      <c r="E50" s="519"/>
      <c r="F50" s="520" t="s">
        <v>469</v>
      </c>
      <c r="G50" s="520" t="s">
        <v>1014</v>
      </c>
      <c r="H50" s="519"/>
      <c r="I50" s="519"/>
      <c r="J50" s="525">
        <v>-314153.82</v>
      </c>
      <c r="K50" s="526"/>
      <c r="L50" s="527"/>
      <c r="M50" s="526">
        <v>-310487.56</v>
      </c>
      <c r="N50" s="526"/>
      <c r="O50" s="527"/>
      <c r="P50" s="526">
        <v>-306821.32</v>
      </c>
      <c r="Q50" s="526"/>
      <c r="R50" s="527"/>
      <c r="S50" s="526">
        <v>-303155.03999999998</v>
      </c>
      <c r="T50" s="526"/>
      <c r="U50" s="527"/>
      <c r="V50" s="526">
        <v>-299488.8</v>
      </c>
      <c r="W50" s="526"/>
      <c r="X50" s="527"/>
      <c r="Y50" s="526">
        <v>-295822.51</v>
      </c>
      <c r="Z50" s="526"/>
      <c r="AA50" s="527"/>
      <c r="AB50" s="526">
        <v>-292156.31</v>
      </c>
      <c r="AC50" s="526"/>
      <c r="AD50" s="527"/>
      <c r="AE50" s="526">
        <v>-288490.09000000003</v>
      </c>
      <c r="AF50" s="526"/>
      <c r="AG50" s="527"/>
      <c r="AH50" s="526">
        <v>-284823.81</v>
      </c>
      <c r="AI50" s="526"/>
      <c r="AJ50" s="527"/>
      <c r="AK50" s="526">
        <v>-281157.56</v>
      </c>
      <c r="AL50" s="526"/>
      <c r="AM50" s="527"/>
      <c r="AN50" s="526">
        <v>-277491.31</v>
      </c>
      <c r="AO50" s="526"/>
      <c r="AP50" s="527"/>
      <c r="AQ50" s="526">
        <v>-273824.98</v>
      </c>
      <c r="AR50" s="526"/>
      <c r="AS50" s="527"/>
      <c r="AT50" s="526">
        <v>-270158.8</v>
      </c>
      <c r="AU50" s="526"/>
      <c r="AV50" s="527"/>
      <c r="AW50" s="528">
        <f t="shared" si="64"/>
        <v>-292156.3</v>
      </c>
      <c r="AX50" s="519"/>
      <c r="AY50" s="519"/>
    </row>
    <row r="51" spans="1:51" s="24" customFormat="1">
      <c r="A51" s="190">
        <v>39</v>
      </c>
      <c r="B51" s="24" t="s">
        <v>1405</v>
      </c>
      <c r="C51" s="519" t="s">
        <v>754</v>
      </c>
      <c r="E51" s="519"/>
      <c r="F51" s="520" t="s">
        <v>469</v>
      </c>
      <c r="G51" s="520" t="s">
        <v>1015</v>
      </c>
      <c r="H51" s="519"/>
      <c r="I51" s="519"/>
      <c r="J51" s="525">
        <v>11510145.4</v>
      </c>
      <c r="K51" s="526"/>
      <c r="L51" s="527"/>
      <c r="M51" s="526">
        <v>11507312.039999999</v>
      </c>
      <c r="N51" s="526"/>
      <c r="O51" s="527"/>
      <c r="P51" s="526">
        <v>11493190.75</v>
      </c>
      <c r="Q51" s="526"/>
      <c r="R51" s="527"/>
      <c r="S51" s="526">
        <v>11469718.529999999</v>
      </c>
      <c r="T51" s="526"/>
      <c r="U51" s="527"/>
      <c r="V51" s="526">
        <v>11436977.539999999</v>
      </c>
      <c r="W51" s="526"/>
      <c r="X51" s="527"/>
      <c r="Y51" s="526">
        <v>4785984.6900000004</v>
      </c>
      <c r="Z51" s="526"/>
      <c r="AA51" s="527"/>
      <c r="AB51" s="526">
        <v>4664356.68</v>
      </c>
      <c r="AC51" s="526"/>
      <c r="AD51" s="527"/>
      <c r="AE51" s="526">
        <v>4654083.1500000004</v>
      </c>
      <c r="AF51" s="526"/>
      <c r="AG51" s="527"/>
      <c r="AH51" s="526">
        <v>4633846.72</v>
      </c>
      <c r="AI51" s="526"/>
      <c r="AJ51" s="527"/>
      <c r="AK51" s="526">
        <v>4619999.8499999996</v>
      </c>
      <c r="AL51" s="526"/>
      <c r="AM51" s="527"/>
      <c r="AN51" s="526">
        <v>4581896.46</v>
      </c>
      <c r="AO51" s="526"/>
      <c r="AP51" s="527"/>
      <c r="AQ51" s="526">
        <v>4566634.12</v>
      </c>
      <c r="AR51" s="526"/>
      <c r="AS51" s="527"/>
      <c r="AT51" s="526">
        <v>3764796.5</v>
      </c>
      <c r="AU51" s="526"/>
      <c r="AV51" s="527"/>
      <c r="AW51" s="528">
        <f t="shared" si="64"/>
        <v>7170955.9566666661</v>
      </c>
      <c r="AX51" s="519"/>
      <c r="AY51" s="519"/>
    </row>
    <row r="52" spans="1:51" s="24" customFormat="1">
      <c r="A52" s="190">
        <v>40</v>
      </c>
      <c r="B52" s="24" t="s">
        <v>1406</v>
      </c>
      <c r="C52" s="519" t="s">
        <v>754</v>
      </c>
      <c r="E52" s="519"/>
      <c r="F52" s="520" t="s">
        <v>469</v>
      </c>
      <c r="G52" s="520" t="s">
        <v>1166</v>
      </c>
      <c r="H52" s="519"/>
      <c r="I52" s="519"/>
      <c r="J52" s="529">
        <v>1661184.9</v>
      </c>
      <c r="K52" s="526"/>
      <c r="L52" s="527"/>
      <c r="M52" s="529">
        <v>1695741.01</v>
      </c>
      <c r="N52" s="526"/>
      <c r="O52" s="527"/>
      <c r="P52" s="529">
        <v>1471236.01</v>
      </c>
      <c r="Q52" s="526"/>
      <c r="R52" s="527"/>
      <c r="S52" s="529">
        <v>1483644.41</v>
      </c>
      <c r="T52" s="526"/>
      <c r="U52" s="527"/>
      <c r="V52" s="529">
        <v>1289414.67</v>
      </c>
      <c r="W52" s="526"/>
      <c r="X52" s="527"/>
      <c r="Y52" s="529">
        <v>1308074.3700000001</v>
      </c>
      <c r="Z52" s="526"/>
      <c r="AA52" s="527"/>
      <c r="AB52" s="529">
        <v>1339199.76</v>
      </c>
      <c r="AC52" s="526"/>
      <c r="AD52" s="527"/>
      <c r="AE52" s="529">
        <v>1361362.4</v>
      </c>
      <c r="AF52" s="526"/>
      <c r="AG52" s="527"/>
      <c r="AH52" s="529">
        <v>1385573.15</v>
      </c>
      <c r="AI52" s="526"/>
      <c r="AJ52" s="527"/>
      <c r="AK52" s="529">
        <v>1380832.33</v>
      </c>
      <c r="AL52" s="526"/>
      <c r="AM52" s="527"/>
      <c r="AN52" s="529">
        <v>1374347.93</v>
      </c>
      <c r="AO52" s="526"/>
      <c r="AP52" s="527"/>
      <c r="AQ52" s="529">
        <v>1150002.48</v>
      </c>
      <c r="AR52" s="526"/>
      <c r="AS52" s="527"/>
      <c r="AT52" s="529">
        <v>1739299.2</v>
      </c>
      <c r="AU52" s="526"/>
      <c r="AV52" s="526"/>
      <c r="AW52" s="530">
        <f t="shared" si="64"/>
        <v>1411639.2141666666</v>
      </c>
      <c r="AX52" s="519"/>
      <c r="AY52" s="519"/>
    </row>
    <row r="53" spans="1:51" s="24" customFormat="1">
      <c r="A53" s="190">
        <v>41</v>
      </c>
      <c r="C53" s="519"/>
      <c r="E53" s="519"/>
      <c r="F53" s="519"/>
      <c r="G53" s="519"/>
      <c r="H53" s="519"/>
      <c r="I53" s="519"/>
      <c r="J53" s="525">
        <f>SUM(J45:J52)</f>
        <v>13922509.890000001</v>
      </c>
      <c r="K53" s="526"/>
      <c r="L53" s="527"/>
      <c r="M53" s="526">
        <f>SUM(M45:M52)</f>
        <v>13961673.889999999</v>
      </c>
      <c r="N53" s="526"/>
      <c r="O53" s="526"/>
      <c r="P53" s="526">
        <f>SUM(P45:P52)</f>
        <v>13706826.27</v>
      </c>
      <c r="Q53" s="526"/>
      <c r="R53" s="526"/>
      <c r="S53" s="526">
        <f>SUM(S45:S52)</f>
        <v>13699458.809999999</v>
      </c>
      <c r="T53" s="526"/>
      <c r="U53" s="526"/>
      <c r="V53" s="526">
        <f>SUM(V45:V52)</f>
        <v>13457286.92</v>
      </c>
      <c r="W53" s="526"/>
      <c r="X53" s="526"/>
      <c r="Y53" s="526">
        <f>SUM(Y45:Y52)</f>
        <v>6249117.0300000003</v>
      </c>
      <c r="Z53" s="526"/>
      <c r="AA53" s="526"/>
      <c r="AB53" s="526">
        <f>SUM(AB45:AB52)</f>
        <v>6155357.6799999997</v>
      </c>
      <c r="AC53" s="526"/>
      <c r="AD53" s="526"/>
      <c r="AE53" s="526">
        <f>SUM(AE45:AE52)</f>
        <v>6172952.0300000012</v>
      </c>
      <c r="AF53" s="526"/>
      <c r="AG53" s="526"/>
      <c r="AH53" s="526">
        <f>SUM(AH45:AH52)</f>
        <v>6181938.9100000001</v>
      </c>
      <c r="AI53" s="526"/>
      <c r="AJ53" s="526"/>
      <c r="AK53" s="526">
        <f>SUM(AK45:AK52)</f>
        <v>6166388.9899999993</v>
      </c>
      <c r="AL53" s="526"/>
      <c r="AM53" s="526"/>
      <c r="AN53" s="526">
        <f>SUM(AN45:AN52)</f>
        <v>6122563.29</v>
      </c>
      <c r="AO53" s="526"/>
      <c r="AP53" s="526"/>
      <c r="AQ53" s="526">
        <f>SUM(AQ45:AQ52)</f>
        <v>5866648.3399999999</v>
      </c>
      <c r="AR53" s="526"/>
      <c r="AS53" s="526"/>
      <c r="AT53" s="526">
        <f>SUM(AT45:AT52)</f>
        <v>5640169.1799999997</v>
      </c>
      <c r="AU53" s="526"/>
      <c r="AV53" s="526"/>
      <c r="AW53" s="528">
        <f t="shared" si="64"/>
        <v>8960129.3079166654</v>
      </c>
      <c r="AX53" s="519"/>
      <c r="AY53" s="519"/>
    </row>
    <row r="54" spans="1:51" s="24" customFormat="1">
      <c r="A54" s="190">
        <v>42</v>
      </c>
      <c r="C54" s="519"/>
      <c r="E54" s="519"/>
      <c r="F54" s="519"/>
      <c r="G54" s="519"/>
      <c r="H54" s="519"/>
      <c r="I54" s="519"/>
      <c r="J54" s="525"/>
      <c r="K54" s="526"/>
      <c r="L54" s="527"/>
      <c r="M54" s="526"/>
      <c r="N54" s="526"/>
      <c r="O54" s="527"/>
      <c r="P54" s="526"/>
      <c r="Q54" s="526"/>
      <c r="R54" s="527"/>
      <c r="S54" s="526"/>
      <c r="T54" s="526"/>
      <c r="U54" s="527"/>
      <c r="V54" s="526"/>
      <c r="W54" s="526"/>
      <c r="X54" s="527"/>
      <c r="Y54" s="526"/>
      <c r="Z54" s="526"/>
      <c r="AA54" s="527"/>
      <c r="AB54" s="526"/>
      <c r="AC54" s="526"/>
      <c r="AD54" s="527"/>
      <c r="AE54" s="526"/>
      <c r="AF54" s="526"/>
      <c r="AG54" s="527"/>
      <c r="AH54" s="526"/>
      <c r="AI54" s="526"/>
      <c r="AJ54" s="527"/>
      <c r="AK54" s="526"/>
      <c r="AL54" s="526"/>
      <c r="AM54" s="527"/>
      <c r="AN54" s="526"/>
      <c r="AO54" s="526"/>
      <c r="AP54" s="527"/>
      <c r="AQ54" s="526"/>
      <c r="AR54" s="526"/>
      <c r="AS54" s="527"/>
      <c r="AT54" s="526"/>
      <c r="AU54" s="526"/>
      <c r="AV54" s="527"/>
      <c r="AW54" s="528"/>
      <c r="AX54" s="519"/>
      <c r="AY54" s="519"/>
    </row>
    <row r="55" spans="1:51" s="24" customFormat="1">
      <c r="A55" s="190">
        <v>43</v>
      </c>
      <c r="B55" s="24" t="s">
        <v>1399</v>
      </c>
      <c r="C55" s="519" t="s">
        <v>754</v>
      </c>
      <c r="E55" s="519"/>
      <c r="F55" s="519" t="s">
        <v>641</v>
      </c>
      <c r="G55" s="519" t="s">
        <v>1010</v>
      </c>
      <c r="H55" s="519"/>
      <c r="I55" s="519"/>
      <c r="J55" s="525">
        <v>895436.16</v>
      </c>
      <c r="K55" s="526"/>
      <c r="L55" s="527"/>
      <c r="M55" s="526">
        <v>891841.56</v>
      </c>
      <c r="N55" s="526"/>
      <c r="O55" s="527"/>
      <c r="P55" s="526">
        <v>888246.94</v>
      </c>
      <c r="Q55" s="526"/>
      <c r="R55" s="527"/>
      <c r="S55" s="526">
        <v>884652.33</v>
      </c>
      <c r="T55" s="526"/>
      <c r="U55" s="527"/>
      <c r="V55" s="526">
        <v>881057.7</v>
      </c>
      <c r="W55" s="526"/>
      <c r="X55" s="527"/>
      <c r="Y55" s="526">
        <v>877463.1</v>
      </c>
      <c r="Z55" s="526"/>
      <c r="AA55" s="527"/>
      <c r="AB55" s="526">
        <v>873868.48</v>
      </c>
      <c r="AC55" s="526"/>
      <c r="AD55" s="527"/>
      <c r="AE55" s="526">
        <v>870273.95</v>
      </c>
      <c r="AF55" s="526"/>
      <c r="AG55" s="527"/>
      <c r="AH55" s="526">
        <v>866679.33</v>
      </c>
      <c r="AI55" s="526"/>
      <c r="AJ55" s="527"/>
      <c r="AK55" s="526">
        <v>863084.72</v>
      </c>
      <c r="AL55" s="526"/>
      <c r="AM55" s="527"/>
      <c r="AN55" s="526">
        <v>859490.1</v>
      </c>
      <c r="AO55" s="526"/>
      <c r="AP55" s="527"/>
      <c r="AQ55" s="526">
        <v>855502.51</v>
      </c>
      <c r="AR55" s="526"/>
      <c r="AS55" s="527"/>
      <c r="AT55" s="526">
        <v>850011.25</v>
      </c>
      <c r="AU55" s="526"/>
      <c r="AV55" s="527"/>
      <c r="AW55" s="528">
        <f t="shared" si="64"/>
        <v>873740.36874999991</v>
      </c>
      <c r="AX55" s="519"/>
      <c r="AY55" s="519"/>
    </row>
    <row r="56" spans="1:51" s="24" customFormat="1">
      <c r="A56" s="190">
        <v>44</v>
      </c>
      <c r="B56" s="24" t="s">
        <v>1400</v>
      </c>
      <c r="C56" s="519" t="s">
        <v>754</v>
      </c>
      <c r="E56" s="519"/>
      <c r="F56" s="519" t="s">
        <v>641</v>
      </c>
      <c r="G56" s="519" t="s">
        <v>1011</v>
      </c>
      <c r="H56" s="519"/>
      <c r="I56" s="519"/>
      <c r="J56" s="525">
        <v>-798533.89</v>
      </c>
      <c r="K56" s="526"/>
      <c r="L56" s="527"/>
      <c r="M56" s="526">
        <v>-793515.04</v>
      </c>
      <c r="N56" s="526"/>
      <c r="O56" s="527"/>
      <c r="P56" s="526">
        <v>-788496.17</v>
      </c>
      <c r="Q56" s="526"/>
      <c r="R56" s="527"/>
      <c r="S56" s="526">
        <v>-783477.27</v>
      </c>
      <c r="T56" s="526"/>
      <c r="U56" s="527"/>
      <c r="V56" s="526">
        <v>-778458.43</v>
      </c>
      <c r="W56" s="526"/>
      <c r="X56" s="527"/>
      <c r="Y56" s="526">
        <v>-773439.56</v>
      </c>
      <c r="Z56" s="526"/>
      <c r="AA56" s="527"/>
      <c r="AB56" s="526">
        <v>-768420.69</v>
      </c>
      <c r="AC56" s="526"/>
      <c r="AD56" s="527"/>
      <c r="AE56" s="526">
        <v>-763401.51</v>
      </c>
      <c r="AF56" s="526"/>
      <c r="AG56" s="527"/>
      <c r="AH56" s="526">
        <v>-758382.62</v>
      </c>
      <c r="AI56" s="526"/>
      <c r="AJ56" s="527"/>
      <c r="AK56" s="526">
        <v>-753363.76</v>
      </c>
      <c r="AL56" s="526"/>
      <c r="AM56" s="527"/>
      <c r="AN56" s="526">
        <v>-748344.91</v>
      </c>
      <c r="AO56" s="526"/>
      <c r="AP56" s="527"/>
      <c r="AQ56" s="526">
        <v>-751585.57</v>
      </c>
      <c r="AR56" s="526"/>
      <c r="AS56" s="527"/>
      <c r="AT56" s="526">
        <v>-748372.32</v>
      </c>
      <c r="AU56" s="526"/>
      <c r="AV56" s="527"/>
      <c r="AW56" s="528">
        <f t="shared" si="64"/>
        <v>-769528.21958333335</v>
      </c>
      <c r="AX56" s="519"/>
      <c r="AY56" s="519"/>
    </row>
    <row r="57" spans="1:51" s="24" customFormat="1">
      <c r="A57" s="190">
        <v>46</v>
      </c>
      <c r="B57" s="24" t="s">
        <v>1401</v>
      </c>
      <c r="C57" s="519" t="s">
        <v>754</v>
      </c>
      <c r="E57" s="519"/>
      <c r="F57" s="519" t="s">
        <v>641</v>
      </c>
      <c r="G57" s="519" t="s">
        <v>1012</v>
      </c>
      <c r="H57" s="519"/>
      <c r="I57" s="519"/>
      <c r="J57" s="525">
        <v>492728.47</v>
      </c>
      <c r="K57" s="526"/>
      <c r="L57" s="527"/>
      <c r="M57" s="526">
        <v>491067.3</v>
      </c>
      <c r="N57" s="526"/>
      <c r="O57" s="527"/>
      <c r="P57" s="526">
        <v>491190.19</v>
      </c>
      <c r="Q57" s="526"/>
      <c r="R57" s="527"/>
      <c r="S57" s="526">
        <v>494874.48</v>
      </c>
      <c r="T57" s="526"/>
      <c r="U57" s="527"/>
      <c r="V57" s="526">
        <v>495326.42</v>
      </c>
      <c r="W57" s="526"/>
      <c r="X57" s="527"/>
      <c r="Y57" s="526">
        <v>494892.02</v>
      </c>
      <c r="Z57" s="526"/>
      <c r="AA57" s="527"/>
      <c r="AB57" s="526">
        <v>494416.3</v>
      </c>
      <c r="AC57" s="526"/>
      <c r="AD57" s="527"/>
      <c r="AE57" s="526">
        <v>494046.33</v>
      </c>
      <c r="AF57" s="526"/>
      <c r="AG57" s="527"/>
      <c r="AH57" s="526">
        <v>499096.44</v>
      </c>
      <c r="AI57" s="526"/>
      <c r="AJ57" s="527"/>
      <c r="AK57" s="526">
        <v>500831.95</v>
      </c>
      <c r="AL57" s="526"/>
      <c r="AM57" s="527"/>
      <c r="AN57" s="526">
        <v>501238.35</v>
      </c>
      <c r="AO57" s="526"/>
      <c r="AP57" s="527"/>
      <c r="AQ57" s="526">
        <v>428206.76</v>
      </c>
      <c r="AR57" s="526"/>
      <c r="AS57" s="527"/>
      <c r="AT57" s="526">
        <v>505732.86</v>
      </c>
      <c r="AU57" s="526"/>
      <c r="AV57" s="527"/>
      <c r="AW57" s="528">
        <f t="shared" si="64"/>
        <v>490368.1004166666</v>
      </c>
      <c r="AX57" s="519"/>
      <c r="AY57" s="519"/>
    </row>
    <row r="58" spans="1:51" s="24" customFormat="1">
      <c r="A58" s="190">
        <v>47</v>
      </c>
      <c r="B58" s="24" t="s">
        <v>1402</v>
      </c>
      <c r="C58" s="519" t="s">
        <v>754</v>
      </c>
      <c r="E58" s="519"/>
      <c r="F58" s="519" t="s">
        <v>641</v>
      </c>
      <c r="G58" s="519" t="s">
        <v>200</v>
      </c>
      <c r="H58" s="519"/>
      <c r="I58" s="519"/>
      <c r="J58" s="525">
        <v>0</v>
      </c>
      <c r="K58" s="526"/>
      <c r="L58" s="527"/>
      <c r="M58" s="526">
        <v>0</v>
      </c>
      <c r="N58" s="526"/>
      <c r="O58" s="527"/>
      <c r="P58" s="526">
        <v>0</v>
      </c>
      <c r="Q58" s="526"/>
      <c r="R58" s="527"/>
      <c r="S58" s="526">
        <v>0</v>
      </c>
      <c r="T58" s="526"/>
      <c r="U58" s="527"/>
      <c r="V58" s="526">
        <v>0</v>
      </c>
      <c r="W58" s="526"/>
      <c r="X58" s="527"/>
      <c r="Y58" s="526">
        <v>0</v>
      </c>
      <c r="Z58" s="526"/>
      <c r="AA58" s="527"/>
      <c r="AB58" s="526">
        <v>0</v>
      </c>
      <c r="AC58" s="526"/>
      <c r="AD58" s="527"/>
      <c r="AE58" s="526">
        <v>0</v>
      </c>
      <c r="AF58" s="526"/>
      <c r="AG58" s="527"/>
      <c r="AH58" s="526">
        <v>0</v>
      </c>
      <c r="AI58" s="526"/>
      <c r="AJ58" s="527"/>
      <c r="AK58" s="526">
        <v>0</v>
      </c>
      <c r="AL58" s="526"/>
      <c r="AM58" s="527"/>
      <c r="AN58" s="526">
        <v>0</v>
      </c>
      <c r="AO58" s="526"/>
      <c r="AP58" s="527"/>
      <c r="AQ58" s="526">
        <v>0</v>
      </c>
      <c r="AR58" s="526"/>
      <c r="AS58" s="527"/>
      <c r="AT58" s="526">
        <v>0</v>
      </c>
      <c r="AU58" s="526"/>
      <c r="AV58" s="527"/>
      <c r="AW58" s="528">
        <f t="shared" si="64"/>
        <v>0</v>
      </c>
      <c r="AX58" s="519"/>
      <c r="AY58" s="519"/>
    </row>
    <row r="59" spans="1:51" s="24" customFormat="1">
      <c r="A59" s="190">
        <v>48</v>
      </c>
      <c r="B59" s="24" t="s">
        <v>1403</v>
      </c>
      <c r="C59" s="519" t="s">
        <v>754</v>
      </c>
      <c r="E59" s="519"/>
      <c r="F59" s="519" t="s">
        <v>641</v>
      </c>
      <c r="G59" s="519" t="s">
        <v>1013</v>
      </c>
      <c r="H59" s="519"/>
      <c r="I59" s="519"/>
      <c r="J59" s="525">
        <v>10230519.77</v>
      </c>
      <c r="K59" s="526"/>
      <c r="L59" s="527"/>
      <c r="M59" s="526">
        <v>10189450.65</v>
      </c>
      <c r="N59" s="526"/>
      <c r="O59" s="527"/>
      <c r="P59" s="526">
        <v>10148381.529999999</v>
      </c>
      <c r="Q59" s="526"/>
      <c r="R59" s="527"/>
      <c r="S59" s="526">
        <v>10107312.4</v>
      </c>
      <c r="T59" s="526"/>
      <c r="U59" s="527"/>
      <c r="V59" s="526">
        <v>10066243.27</v>
      </c>
      <c r="W59" s="526"/>
      <c r="X59" s="527"/>
      <c r="Y59" s="526">
        <v>10025174.17</v>
      </c>
      <c r="Z59" s="526"/>
      <c r="AA59" s="527"/>
      <c r="AB59" s="526">
        <v>9984105.0199999996</v>
      </c>
      <c r="AC59" s="526"/>
      <c r="AD59" s="527"/>
      <c r="AE59" s="526">
        <v>9943036.9100000001</v>
      </c>
      <c r="AF59" s="526"/>
      <c r="AG59" s="527"/>
      <c r="AH59" s="526">
        <v>9901967.7899999991</v>
      </c>
      <c r="AI59" s="526"/>
      <c r="AJ59" s="527"/>
      <c r="AK59" s="526">
        <v>9860898.6600000001</v>
      </c>
      <c r="AL59" s="526"/>
      <c r="AM59" s="527"/>
      <c r="AN59" s="526">
        <v>9819829.5399999991</v>
      </c>
      <c r="AO59" s="526"/>
      <c r="AP59" s="527"/>
      <c r="AQ59" s="526">
        <v>9774270.3900000006</v>
      </c>
      <c r="AR59" s="526"/>
      <c r="AS59" s="527"/>
      <c r="AT59" s="526">
        <v>9711531.8900000006</v>
      </c>
      <c r="AU59" s="526"/>
      <c r="AV59" s="527"/>
      <c r="AW59" s="528">
        <f t="shared" si="64"/>
        <v>9982641.3466666639</v>
      </c>
      <c r="AX59" s="519"/>
      <c r="AY59" s="519"/>
    </row>
    <row r="60" spans="1:51" s="24" customFormat="1">
      <c r="A60" s="190">
        <v>49</v>
      </c>
      <c r="B60" s="24" t="s">
        <v>1404</v>
      </c>
      <c r="C60" s="519" t="s">
        <v>754</v>
      </c>
      <c r="E60" s="519"/>
      <c r="F60" s="519" t="s">
        <v>641</v>
      </c>
      <c r="G60" s="519" t="s">
        <v>1014</v>
      </c>
      <c r="H60" s="519"/>
      <c r="I60" s="519"/>
      <c r="J60" s="525">
        <v>39297042.920000002</v>
      </c>
      <c r="K60" s="526"/>
      <c r="L60" s="527"/>
      <c r="M60" s="526">
        <v>39137349.799999997</v>
      </c>
      <c r="N60" s="526"/>
      <c r="O60" s="527"/>
      <c r="P60" s="526">
        <v>38977656.649999999</v>
      </c>
      <c r="Q60" s="526"/>
      <c r="R60" s="527"/>
      <c r="S60" s="526">
        <v>38817963.509999998</v>
      </c>
      <c r="T60" s="526"/>
      <c r="U60" s="527"/>
      <c r="V60" s="526">
        <v>38658270.439999998</v>
      </c>
      <c r="W60" s="526"/>
      <c r="X60" s="527"/>
      <c r="Y60" s="526">
        <v>38498577.340000004</v>
      </c>
      <c r="Z60" s="526"/>
      <c r="AA60" s="527"/>
      <c r="AB60" s="526">
        <v>38338884.200000003</v>
      </c>
      <c r="AC60" s="526"/>
      <c r="AD60" s="527"/>
      <c r="AE60" s="526">
        <v>38179194.590000004</v>
      </c>
      <c r="AF60" s="526"/>
      <c r="AG60" s="527"/>
      <c r="AH60" s="526">
        <v>38019501.460000001</v>
      </c>
      <c r="AI60" s="526"/>
      <c r="AJ60" s="527"/>
      <c r="AK60" s="526">
        <v>37859808.329999998</v>
      </c>
      <c r="AL60" s="526"/>
      <c r="AM60" s="527"/>
      <c r="AN60" s="526">
        <v>37700115.229999997</v>
      </c>
      <c r="AO60" s="526"/>
      <c r="AP60" s="527"/>
      <c r="AQ60" s="526">
        <v>37530125.719999999</v>
      </c>
      <c r="AR60" s="526"/>
      <c r="AS60" s="527"/>
      <c r="AT60" s="526">
        <v>37290719.920000002</v>
      </c>
      <c r="AU60" s="526"/>
      <c r="AV60" s="527"/>
      <c r="AW60" s="528">
        <f t="shared" si="64"/>
        <v>38334277.390833333</v>
      </c>
      <c r="AX60" s="519"/>
      <c r="AY60" s="519"/>
    </row>
    <row r="61" spans="1:51" s="24" customFormat="1">
      <c r="A61" s="190">
        <v>51</v>
      </c>
      <c r="B61" s="24" t="s">
        <v>1405</v>
      </c>
      <c r="C61" s="519" t="s">
        <v>754</v>
      </c>
      <c r="E61" s="519"/>
      <c r="F61" s="519" t="s">
        <v>641</v>
      </c>
      <c r="G61" s="519" t="s">
        <v>1015</v>
      </c>
      <c r="H61" s="519"/>
      <c r="I61" s="519"/>
      <c r="J61" s="525">
        <v>347877.73</v>
      </c>
      <c r="K61" s="526"/>
      <c r="L61" s="527"/>
      <c r="M61" s="526">
        <v>328898.68</v>
      </c>
      <c r="N61" s="526"/>
      <c r="O61" s="527"/>
      <c r="P61" s="526">
        <v>330302.68</v>
      </c>
      <c r="Q61" s="526"/>
      <c r="R61" s="527"/>
      <c r="S61" s="526">
        <v>372396.35</v>
      </c>
      <c r="T61" s="526"/>
      <c r="U61" s="527"/>
      <c r="V61" s="526">
        <v>377559.63</v>
      </c>
      <c r="W61" s="526"/>
      <c r="X61" s="527"/>
      <c r="Y61" s="526">
        <v>372596.72</v>
      </c>
      <c r="Z61" s="526"/>
      <c r="AA61" s="527"/>
      <c r="AB61" s="526">
        <v>367161.58</v>
      </c>
      <c r="AC61" s="526"/>
      <c r="AD61" s="527"/>
      <c r="AE61" s="526">
        <v>362934.5</v>
      </c>
      <c r="AF61" s="526"/>
      <c r="AG61" s="527"/>
      <c r="AH61" s="526">
        <v>420633.06</v>
      </c>
      <c r="AI61" s="526"/>
      <c r="AJ61" s="527"/>
      <c r="AK61" s="526">
        <v>440461.47</v>
      </c>
      <c r="AL61" s="526"/>
      <c r="AM61" s="527"/>
      <c r="AN61" s="526">
        <v>445104.75</v>
      </c>
      <c r="AO61" s="526"/>
      <c r="AP61" s="527"/>
      <c r="AQ61" s="526">
        <v>-389294.49</v>
      </c>
      <c r="AR61" s="526"/>
      <c r="AS61" s="527"/>
      <c r="AT61" s="526">
        <v>496455.14</v>
      </c>
      <c r="AU61" s="526"/>
      <c r="AV61" s="527"/>
      <c r="AW61" s="528">
        <f t="shared" si="64"/>
        <v>320910.11374999996</v>
      </c>
      <c r="AX61" s="519"/>
      <c r="AY61" s="519"/>
    </row>
    <row r="62" spans="1:51" s="24" customFormat="1">
      <c r="A62" s="190">
        <v>52</v>
      </c>
      <c r="B62" s="24" t="s">
        <v>1406</v>
      </c>
      <c r="C62" s="519" t="s">
        <v>754</v>
      </c>
      <c r="E62" s="519"/>
      <c r="F62" s="519" t="s">
        <v>641</v>
      </c>
      <c r="G62" s="519" t="s">
        <v>1166</v>
      </c>
      <c r="H62" s="519"/>
      <c r="I62" s="519"/>
      <c r="J62" s="529">
        <v>0</v>
      </c>
      <c r="K62" s="526"/>
      <c r="L62" s="527"/>
      <c r="M62" s="525">
        <v>0</v>
      </c>
      <c r="N62" s="526"/>
      <c r="O62" s="527"/>
      <c r="P62" s="529">
        <v>0</v>
      </c>
      <c r="Q62" s="526"/>
      <c r="R62" s="527"/>
      <c r="S62" s="529">
        <v>0</v>
      </c>
      <c r="T62" s="526"/>
      <c r="U62" s="527"/>
      <c r="V62" s="529">
        <v>0</v>
      </c>
      <c r="W62" s="526"/>
      <c r="X62" s="527"/>
      <c r="Y62" s="529">
        <v>0</v>
      </c>
      <c r="Z62" s="526"/>
      <c r="AA62" s="527"/>
      <c r="AB62" s="529">
        <v>0</v>
      </c>
      <c r="AC62" s="526"/>
      <c r="AD62" s="527"/>
      <c r="AE62" s="529">
        <v>0</v>
      </c>
      <c r="AF62" s="526"/>
      <c r="AG62" s="527"/>
      <c r="AH62" s="529">
        <v>0</v>
      </c>
      <c r="AI62" s="526"/>
      <c r="AJ62" s="527"/>
      <c r="AK62" s="529">
        <v>0</v>
      </c>
      <c r="AL62" s="526"/>
      <c r="AM62" s="527"/>
      <c r="AN62" s="529">
        <v>0</v>
      </c>
      <c r="AO62" s="526"/>
      <c r="AP62" s="527"/>
      <c r="AQ62" s="529">
        <v>0</v>
      </c>
      <c r="AR62" s="526"/>
      <c r="AS62" s="527"/>
      <c r="AT62" s="529">
        <v>0</v>
      </c>
      <c r="AU62" s="526"/>
      <c r="AV62" s="527"/>
      <c r="AW62" s="531">
        <f t="shared" si="64"/>
        <v>0</v>
      </c>
      <c r="AX62" s="519"/>
      <c r="AY62" s="519"/>
    </row>
    <row r="63" spans="1:51" s="24" customFormat="1">
      <c r="A63" s="190">
        <v>53</v>
      </c>
      <c r="C63" s="519"/>
      <c r="E63" s="519"/>
      <c r="F63" s="519"/>
      <c r="G63" s="519"/>
      <c r="H63" s="519"/>
      <c r="I63" s="519"/>
      <c r="J63" s="525">
        <f>SUM(J55:J62)</f>
        <v>50465071.159999996</v>
      </c>
      <c r="K63" s="526"/>
      <c r="L63" s="526"/>
      <c r="M63" s="532">
        <f>SUM(M55:M62)</f>
        <v>50245092.949999996</v>
      </c>
      <c r="N63" s="526"/>
      <c r="O63" s="526"/>
      <c r="P63" s="526">
        <f>SUM(P55:P62)</f>
        <v>50047281.82</v>
      </c>
      <c r="Q63" s="526"/>
      <c r="R63" s="526"/>
      <c r="S63" s="526">
        <f>SUM(S55:S62)</f>
        <v>49893721.799999997</v>
      </c>
      <c r="T63" s="526"/>
      <c r="U63" s="526"/>
      <c r="V63" s="526">
        <f>SUM(V55:V62)</f>
        <v>49699999.030000001</v>
      </c>
      <c r="W63" s="526"/>
      <c r="X63" s="526"/>
      <c r="Y63" s="526">
        <f>SUM(Y55:Y62)</f>
        <v>49495263.790000007</v>
      </c>
      <c r="Z63" s="526"/>
      <c r="AA63" s="526"/>
      <c r="AB63" s="526">
        <f>SUM(AB55:AB62)</f>
        <v>49290014.890000001</v>
      </c>
      <c r="AC63" s="526"/>
      <c r="AD63" s="526"/>
      <c r="AE63" s="526">
        <f>SUM(AE55:AE62)</f>
        <v>49086084.770000003</v>
      </c>
      <c r="AF63" s="526"/>
      <c r="AG63" s="526"/>
      <c r="AH63" s="526">
        <f>SUM(AH55:AH62)</f>
        <v>48949495.460000001</v>
      </c>
      <c r="AI63" s="526"/>
      <c r="AJ63" s="526"/>
      <c r="AK63" s="526">
        <f>SUM(AK55:AK62)</f>
        <v>48771721.369999997</v>
      </c>
      <c r="AL63" s="526"/>
      <c r="AM63" s="526"/>
      <c r="AN63" s="526">
        <f>SUM(AN55:AN62)</f>
        <v>48577433.059999995</v>
      </c>
      <c r="AO63" s="526"/>
      <c r="AP63" s="526"/>
      <c r="AQ63" s="526">
        <f>SUM(AQ55:AQ62)</f>
        <v>47447225.32</v>
      </c>
      <c r="AR63" s="526"/>
      <c r="AS63" s="526"/>
      <c r="AT63" s="526">
        <f>SUM(AT55:AT62)</f>
        <v>48106078.740000002</v>
      </c>
      <c r="AU63" s="526"/>
      <c r="AV63" s="526"/>
      <c r="AW63" s="528">
        <f>SUM(AW55:AW62)</f>
        <v>49232409.100833334</v>
      </c>
      <c r="AX63" s="519"/>
      <c r="AY63" s="519"/>
    </row>
    <row r="64" spans="1:51" s="24" customFormat="1">
      <c r="A64" s="190">
        <v>54</v>
      </c>
      <c r="C64" s="519"/>
      <c r="E64" s="519"/>
      <c r="F64" s="519"/>
      <c r="G64" s="519"/>
      <c r="H64" s="519"/>
      <c r="I64" s="519"/>
      <c r="J64" s="525"/>
      <c r="K64" s="526"/>
      <c r="L64" s="527"/>
      <c r="M64" s="526"/>
      <c r="N64" s="526"/>
      <c r="O64" s="527"/>
      <c r="P64" s="526"/>
      <c r="Q64" s="526"/>
      <c r="R64" s="527"/>
      <c r="S64" s="526"/>
      <c r="T64" s="526"/>
      <c r="U64" s="527"/>
      <c r="V64" s="526"/>
      <c r="W64" s="526"/>
      <c r="X64" s="527"/>
      <c r="Y64" s="526"/>
      <c r="Z64" s="526"/>
      <c r="AA64" s="527"/>
      <c r="AB64" s="526"/>
      <c r="AC64" s="526"/>
      <c r="AD64" s="527"/>
      <c r="AE64" s="526"/>
      <c r="AF64" s="526"/>
      <c r="AG64" s="527"/>
      <c r="AH64" s="526"/>
      <c r="AI64" s="526"/>
      <c r="AJ64" s="527"/>
      <c r="AK64" s="526"/>
      <c r="AL64" s="526"/>
      <c r="AM64" s="527"/>
      <c r="AN64" s="526"/>
      <c r="AO64" s="526"/>
      <c r="AP64" s="527"/>
      <c r="AQ64" s="526"/>
      <c r="AR64" s="526"/>
      <c r="AS64" s="527"/>
      <c r="AT64" s="526"/>
      <c r="AU64" s="526"/>
      <c r="AV64" s="527"/>
      <c r="AW64" s="528"/>
      <c r="AX64" s="519"/>
      <c r="AY64" s="519"/>
    </row>
    <row r="65" spans="1:51" s="24" customFormat="1">
      <c r="A65" s="190">
        <v>55</v>
      </c>
      <c r="B65" s="24" t="s">
        <v>1399</v>
      </c>
      <c r="C65" s="519" t="s">
        <v>754</v>
      </c>
      <c r="E65" s="519"/>
      <c r="F65" s="519" t="s">
        <v>642</v>
      </c>
      <c r="G65" s="519" t="s">
        <v>1010</v>
      </c>
      <c r="H65" s="519"/>
      <c r="I65" s="526"/>
      <c r="J65" s="525">
        <v>167522.1</v>
      </c>
      <c r="K65" s="526"/>
      <c r="L65" s="527"/>
      <c r="M65" s="526">
        <v>165691.44</v>
      </c>
      <c r="N65" s="526"/>
      <c r="O65" s="527"/>
      <c r="P65" s="526">
        <v>163860.78</v>
      </c>
      <c r="Q65" s="526"/>
      <c r="R65" s="527"/>
      <c r="S65" s="526">
        <v>162030.10999999999</v>
      </c>
      <c r="T65" s="526"/>
      <c r="U65" s="527"/>
      <c r="V65" s="526">
        <v>160199.45000000001</v>
      </c>
      <c r="W65" s="526"/>
      <c r="X65" s="527"/>
      <c r="Y65" s="526">
        <v>158368.76999999999</v>
      </c>
      <c r="Z65" s="526"/>
      <c r="AA65" s="527"/>
      <c r="AB65" s="526">
        <v>156538.10999999999</v>
      </c>
      <c r="AC65" s="526"/>
      <c r="AD65" s="527"/>
      <c r="AE65" s="526">
        <v>154707.46</v>
      </c>
      <c r="AF65" s="526"/>
      <c r="AG65" s="527"/>
      <c r="AH65" s="526">
        <v>152876.79</v>
      </c>
      <c r="AI65" s="526"/>
      <c r="AJ65" s="527"/>
      <c r="AK65" s="526">
        <v>151046.13</v>
      </c>
      <c r="AL65" s="526"/>
      <c r="AM65" s="527"/>
      <c r="AN65" s="526">
        <v>149215.47</v>
      </c>
      <c r="AO65" s="526"/>
      <c r="AP65" s="527"/>
      <c r="AQ65" s="526">
        <v>147384.79999999999</v>
      </c>
      <c r="AR65" s="526"/>
      <c r="AS65" s="527"/>
      <c r="AT65" s="526">
        <v>145554.14000000001</v>
      </c>
      <c r="AU65" s="526"/>
      <c r="AV65" s="527"/>
      <c r="AW65" s="528">
        <f t="shared" si="64"/>
        <v>156538.11916666667</v>
      </c>
      <c r="AX65" s="519"/>
      <c r="AY65" s="519"/>
    </row>
    <row r="66" spans="1:51" s="24" customFormat="1">
      <c r="A66" s="190">
        <v>56</v>
      </c>
      <c r="B66" s="24" t="s">
        <v>1400</v>
      </c>
      <c r="C66" s="519" t="s">
        <v>754</v>
      </c>
      <c r="E66" s="519"/>
      <c r="F66" s="519" t="s">
        <v>642</v>
      </c>
      <c r="G66" s="519" t="s">
        <v>1011</v>
      </c>
      <c r="H66" s="519"/>
      <c r="I66" s="526"/>
      <c r="J66" s="525">
        <v>-94506.66</v>
      </c>
      <c r="K66" s="526"/>
      <c r="L66" s="527"/>
      <c r="M66" s="526">
        <v>-92537.75</v>
      </c>
      <c r="N66" s="526"/>
      <c r="O66" s="527"/>
      <c r="P66" s="526">
        <v>-90568.86</v>
      </c>
      <c r="Q66" s="526"/>
      <c r="R66" s="527"/>
      <c r="S66" s="526">
        <v>-88599.98</v>
      </c>
      <c r="T66" s="526"/>
      <c r="U66" s="527"/>
      <c r="V66" s="526">
        <v>-86631.06</v>
      </c>
      <c r="W66" s="526"/>
      <c r="X66" s="527"/>
      <c r="Y66" s="526">
        <v>-84662.19</v>
      </c>
      <c r="Z66" s="526"/>
      <c r="AA66" s="527"/>
      <c r="AB66" s="526">
        <v>-82693.31</v>
      </c>
      <c r="AC66" s="526"/>
      <c r="AD66" s="527"/>
      <c r="AE66" s="526">
        <v>-80724.41</v>
      </c>
      <c r="AF66" s="526"/>
      <c r="AG66" s="527"/>
      <c r="AH66" s="526">
        <v>-78755.520000000004</v>
      </c>
      <c r="AI66" s="526"/>
      <c r="AJ66" s="527"/>
      <c r="AK66" s="526">
        <v>-76786.63</v>
      </c>
      <c r="AL66" s="526"/>
      <c r="AM66" s="527"/>
      <c r="AN66" s="526">
        <v>-74817.77</v>
      </c>
      <c r="AO66" s="526"/>
      <c r="AP66" s="527"/>
      <c r="AQ66" s="526">
        <v>-72848.850000000006</v>
      </c>
      <c r="AR66" s="526"/>
      <c r="AS66" s="527"/>
      <c r="AT66" s="526">
        <v>-70879.97</v>
      </c>
      <c r="AU66" s="526"/>
      <c r="AV66" s="527"/>
      <c r="AW66" s="528">
        <f t="shared" si="64"/>
        <v>-82693.303750000006</v>
      </c>
      <c r="AX66" s="519"/>
      <c r="AY66" s="519"/>
    </row>
    <row r="67" spans="1:51" s="24" customFormat="1">
      <c r="A67" s="190">
        <v>58</v>
      </c>
      <c r="B67" s="24" t="s">
        <v>1401</v>
      </c>
      <c r="C67" s="519" t="s">
        <v>754</v>
      </c>
      <c r="E67" s="519"/>
      <c r="F67" s="519" t="s">
        <v>642</v>
      </c>
      <c r="G67" s="519" t="s">
        <v>1012</v>
      </c>
      <c r="H67" s="519"/>
      <c r="I67" s="526"/>
      <c r="J67" s="525">
        <v>-3065780.91</v>
      </c>
      <c r="K67" s="526"/>
      <c r="L67" s="527"/>
      <c r="M67" s="526">
        <v>-3181548.37</v>
      </c>
      <c r="N67" s="526"/>
      <c r="O67" s="527"/>
      <c r="P67" s="526">
        <v>-3564694.16</v>
      </c>
      <c r="Q67" s="526"/>
      <c r="R67" s="527"/>
      <c r="S67" s="526">
        <v>-3952969.04</v>
      </c>
      <c r="T67" s="526"/>
      <c r="U67" s="527"/>
      <c r="V67" s="526">
        <v>-3937409.17</v>
      </c>
      <c r="W67" s="526"/>
      <c r="X67" s="527"/>
      <c r="Y67" s="526">
        <v>-3324360.74</v>
      </c>
      <c r="Z67" s="526"/>
      <c r="AA67" s="527"/>
      <c r="AB67" s="526">
        <v>-3364355.18</v>
      </c>
      <c r="AC67" s="526"/>
      <c r="AD67" s="527"/>
      <c r="AE67" s="526">
        <v>-3430173.01</v>
      </c>
      <c r="AF67" s="526"/>
      <c r="AG67" s="527"/>
      <c r="AH67" s="526">
        <v>-3503736.18</v>
      </c>
      <c r="AI67" s="526"/>
      <c r="AJ67" s="527"/>
      <c r="AK67" s="526">
        <v>-3380958.09</v>
      </c>
      <c r="AL67" s="526"/>
      <c r="AM67" s="527"/>
      <c r="AN67" s="526">
        <v>-3390779.09</v>
      </c>
      <c r="AO67" s="526"/>
      <c r="AP67" s="527"/>
      <c r="AQ67" s="526">
        <v>-3320611.22</v>
      </c>
      <c r="AR67" s="526"/>
      <c r="AS67" s="527"/>
      <c r="AT67" s="526">
        <v>-3272468.91</v>
      </c>
      <c r="AU67" s="526"/>
      <c r="AV67" s="527"/>
      <c r="AW67" s="528">
        <f t="shared" si="64"/>
        <v>-3460059.9299999997</v>
      </c>
      <c r="AX67" s="519"/>
      <c r="AY67" s="519"/>
    </row>
    <row r="68" spans="1:51" s="24" customFormat="1">
      <c r="A68" s="190">
        <v>59</v>
      </c>
      <c r="B68" s="24" t="s">
        <v>1402</v>
      </c>
      <c r="C68" s="519" t="s">
        <v>754</v>
      </c>
      <c r="E68" s="519"/>
      <c r="F68" s="519" t="s">
        <v>642</v>
      </c>
      <c r="G68" s="519" t="s">
        <v>200</v>
      </c>
      <c r="H68" s="519"/>
      <c r="I68" s="526"/>
      <c r="J68" s="525">
        <v>0</v>
      </c>
      <c r="K68" s="526"/>
      <c r="L68" s="527"/>
      <c r="M68" s="526">
        <v>0</v>
      </c>
      <c r="N68" s="526"/>
      <c r="O68" s="527"/>
      <c r="P68" s="526">
        <v>0</v>
      </c>
      <c r="Q68" s="526"/>
      <c r="R68" s="527"/>
      <c r="S68" s="526">
        <v>0</v>
      </c>
      <c r="T68" s="526"/>
      <c r="U68" s="527"/>
      <c r="V68" s="526">
        <v>0</v>
      </c>
      <c r="W68" s="526"/>
      <c r="X68" s="527"/>
      <c r="Y68" s="526">
        <v>0</v>
      </c>
      <c r="Z68" s="526"/>
      <c r="AA68" s="527"/>
      <c r="AB68" s="526">
        <v>0</v>
      </c>
      <c r="AC68" s="526"/>
      <c r="AD68" s="527"/>
      <c r="AE68" s="526">
        <v>0</v>
      </c>
      <c r="AF68" s="526"/>
      <c r="AG68" s="527"/>
      <c r="AH68" s="526">
        <v>0</v>
      </c>
      <c r="AI68" s="526"/>
      <c r="AJ68" s="527"/>
      <c r="AK68" s="526">
        <v>0</v>
      </c>
      <c r="AL68" s="526"/>
      <c r="AM68" s="527"/>
      <c r="AN68" s="526">
        <v>0</v>
      </c>
      <c r="AO68" s="526"/>
      <c r="AP68" s="527"/>
      <c r="AQ68" s="526">
        <v>0</v>
      </c>
      <c r="AR68" s="526"/>
      <c r="AS68" s="527"/>
      <c r="AT68" s="526">
        <v>0</v>
      </c>
      <c r="AU68" s="526"/>
      <c r="AV68" s="527"/>
      <c r="AW68" s="528">
        <f t="shared" si="64"/>
        <v>0</v>
      </c>
      <c r="AX68" s="519"/>
      <c r="AY68" s="519"/>
    </row>
    <row r="69" spans="1:51" s="24" customFormat="1">
      <c r="A69" s="190">
        <v>60</v>
      </c>
      <c r="B69" s="24" t="s">
        <v>1403</v>
      </c>
      <c r="C69" s="519" t="s">
        <v>754</v>
      </c>
      <c r="E69" s="519"/>
      <c r="F69" s="519" t="s">
        <v>642</v>
      </c>
      <c r="G69" s="519" t="s">
        <v>1013</v>
      </c>
      <c r="H69" s="519"/>
      <c r="I69" s="526"/>
      <c r="J69" s="525">
        <v>1913970.3</v>
      </c>
      <c r="K69" s="526"/>
      <c r="L69" s="527"/>
      <c r="M69" s="526">
        <v>1893054.62</v>
      </c>
      <c r="N69" s="526"/>
      <c r="O69" s="526"/>
      <c r="P69" s="525">
        <v>1872138.94</v>
      </c>
      <c r="Q69" s="526"/>
      <c r="R69" s="527"/>
      <c r="S69" s="526">
        <v>1851223.29</v>
      </c>
      <c r="T69" s="526"/>
      <c r="U69" s="527"/>
      <c r="V69" s="526">
        <v>1830307.64</v>
      </c>
      <c r="W69" s="526"/>
      <c r="X69" s="527"/>
      <c r="Y69" s="526">
        <v>1809391.99</v>
      </c>
      <c r="Z69" s="526"/>
      <c r="AA69" s="527"/>
      <c r="AB69" s="526">
        <v>1788476.31</v>
      </c>
      <c r="AC69" s="526"/>
      <c r="AD69" s="527"/>
      <c r="AE69" s="526">
        <v>1767560.66</v>
      </c>
      <c r="AF69" s="526"/>
      <c r="AG69" s="527"/>
      <c r="AH69" s="526">
        <v>1746645</v>
      </c>
      <c r="AI69" s="526"/>
      <c r="AJ69" s="527"/>
      <c r="AK69" s="526">
        <v>1725729.32</v>
      </c>
      <c r="AL69" s="526"/>
      <c r="AM69" s="527"/>
      <c r="AN69" s="526">
        <v>1704813.64</v>
      </c>
      <c r="AO69" s="526"/>
      <c r="AP69" s="527"/>
      <c r="AQ69" s="526">
        <v>1683897.97</v>
      </c>
      <c r="AR69" s="526"/>
      <c r="AS69" s="526"/>
      <c r="AT69" s="525">
        <v>1662982.3</v>
      </c>
      <c r="AU69" s="526"/>
      <c r="AV69" s="527"/>
      <c r="AW69" s="528">
        <f t="shared" si="64"/>
        <v>1788476.3066666666</v>
      </c>
      <c r="AX69" s="519"/>
      <c r="AY69" s="519"/>
    </row>
    <row r="70" spans="1:51" s="24" customFormat="1">
      <c r="A70" s="190">
        <v>61</v>
      </c>
      <c r="B70" s="24" t="s">
        <v>1404</v>
      </c>
      <c r="C70" s="519" t="s">
        <v>754</v>
      </c>
      <c r="E70" s="519"/>
      <c r="F70" s="519" t="s">
        <v>642</v>
      </c>
      <c r="G70" s="519" t="s">
        <v>1014</v>
      </c>
      <c r="H70" s="519"/>
      <c r="I70" s="526"/>
      <c r="J70" s="525">
        <v>7294680.6500000004</v>
      </c>
      <c r="K70" s="526"/>
      <c r="L70" s="527"/>
      <c r="M70" s="526">
        <v>7214029.0300000003</v>
      </c>
      <c r="N70" s="526"/>
      <c r="O70" s="526"/>
      <c r="P70" s="525">
        <v>7133377.3700000001</v>
      </c>
      <c r="Q70" s="526"/>
      <c r="R70" s="527"/>
      <c r="S70" s="526">
        <v>7052725.7300000004</v>
      </c>
      <c r="T70" s="526"/>
      <c r="U70" s="527"/>
      <c r="V70" s="526">
        <v>6972074.0999999996</v>
      </c>
      <c r="W70" s="526"/>
      <c r="X70" s="527"/>
      <c r="Y70" s="526">
        <v>6891422.5099999998</v>
      </c>
      <c r="Z70" s="526"/>
      <c r="AA70" s="527"/>
      <c r="AB70" s="526">
        <v>6810770.9199999999</v>
      </c>
      <c r="AC70" s="526"/>
      <c r="AD70" s="527"/>
      <c r="AE70" s="526">
        <v>6730119.3099999996</v>
      </c>
      <c r="AF70" s="526"/>
      <c r="AG70" s="527"/>
      <c r="AH70" s="526">
        <v>6649467.6600000001</v>
      </c>
      <c r="AI70" s="526"/>
      <c r="AJ70" s="527"/>
      <c r="AK70" s="526">
        <v>6568816.04</v>
      </c>
      <c r="AL70" s="526"/>
      <c r="AM70" s="527"/>
      <c r="AN70" s="526">
        <v>6488164.3399999999</v>
      </c>
      <c r="AO70" s="526"/>
      <c r="AP70" s="527"/>
      <c r="AQ70" s="526">
        <v>6407512.7000000002</v>
      </c>
      <c r="AR70" s="526"/>
      <c r="AS70" s="526"/>
      <c r="AT70" s="525">
        <v>6326861.0300000003</v>
      </c>
      <c r="AU70" s="526"/>
      <c r="AV70" s="527"/>
      <c r="AW70" s="528">
        <f t="shared" si="64"/>
        <v>6810770.8791666673</v>
      </c>
      <c r="AX70" s="519"/>
      <c r="AY70" s="519"/>
    </row>
    <row r="71" spans="1:51" s="24" customFormat="1">
      <c r="A71" s="190">
        <v>63</v>
      </c>
      <c r="B71" s="24" t="s">
        <v>1405</v>
      </c>
      <c r="C71" s="519" t="s">
        <v>754</v>
      </c>
      <c r="E71" s="519"/>
      <c r="F71" s="519" t="s">
        <v>642</v>
      </c>
      <c r="G71" s="519" t="s">
        <v>1015</v>
      </c>
      <c r="H71" s="519"/>
      <c r="I71" s="526"/>
      <c r="J71" s="525">
        <v>-40255923.640000001</v>
      </c>
      <c r="K71" s="526"/>
      <c r="L71" s="527"/>
      <c r="M71" s="526">
        <v>-41475441.259999998</v>
      </c>
      <c r="N71" s="526"/>
      <c r="O71" s="527"/>
      <c r="P71" s="526">
        <v>-45749804.460000001</v>
      </c>
      <c r="Q71" s="526"/>
      <c r="R71" s="527"/>
      <c r="S71" s="526">
        <v>-50082768.520000003</v>
      </c>
      <c r="T71" s="526"/>
      <c r="U71" s="527"/>
      <c r="V71" s="526">
        <v>-49801847.409999996</v>
      </c>
      <c r="W71" s="526"/>
      <c r="X71" s="527"/>
      <c r="Y71" s="526">
        <v>-42694512.810000002</v>
      </c>
      <c r="Z71" s="526"/>
      <c r="AA71" s="527"/>
      <c r="AB71" s="526">
        <v>-43048310.259999998</v>
      </c>
      <c r="AC71" s="526"/>
      <c r="AD71" s="527"/>
      <c r="AE71" s="526">
        <v>-43697144.140000001</v>
      </c>
      <c r="AF71" s="526"/>
      <c r="AG71" s="527"/>
      <c r="AH71" s="526">
        <v>-44434469.880000003</v>
      </c>
      <c r="AI71" s="526"/>
      <c r="AJ71" s="527"/>
      <c r="AK71" s="526">
        <v>-42928561.740000002</v>
      </c>
      <c r="AL71" s="526"/>
      <c r="AM71" s="527"/>
      <c r="AN71" s="526">
        <v>-42937621.810000002</v>
      </c>
      <c r="AO71" s="526"/>
      <c r="AP71" s="527"/>
      <c r="AQ71" s="526">
        <v>-42032794.729999997</v>
      </c>
      <c r="AR71" s="526"/>
      <c r="AS71" s="526"/>
      <c r="AT71" s="525">
        <v>-41379613.530000001</v>
      </c>
      <c r="AU71" s="526"/>
      <c r="AV71" s="527"/>
      <c r="AW71" s="528">
        <f t="shared" si="64"/>
        <v>-44141753.800416671</v>
      </c>
      <c r="AX71" s="519"/>
      <c r="AY71" s="519"/>
    </row>
    <row r="72" spans="1:51" s="24" customFormat="1" ht="16.5" thickBot="1">
      <c r="A72" s="190">
        <v>64</v>
      </c>
      <c r="B72" s="24" t="s">
        <v>1406</v>
      </c>
      <c r="C72" s="519" t="s">
        <v>754</v>
      </c>
      <c r="E72" s="519"/>
      <c r="F72" s="519" t="s">
        <v>642</v>
      </c>
      <c r="G72" s="519" t="s">
        <v>1166</v>
      </c>
      <c r="H72" s="519"/>
      <c r="I72" s="526"/>
      <c r="J72" s="525">
        <v>0</v>
      </c>
      <c r="K72" s="526"/>
      <c r="L72" s="527"/>
      <c r="M72" s="525">
        <v>0</v>
      </c>
      <c r="N72" s="526"/>
      <c r="O72" s="527"/>
      <c r="P72" s="525">
        <v>0</v>
      </c>
      <c r="Q72" s="526"/>
      <c r="R72" s="527"/>
      <c r="S72" s="525">
        <v>0</v>
      </c>
      <c r="T72" s="526"/>
      <c r="U72" s="527"/>
      <c r="V72" s="525">
        <v>0</v>
      </c>
      <c r="W72" s="526"/>
      <c r="X72" s="527"/>
      <c r="Y72" s="525">
        <v>0</v>
      </c>
      <c r="Z72" s="526"/>
      <c r="AA72" s="527"/>
      <c r="AB72" s="525">
        <v>0</v>
      </c>
      <c r="AC72" s="526"/>
      <c r="AD72" s="527"/>
      <c r="AE72" s="525">
        <v>0</v>
      </c>
      <c r="AF72" s="526"/>
      <c r="AG72" s="527"/>
      <c r="AH72" s="525">
        <v>0</v>
      </c>
      <c r="AI72" s="526"/>
      <c r="AJ72" s="527"/>
      <c r="AK72" s="525">
        <v>0</v>
      </c>
      <c r="AL72" s="526"/>
      <c r="AM72" s="527"/>
      <c r="AN72" s="525">
        <v>0</v>
      </c>
      <c r="AO72" s="526"/>
      <c r="AP72" s="527"/>
      <c r="AQ72" s="525">
        <v>0</v>
      </c>
      <c r="AR72" s="526"/>
      <c r="AS72" s="527"/>
      <c r="AT72" s="525">
        <v>0</v>
      </c>
      <c r="AU72" s="526"/>
      <c r="AV72" s="527"/>
      <c r="AW72" s="528">
        <f t="shared" si="64"/>
        <v>0</v>
      </c>
      <c r="AX72" s="519"/>
      <c r="AY72" s="519"/>
    </row>
    <row r="73" spans="1:51" s="24" customFormat="1">
      <c r="A73" s="190">
        <v>65</v>
      </c>
      <c r="C73" s="519"/>
      <c r="E73" s="519"/>
      <c r="F73" s="519"/>
      <c r="G73" s="519"/>
      <c r="H73" s="519"/>
      <c r="I73" s="519"/>
      <c r="J73" s="533">
        <f>SUM(J65:J72)</f>
        <v>-34040038.159999996</v>
      </c>
      <c r="K73" s="526"/>
      <c r="L73" s="526"/>
      <c r="M73" s="533">
        <f>SUM(M65:M72)</f>
        <v>-35476752.289999999</v>
      </c>
      <c r="N73" s="526"/>
      <c r="O73" s="526"/>
      <c r="P73" s="533">
        <f>SUM(P65:P72)</f>
        <v>-40235690.390000001</v>
      </c>
      <c r="Q73" s="526"/>
      <c r="R73" s="526"/>
      <c r="S73" s="533">
        <f>SUM(S65:S72)</f>
        <v>-45058358.410000004</v>
      </c>
      <c r="T73" s="526"/>
      <c r="U73" s="526"/>
      <c r="V73" s="533">
        <f>SUM(V65:V72)</f>
        <v>-44863306.449999996</v>
      </c>
      <c r="W73" s="526"/>
      <c r="X73" s="526"/>
      <c r="Y73" s="533">
        <f>SUM(Y65:Y72)</f>
        <v>-37244352.469999999</v>
      </c>
      <c r="Z73" s="526"/>
      <c r="AA73" s="526"/>
      <c r="AB73" s="533">
        <f>SUM(AB65:AB72)</f>
        <v>-37739573.409999996</v>
      </c>
      <c r="AC73" s="526"/>
      <c r="AD73" s="526"/>
      <c r="AE73" s="533">
        <f>SUM(AE65:AE72)</f>
        <v>-38555654.130000003</v>
      </c>
      <c r="AF73" s="526"/>
      <c r="AG73" s="526"/>
      <c r="AH73" s="533">
        <v>-2162554.64</v>
      </c>
      <c r="AI73" s="526"/>
      <c r="AJ73" s="526"/>
      <c r="AK73" s="533">
        <v>-2157345.3199999998</v>
      </c>
      <c r="AL73" s="526"/>
      <c r="AM73" s="526"/>
      <c r="AN73" s="533">
        <v>-2157203.5499999998</v>
      </c>
      <c r="AO73" s="526"/>
      <c r="AP73" s="526"/>
      <c r="AQ73" s="533">
        <v>-2157061.7999999998</v>
      </c>
      <c r="AR73" s="526"/>
      <c r="AS73" s="526"/>
      <c r="AT73" s="533">
        <f>SUM(AT65:AT72)</f>
        <v>-36587564.939999998</v>
      </c>
      <c r="AU73" s="526"/>
      <c r="AV73" s="526"/>
      <c r="AW73" s="534">
        <f>SUM(AW65:AW72)</f>
        <v>-38928721.729166672</v>
      </c>
      <c r="AX73" s="519"/>
      <c r="AY73" s="519"/>
    </row>
    <row r="74" spans="1:51" s="24" customFormat="1">
      <c r="A74" s="190">
        <v>66</v>
      </c>
      <c r="B74" s="519"/>
      <c r="C74" s="519"/>
      <c r="D74" s="519"/>
      <c r="E74" s="519"/>
      <c r="F74" s="519"/>
      <c r="G74" s="519"/>
      <c r="H74" s="519"/>
      <c r="I74" s="519"/>
      <c r="J74" s="535"/>
      <c r="K74" s="526"/>
      <c r="L74" s="526"/>
      <c r="M74" s="535"/>
      <c r="N74" s="526"/>
      <c r="O74" s="526"/>
      <c r="P74" s="535"/>
      <c r="Q74" s="526"/>
      <c r="R74" s="526"/>
      <c r="S74" s="535"/>
      <c r="T74" s="526"/>
      <c r="U74" s="526"/>
      <c r="V74" s="535"/>
      <c r="W74" s="526"/>
      <c r="X74" s="526"/>
      <c r="Y74" s="535"/>
      <c r="Z74" s="526"/>
      <c r="AA74" s="526"/>
      <c r="AB74" s="535"/>
      <c r="AC74" s="526"/>
      <c r="AD74" s="526"/>
      <c r="AE74" s="535"/>
      <c r="AF74" s="526"/>
      <c r="AG74" s="526"/>
      <c r="AH74" s="535"/>
      <c r="AI74" s="526"/>
      <c r="AJ74" s="526"/>
      <c r="AK74" s="535"/>
      <c r="AL74" s="526"/>
      <c r="AM74" s="526"/>
      <c r="AN74" s="535"/>
      <c r="AO74" s="526"/>
      <c r="AP74" s="526"/>
      <c r="AQ74" s="535"/>
      <c r="AR74" s="526"/>
      <c r="AS74" s="526"/>
      <c r="AT74" s="535"/>
      <c r="AU74" s="526"/>
      <c r="AV74" s="526"/>
      <c r="AW74" s="535"/>
      <c r="AX74" s="519"/>
      <c r="AY74" s="519"/>
    </row>
    <row r="75" spans="1:51" s="24" customFormat="1">
      <c r="A75" s="190">
        <v>67</v>
      </c>
      <c r="B75" s="519"/>
      <c r="C75" s="519"/>
      <c r="D75" s="519"/>
      <c r="E75" s="519"/>
      <c r="F75" s="519"/>
      <c r="G75" s="519"/>
      <c r="H75" s="519"/>
      <c r="I75" s="519"/>
      <c r="J75" s="536">
        <f>+J43+J53+J63+J73</f>
        <v>-72826780.520000026</v>
      </c>
      <c r="K75" s="537"/>
      <c r="L75" s="537"/>
      <c r="M75" s="536">
        <f>+M43+M53+M63+M73</f>
        <v>-74383811.920000002</v>
      </c>
      <c r="N75" s="537"/>
      <c r="O75" s="537"/>
      <c r="P75" s="536">
        <f>+P43+P53+P63+P73</f>
        <v>-79533267.270000011</v>
      </c>
      <c r="Q75" s="537"/>
      <c r="R75" s="537"/>
      <c r="S75" s="536">
        <f>+S43+S53+S63+S73</f>
        <v>-84468074.310000002</v>
      </c>
      <c r="T75" s="537"/>
      <c r="U75" s="537"/>
      <c r="V75" s="536">
        <f>+V43+V53+V63+V73</f>
        <v>-84649568.929999977</v>
      </c>
      <c r="W75" s="537"/>
      <c r="X75" s="537"/>
      <c r="Y75" s="536">
        <f>+Y43+Y53+Y63+Y73</f>
        <v>-84382001.220000014</v>
      </c>
      <c r="Z75" s="537"/>
      <c r="AA75" s="537"/>
      <c r="AB75" s="536">
        <f>+AB43+AB53+AB63+AB73</f>
        <v>-85115980.460000023</v>
      </c>
      <c r="AC75" s="537"/>
      <c r="AD75" s="537"/>
      <c r="AE75" s="536">
        <f>+AE43+AE53+AE63+AE73</f>
        <v>-86058775.50000003</v>
      </c>
      <c r="AF75" s="537"/>
      <c r="AG75" s="537"/>
      <c r="AH75" s="536">
        <f>+AH43+AH53+AH63+AH73</f>
        <v>-49732165.330000006</v>
      </c>
      <c r="AI75" s="537"/>
      <c r="AJ75" s="537"/>
      <c r="AK75" s="536">
        <f>+AK43+AK53+AK63+AK73</f>
        <v>-49874128.260000005</v>
      </c>
      <c r="AL75" s="537"/>
      <c r="AM75" s="537"/>
      <c r="AN75" s="536">
        <f>+AN43+AN53+AN63+AN73</f>
        <v>-50051084.750000022</v>
      </c>
      <c r="AO75" s="537"/>
      <c r="AP75" s="537"/>
      <c r="AQ75" s="536">
        <f>+AQ43+AQ53+AQ63+AQ73</f>
        <v>-52405450.120000012</v>
      </c>
      <c r="AR75" s="537"/>
      <c r="AS75" s="537"/>
      <c r="AT75" s="536">
        <f>+AT43+AT53+AT63+AT73</f>
        <v>-87984639.210000008</v>
      </c>
      <c r="AU75" s="537"/>
      <c r="AV75" s="537"/>
      <c r="AW75" s="536">
        <f>+AW43+AW53+AW63+AW73</f>
        <v>-83756918.689583331</v>
      </c>
      <c r="AX75" s="519"/>
      <c r="AY75" s="519"/>
    </row>
    <row r="76" spans="1:51" s="24" customFormat="1" ht="16.5" thickBot="1">
      <c r="A76" s="190">
        <v>68</v>
      </c>
      <c r="B76" s="519"/>
      <c r="C76" s="519"/>
      <c r="D76" s="519"/>
      <c r="E76" s="519"/>
      <c r="F76" s="519"/>
      <c r="G76" s="519"/>
      <c r="H76" s="519"/>
      <c r="I76" s="519"/>
      <c r="J76" s="535"/>
      <c r="K76" s="526"/>
      <c r="L76" s="526"/>
      <c r="M76" s="535"/>
      <c r="N76" s="526"/>
      <c r="O76" s="526"/>
      <c r="P76" s="535"/>
      <c r="Q76" s="526"/>
      <c r="R76" s="526"/>
      <c r="S76" s="535"/>
      <c r="T76" s="526"/>
      <c r="U76" s="526"/>
      <c r="V76" s="535"/>
      <c r="W76" s="526"/>
      <c r="X76" s="526"/>
      <c r="Y76" s="535"/>
      <c r="Z76" s="526"/>
      <c r="AA76" s="526"/>
      <c r="AB76" s="535"/>
      <c r="AC76" s="526"/>
      <c r="AD76" s="526"/>
      <c r="AE76" s="535"/>
      <c r="AF76" s="526"/>
      <c r="AG76" s="526"/>
      <c r="AH76" s="535"/>
      <c r="AI76" s="526"/>
      <c r="AJ76" s="526"/>
      <c r="AK76" s="535"/>
      <c r="AL76" s="526"/>
      <c r="AM76" s="526"/>
      <c r="AN76" s="535"/>
      <c r="AO76" s="526"/>
      <c r="AP76" s="527"/>
      <c r="AQ76" s="527"/>
      <c r="AR76" s="526"/>
      <c r="AS76" s="526"/>
      <c r="AT76" s="535"/>
      <c r="AU76" s="526"/>
      <c r="AV76" s="526"/>
      <c r="AW76" s="535"/>
      <c r="AX76" s="519"/>
      <c r="AY76" s="519"/>
    </row>
    <row r="77" spans="1:51" s="24" customFormat="1">
      <c r="A77" s="190">
        <v>69</v>
      </c>
      <c r="B77" s="925" t="s">
        <v>1098</v>
      </c>
      <c r="C77" s="926"/>
      <c r="D77" s="926"/>
      <c r="E77" s="927"/>
      <c r="F77" s="519"/>
      <c r="G77" s="519" t="s">
        <v>1409</v>
      </c>
      <c r="H77" s="519"/>
      <c r="I77" s="519"/>
      <c r="J77" s="535">
        <f>+J36+J53+J32+J37+J41+J42</f>
        <v>14974511.890000002</v>
      </c>
      <c r="K77" s="525"/>
      <c r="L77" s="526"/>
      <c r="M77" s="525">
        <f t="shared" ref="M77" si="65">+M36+M53+M32+M37+M41+M42</f>
        <v>15010304.319999998</v>
      </c>
      <c r="N77" s="526"/>
      <c r="O77" s="526"/>
      <c r="P77" s="535">
        <f t="shared" ref="P77:V77" si="66">+P36+P53+P32+P37+P41+P42</f>
        <v>14753729.689999999</v>
      </c>
      <c r="Q77" s="526"/>
      <c r="R77" s="527"/>
      <c r="S77" s="535">
        <f t="shared" si="66"/>
        <v>14731282.199999999</v>
      </c>
      <c r="T77" s="526"/>
      <c r="U77" s="527"/>
      <c r="V77" s="535">
        <f t="shared" si="66"/>
        <v>14484589.879999999</v>
      </c>
      <c r="W77" s="526"/>
      <c r="X77" s="527"/>
      <c r="Y77" s="535">
        <f>+Y36+Y53+Y32+Y37+Y41+Y42+Y33+Y34</f>
        <v>7274070.3499999996</v>
      </c>
      <c r="Z77" s="526"/>
      <c r="AA77" s="527"/>
      <c r="AB77" s="535">
        <f>+AB36+AB53+AB32+AB37+AB41+AB42+AB33+AB34</f>
        <v>7176692.4299999997</v>
      </c>
      <c r="AC77" s="526"/>
      <c r="AD77" s="527"/>
      <c r="AE77" s="535">
        <f>+AE36+AE53+AE32+AE37+AE41+AE42+AE33+AE34</f>
        <v>7190039.7200000007</v>
      </c>
      <c r="AF77" s="526"/>
      <c r="AG77" s="527"/>
      <c r="AH77" s="535">
        <f>+AH36+AH53+AH32+AH37+AH41+AH42+AH33+AH34</f>
        <v>7196271.21</v>
      </c>
      <c r="AI77" s="535"/>
      <c r="AJ77" s="535"/>
      <c r="AK77" s="535">
        <f>+AK36+AK53+AK32+AK37+AK41+AK42+AK33+AK34</f>
        <v>7163004.5599999987</v>
      </c>
      <c r="AL77" s="525"/>
      <c r="AM77" s="527"/>
      <c r="AN77" s="527">
        <f>+AN36+AN53+AN32+AN37+AN41+AN42+AN33+AN34</f>
        <v>7116326.0999999996</v>
      </c>
      <c r="AO77" s="525"/>
      <c r="AP77" s="527"/>
      <c r="AQ77" s="527">
        <f>+AQ36+AQ53+AQ32+AQ37+AQ41+AQ42+AQ33+AQ34</f>
        <v>6858201.0999999996</v>
      </c>
      <c r="AR77" s="535"/>
      <c r="AS77" s="535"/>
      <c r="AT77" s="535">
        <f>+AT36+AT53+AT32+AT37+AT41+AT42+AT33+AT34</f>
        <v>6628103.3699999992</v>
      </c>
      <c r="AU77" s="525"/>
      <c r="AV77" s="527"/>
      <c r="AW77" s="527">
        <f>+AW36+AW53+AW32+AW37+AW41+AW42+AW33+AW34</f>
        <v>9979651.5991666634</v>
      </c>
      <c r="AX77" s="519"/>
      <c r="AY77" s="519"/>
    </row>
    <row r="78" spans="1:51" s="24" customFormat="1">
      <c r="A78" s="190">
        <v>70</v>
      </c>
      <c r="B78" s="928"/>
      <c r="C78" s="929"/>
      <c r="D78" s="929"/>
      <c r="E78" s="930"/>
      <c r="F78" s="519"/>
      <c r="G78" s="519" t="s">
        <v>1016</v>
      </c>
      <c r="H78" s="519"/>
      <c r="I78" s="519"/>
      <c r="J78" s="535">
        <f>+J26+J63+J39</f>
        <v>-53594338.570000008</v>
      </c>
      <c r="K78" s="525"/>
      <c r="L78" s="526"/>
      <c r="M78" s="525">
        <f t="shared" ref="M78" si="67">+M26+M63+M39</f>
        <v>-53751213.93</v>
      </c>
      <c r="N78" s="526"/>
      <c r="O78" s="527"/>
      <c r="P78" s="535">
        <f t="shared" ref="P78:V78" si="68">+P26+P63+P39</f>
        <v>-53885922.209999993</v>
      </c>
      <c r="Q78" s="526"/>
      <c r="R78" s="527"/>
      <c r="S78" s="535">
        <f t="shared" si="68"/>
        <v>-53976379.390000001</v>
      </c>
      <c r="T78" s="526"/>
      <c r="U78" s="527"/>
      <c r="V78" s="535">
        <f t="shared" si="68"/>
        <v>-54106999.309999987</v>
      </c>
      <c r="W78" s="526"/>
      <c r="X78" s="527"/>
      <c r="Y78" s="535">
        <f>+Y26+Y63+Y39+Y27+Y28</f>
        <v>-54248631.710000016</v>
      </c>
      <c r="Z78" s="526"/>
      <c r="AA78" s="527"/>
      <c r="AB78" s="535">
        <f>+AB26+AB63+AB39+AB27+AB28</f>
        <v>-54390777.750000022</v>
      </c>
      <c r="AC78" s="526"/>
      <c r="AD78" s="527"/>
      <c r="AE78" s="535">
        <f>+AE26+AE63+AE39+AE27+AE28</f>
        <v>-54531605.020000018</v>
      </c>
      <c r="AF78" s="526"/>
      <c r="AG78" s="527"/>
      <c r="AH78" s="535">
        <f>+AH26+AH63+AH39+AH27+AH28</f>
        <v>-54605091.49000001</v>
      </c>
      <c r="AI78" s="535"/>
      <c r="AJ78" s="535"/>
      <c r="AK78" s="535">
        <f>+AK26+AK63+AK39+AK27+AK28</f>
        <v>-54719762.740000024</v>
      </c>
      <c r="AL78" s="525"/>
      <c r="AM78" s="527"/>
      <c r="AN78" s="527">
        <f>+AN26+AN63+AN39+AN27+AN28</f>
        <v>-54850948.200000025</v>
      </c>
      <c r="AO78" s="525"/>
      <c r="AP78" s="527"/>
      <c r="AQ78" s="527">
        <f>+AQ26+AQ63+AQ39+AQ27+AQ28</f>
        <v>-56948095.980000019</v>
      </c>
      <c r="AR78" s="535"/>
      <c r="AS78" s="535"/>
      <c r="AT78" s="535">
        <f>+AT26+AT63+AT39+AT27+AT28</f>
        <v>-57867449.850000009</v>
      </c>
      <c r="AU78" s="525"/>
      <c r="AV78" s="527"/>
      <c r="AW78" s="527">
        <f>+AW26+AW63+AW39+AW27+AW28</f>
        <v>-54645526.828333333</v>
      </c>
      <c r="AX78" s="519"/>
      <c r="AY78" s="519"/>
    </row>
    <row r="79" spans="1:51" s="24" customFormat="1">
      <c r="A79" s="190">
        <v>71</v>
      </c>
      <c r="B79" s="928"/>
      <c r="C79" s="929"/>
      <c r="D79" s="929"/>
      <c r="E79" s="930"/>
      <c r="F79" s="519"/>
      <c r="G79" s="519" t="s">
        <v>1017</v>
      </c>
      <c r="H79" s="519"/>
      <c r="I79" s="519"/>
      <c r="J79" s="762">
        <f>+J73+J29+J40</f>
        <v>-34206953.839999996</v>
      </c>
      <c r="K79" s="762"/>
      <c r="L79" s="763"/>
      <c r="M79" s="762">
        <f t="shared" ref="M79" si="69">+M73+M29+M40</f>
        <v>-35642902.309999995</v>
      </c>
      <c r="N79" s="538"/>
      <c r="O79" s="527"/>
      <c r="P79" s="761">
        <f t="shared" ref="P79:V79" si="70">+P73+P29+P40</f>
        <v>-40401074.75</v>
      </c>
      <c r="Q79" s="762"/>
      <c r="R79" s="763"/>
      <c r="S79" s="761">
        <f t="shared" si="70"/>
        <v>-45222977.120000005</v>
      </c>
      <c r="T79" s="526"/>
      <c r="U79" s="763"/>
      <c r="V79" s="761">
        <f t="shared" si="70"/>
        <v>-45027159.499999993</v>
      </c>
      <c r="W79" s="762"/>
      <c r="X79" s="527"/>
      <c r="Y79" s="761">
        <f>+Y73+Y29+Y40+Y31+Y30</f>
        <v>-37407439.859999999</v>
      </c>
      <c r="Z79" s="762"/>
      <c r="AA79" s="527"/>
      <c r="AB79" s="761">
        <f>+AB73+AB29+AB40+AB30+AB31</f>
        <v>-37901895.140000001</v>
      </c>
      <c r="AC79" s="762"/>
      <c r="AD79" s="763"/>
      <c r="AE79" s="761">
        <f>+AE73+AE29+AE40+AE30+AE31</f>
        <v>-38717210.199999996</v>
      </c>
      <c r="AF79" s="762"/>
      <c r="AG79" s="527"/>
      <c r="AH79" s="761">
        <f>+AH73+AH29+AH40+AH30+AH31</f>
        <v>-2323345.0500000003</v>
      </c>
      <c r="AI79" s="761"/>
      <c r="AJ79" s="761"/>
      <c r="AK79" s="761">
        <f>+AK73+AK29+AK40+AK30+AK31</f>
        <v>-2317370.0799999996</v>
      </c>
      <c r="AL79" s="762"/>
      <c r="AM79" s="763"/>
      <c r="AN79" s="763">
        <f>+AN73+AN29+AN40+AN30+AN31</f>
        <v>-2316462.65</v>
      </c>
      <c r="AO79" s="762"/>
      <c r="AP79" s="527"/>
      <c r="AQ79" s="763">
        <f>+AQ73+AQ29+AQ40+AQ30+AQ31</f>
        <v>-2315555.2399999998</v>
      </c>
      <c r="AR79" s="761"/>
      <c r="AS79" s="761"/>
      <c r="AT79" s="761">
        <f>+AT73+AT29+AT40+AT30+AT31</f>
        <v>-36745292.729999997</v>
      </c>
      <c r="AU79" s="762"/>
      <c r="AV79" s="527"/>
      <c r="AW79" s="763">
        <f>+AW73+AW29+AW40+AW31+AW30</f>
        <v>-39091043.460416675</v>
      </c>
      <c r="AX79" s="519"/>
      <c r="AY79" s="519"/>
    </row>
    <row r="80" spans="1:51" s="24" customFormat="1" ht="16.5" thickBot="1">
      <c r="A80" s="190">
        <v>72</v>
      </c>
      <c r="B80" s="928"/>
      <c r="C80" s="929"/>
      <c r="D80" s="929"/>
      <c r="E80" s="930"/>
      <c r="F80" s="519"/>
      <c r="G80" s="519"/>
      <c r="H80" s="519"/>
      <c r="I80" s="519"/>
      <c r="J80" s="760">
        <f>+J77+J78+J79</f>
        <v>-72826780.520000011</v>
      </c>
      <c r="K80" s="540"/>
      <c r="L80" s="540"/>
      <c r="M80" s="539">
        <f t="shared" ref="M80:AT80" si="71">+M77+M78+M79</f>
        <v>-74383811.919999987</v>
      </c>
      <c r="N80" s="540"/>
      <c r="O80" s="765"/>
      <c r="P80" s="764">
        <f t="shared" si="71"/>
        <v>-79533267.269999996</v>
      </c>
      <c r="Q80" s="540"/>
      <c r="R80" s="540"/>
      <c r="S80" s="539">
        <f t="shared" si="71"/>
        <v>-84468074.310000002</v>
      </c>
      <c r="T80" s="766"/>
      <c r="U80" s="540"/>
      <c r="V80" s="539">
        <f t="shared" si="71"/>
        <v>-84649568.929999977</v>
      </c>
      <c r="W80" s="540"/>
      <c r="X80" s="765"/>
      <c r="Y80" s="539">
        <f t="shared" si="71"/>
        <v>-84382001.220000014</v>
      </c>
      <c r="Z80" s="540"/>
      <c r="AA80" s="765"/>
      <c r="AB80" s="539">
        <f t="shared" si="71"/>
        <v>-85115980.460000023</v>
      </c>
      <c r="AC80" s="540"/>
      <c r="AD80" s="540"/>
      <c r="AE80" s="539">
        <f t="shared" si="71"/>
        <v>-86058775.500000015</v>
      </c>
      <c r="AF80" s="540"/>
      <c r="AG80" s="765"/>
      <c r="AH80" s="539">
        <f t="shared" si="71"/>
        <v>-49732165.330000006</v>
      </c>
      <c r="AI80" s="540"/>
      <c r="AJ80" s="540"/>
      <c r="AK80" s="539">
        <f t="shared" si="71"/>
        <v>-49874128.26000002</v>
      </c>
      <c r="AL80" s="540"/>
      <c r="AM80" s="540"/>
      <c r="AN80" s="539">
        <f t="shared" si="71"/>
        <v>-50051084.750000022</v>
      </c>
      <c r="AO80" s="540"/>
      <c r="AP80" s="765"/>
      <c r="AQ80" s="539">
        <f t="shared" si="71"/>
        <v>-52405450.12000002</v>
      </c>
      <c r="AR80" s="540"/>
      <c r="AS80" s="540"/>
      <c r="AT80" s="539">
        <f t="shared" si="71"/>
        <v>-87984639.210000008</v>
      </c>
      <c r="AU80" s="540"/>
      <c r="AV80" s="765"/>
      <c r="AW80" s="764">
        <f>+AW78+AW79+AW77</f>
        <v>-83756918.689583346</v>
      </c>
      <c r="AX80" s="519"/>
      <c r="AY80" s="519"/>
    </row>
    <row r="81" spans="2:51">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c r="AW81" s="59"/>
      <c r="AX81" s="59"/>
      <c r="AY81" s="59"/>
    </row>
    <row r="82" spans="2:51">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c r="AW82" s="59"/>
      <c r="AX82" s="59"/>
      <c r="AY82" s="59"/>
    </row>
    <row r="83" spans="2:5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row>
    <row r="84" spans="2:5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row>
    <row r="85" spans="2:51">
      <c r="J85" s="241"/>
      <c r="K85" s="241"/>
      <c r="L85" s="241"/>
      <c r="M85" s="241"/>
      <c r="N85" s="241"/>
      <c r="O85" s="241"/>
      <c r="P85" s="241"/>
      <c r="Q85" s="241"/>
      <c r="R85" s="241"/>
      <c r="S85" s="241"/>
      <c r="T85" s="241"/>
      <c r="U85" s="241"/>
      <c r="V85" s="241"/>
      <c r="W85" s="241"/>
      <c r="X85" s="241"/>
      <c r="Y85" s="241"/>
      <c r="Z85" s="241"/>
      <c r="AA85" s="241"/>
      <c r="AB85" s="241"/>
      <c r="AC85" s="241"/>
      <c r="AD85" s="241"/>
      <c r="AE85" s="241"/>
      <c r="AF85" s="241"/>
      <c r="AG85" s="241"/>
      <c r="AH85" s="241"/>
      <c r="AI85" s="241"/>
      <c r="AJ85" s="241"/>
      <c r="AK85" s="241"/>
      <c r="AL85" s="241"/>
      <c r="AM85" s="241"/>
      <c r="AN85" s="241"/>
      <c r="AO85" s="241"/>
      <c r="AP85" s="241"/>
      <c r="AQ85" s="241"/>
      <c r="AR85" s="241"/>
      <c r="AS85" s="241"/>
      <c r="AT85" s="241"/>
      <c r="AU85" s="241"/>
      <c r="AV85" s="241"/>
    </row>
    <row r="86" spans="2:51">
      <c r="J86" s="241"/>
      <c r="K86" s="241"/>
      <c r="L86" s="241"/>
      <c r="M86" s="241"/>
      <c r="N86" s="241"/>
      <c r="O86" s="241"/>
      <c r="P86" s="241"/>
      <c r="Q86" s="241"/>
      <c r="R86" s="241"/>
      <c r="S86" s="241"/>
      <c r="T86" s="241"/>
      <c r="U86" s="241"/>
      <c r="V86" s="241"/>
      <c r="W86" s="241"/>
      <c r="X86" s="241"/>
      <c r="Y86" s="241"/>
      <c r="Z86" s="241"/>
      <c r="AA86" s="241"/>
      <c r="AB86" s="241"/>
      <c r="AC86" s="241"/>
      <c r="AD86" s="241"/>
      <c r="AE86" s="241"/>
      <c r="AF86" s="241"/>
      <c r="AG86" s="241"/>
      <c r="AH86" s="241"/>
      <c r="AI86" s="241"/>
      <c r="AJ86" s="241"/>
      <c r="AK86" s="241"/>
      <c r="AL86" s="241"/>
      <c r="AM86" s="241"/>
      <c r="AN86" s="241"/>
      <c r="AO86" s="241"/>
      <c r="AP86" s="241"/>
      <c r="AQ86" s="241"/>
      <c r="AR86" s="241"/>
      <c r="AS86" s="241"/>
      <c r="AT86" s="241"/>
      <c r="AU86" s="241"/>
      <c r="AV86" s="241"/>
    </row>
    <row r="87" spans="2:51">
      <c r="J87" s="241"/>
      <c r="K87" s="241"/>
      <c r="L87" s="241"/>
      <c r="M87" s="241"/>
      <c r="N87" s="241"/>
      <c r="O87" s="241"/>
      <c r="P87" s="241"/>
      <c r="Q87" s="241"/>
      <c r="R87" s="241"/>
      <c r="S87" s="241"/>
      <c r="T87" s="241"/>
      <c r="U87" s="241"/>
      <c r="V87" s="241"/>
      <c r="W87" s="241"/>
      <c r="X87" s="241"/>
      <c r="Y87" s="241"/>
      <c r="Z87" s="241"/>
      <c r="AA87" s="241"/>
      <c r="AB87" s="241"/>
      <c r="AC87" s="241"/>
      <c r="AD87" s="241"/>
      <c r="AE87" s="241"/>
      <c r="AF87" s="241"/>
      <c r="AG87" s="241"/>
      <c r="AH87" s="241"/>
      <c r="AI87" s="241"/>
      <c r="AJ87" s="241"/>
      <c r="AK87" s="241"/>
      <c r="AL87" s="241"/>
      <c r="AM87" s="241"/>
      <c r="AN87" s="241"/>
      <c r="AO87" s="241"/>
      <c r="AP87" s="241"/>
      <c r="AQ87" s="241"/>
      <c r="AR87" s="241"/>
      <c r="AS87" s="241"/>
      <c r="AT87" s="241"/>
      <c r="AU87" s="241"/>
      <c r="AV87" s="241"/>
    </row>
    <row r="88" spans="2:51">
      <c r="J88" s="241"/>
      <c r="K88" s="241"/>
      <c r="L88" s="241"/>
      <c r="M88" s="241"/>
      <c r="N88" s="241"/>
      <c r="O88" s="241"/>
      <c r="P88" s="241"/>
      <c r="Q88" s="241"/>
      <c r="R88" s="241"/>
      <c r="S88" s="241"/>
      <c r="T88" s="241"/>
      <c r="U88" s="241"/>
      <c r="V88" s="241"/>
      <c r="W88" s="241"/>
      <c r="X88" s="241"/>
      <c r="Y88" s="241"/>
      <c r="Z88" s="241"/>
      <c r="AA88" s="241"/>
      <c r="AB88" s="241"/>
      <c r="AC88" s="241"/>
      <c r="AD88" s="241"/>
      <c r="AE88" s="241"/>
      <c r="AF88" s="241"/>
      <c r="AG88" s="241"/>
      <c r="AH88" s="241"/>
      <c r="AI88" s="241"/>
      <c r="AJ88" s="241"/>
      <c r="AK88" s="241"/>
      <c r="AL88" s="241"/>
      <c r="AM88" s="241"/>
      <c r="AN88" s="241"/>
      <c r="AO88" s="241"/>
      <c r="AP88" s="241"/>
      <c r="AQ88" s="241"/>
      <c r="AR88" s="241"/>
      <c r="AS88" s="241"/>
      <c r="AT88" s="241"/>
      <c r="AU88" s="241"/>
      <c r="AV88" s="241"/>
    </row>
  </sheetData>
  <mergeCells count="35">
    <mergeCell ref="F3:J3"/>
    <mergeCell ref="E4:K4"/>
    <mergeCell ref="F5:J5"/>
    <mergeCell ref="F13:I13"/>
    <mergeCell ref="E1:K1"/>
    <mergeCell ref="F2:J2"/>
    <mergeCell ref="B77:E80"/>
    <mergeCell ref="B16:I16"/>
    <mergeCell ref="B25:I25"/>
    <mergeCell ref="B9:E13"/>
    <mergeCell ref="F9:I9"/>
    <mergeCell ref="F10:I10"/>
    <mergeCell ref="F11:I11"/>
    <mergeCell ref="F12:I12"/>
    <mergeCell ref="AX24:BD25"/>
    <mergeCell ref="R1:U1"/>
    <mergeCell ref="R2:U2"/>
    <mergeCell ref="R3:U3"/>
    <mergeCell ref="R4:U4"/>
    <mergeCell ref="R5:U5"/>
    <mergeCell ref="AK1:AO1"/>
    <mergeCell ref="AK2:AO2"/>
    <mergeCell ref="AB1:AJ1"/>
    <mergeCell ref="AB2:AJ2"/>
    <mergeCell ref="AB3:AJ3"/>
    <mergeCell ref="AK3:AO3"/>
    <mergeCell ref="AK4:AO4"/>
    <mergeCell ref="AK5:AO5"/>
    <mergeCell ref="AB4:AJ4"/>
    <mergeCell ref="AB5:AJ5"/>
    <mergeCell ref="AP1:AY1"/>
    <mergeCell ref="AP2:AY2"/>
    <mergeCell ref="AP3:AY3"/>
    <mergeCell ref="AP4:AY4"/>
    <mergeCell ref="AP5:AY5"/>
  </mergeCells>
  <phoneticPr fontId="142" type="noConversion"/>
  <printOptions horizontalCentered="1"/>
  <pageMargins left="0.7" right="0.7" top="0.75" bottom="0.75" header="0.3" footer="0.3"/>
  <pageSetup paperSize="17" scale="49" orientation="landscape" r:id="rId1"/>
  <headerFooter scaleWithDoc="0" alignWithMargins="0">
    <oddHeader>&amp;RPage &amp;P of &amp;N</oddHeader>
    <oddFooter>&amp;LElectronic Tab Name:&amp;A</oddFooter>
  </headerFooter>
  <rowBreaks count="1" manualBreakCount="1">
    <brk id="43" max="16383" man="1"/>
  </rowBreaks>
  <colBreaks count="3" manualBreakCount="3">
    <brk id="15" max="1048575" man="1"/>
    <brk id="27" max="1048575" man="1"/>
    <brk id="39"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B1:N17"/>
  <sheetViews>
    <sheetView view="pageBreakPreview" zoomScaleNormal="100" zoomScaleSheetLayoutView="100" workbookViewId="0">
      <selection activeCell="H12" sqref="H12"/>
    </sheetView>
  </sheetViews>
  <sheetFormatPr defaultRowHeight="15.75"/>
  <cols>
    <col min="1" max="1" width="1.42578125" style="4" customWidth="1"/>
    <col min="2" max="2" width="2.5703125" style="4" customWidth="1"/>
    <col min="3" max="3" width="10.5703125" style="6" bestFit="1" customWidth="1"/>
    <col min="4" max="4" width="43" style="4" bestFit="1" customWidth="1"/>
    <col min="5" max="5" width="4.140625" style="4" customWidth="1"/>
    <col min="6" max="6" width="17.5703125" style="4" bestFit="1" customWidth="1"/>
    <col min="7" max="7" width="6" style="4" customWidth="1"/>
    <col min="8" max="8" width="10.140625" style="4" bestFit="1" customWidth="1"/>
    <col min="9" max="9" width="5.140625" style="4" customWidth="1"/>
    <col min="10" max="10" width="13.7109375" style="4" bestFit="1" customWidth="1"/>
    <col min="11" max="13" width="9.140625" style="4"/>
    <col min="14" max="14" width="13.85546875" style="4" bestFit="1" customWidth="1"/>
    <col min="15" max="16384" width="9.140625" style="4"/>
  </cols>
  <sheetData>
    <row r="1" spans="2:14">
      <c r="B1" s="243"/>
      <c r="C1" s="904" t="s">
        <v>60</v>
      </c>
      <c r="D1" s="904"/>
      <c r="E1" s="904"/>
      <c r="F1" s="904"/>
      <c r="G1" s="904"/>
      <c r="H1" s="904"/>
      <c r="I1" s="904"/>
      <c r="J1" s="904"/>
      <c r="K1" s="244"/>
      <c r="L1" s="245"/>
      <c r="M1" s="244"/>
    </row>
    <row r="2" spans="2:14">
      <c r="B2" s="243"/>
      <c r="C2" s="904" t="s">
        <v>1865</v>
      </c>
      <c r="D2" s="904"/>
      <c r="E2" s="904"/>
      <c r="F2" s="904"/>
      <c r="G2" s="904"/>
      <c r="H2" s="904"/>
      <c r="I2" s="904"/>
      <c r="J2" s="904"/>
      <c r="K2" s="246"/>
      <c r="L2" s="246"/>
      <c r="M2" s="246"/>
    </row>
    <row r="3" spans="2:14">
      <c r="B3" s="243"/>
      <c r="C3" s="904" t="s">
        <v>1389</v>
      </c>
      <c r="D3" s="904"/>
      <c r="E3" s="904"/>
      <c r="F3" s="904"/>
      <c r="G3" s="904"/>
      <c r="H3" s="904"/>
      <c r="I3" s="904"/>
      <c r="J3" s="904"/>
      <c r="K3" s="246"/>
      <c r="L3" s="246"/>
      <c r="M3" s="246"/>
    </row>
    <row r="4" spans="2:14">
      <c r="B4" s="243"/>
      <c r="C4" s="904" t="s">
        <v>722</v>
      </c>
      <c r="D4" s="904"/>
      <c r="E4" s="904"/>
      <c r="F4" s="904"/>
      <c r="G4" s="904"/>
      <c r="H4" s="904"/>
      <c r="I4" s="904"/>
      <c r="J4" s="904"/>
      <c r="K4" s="247"/>
      <c r="L4" s="247"/>
      <c r="M4" s="247"/>
    </row>
    <row r="5" spans="2:14">
      <c r="B5" s="243"/>
      <c r="C5" s="904" t="s">
        <v>1864</v>
      </c>
      <c r="D5" s="904"/>
      <c r="E5" s="904"/>
      <c r="F5" s="904"/>
      <c r="G5" s="904"/>
      <c r="H5" s="904"/>
      <c r="I5" s="904"/>
      <c r="J5" s="904"/>
      <c r="K5" s="248"/>
      <c r="L5" s="248"/>
      <c r="M5" s="248"/>
    </row>
    <row r="6" spans="2:14">
      <c r="E6" s="947"/>
      <c r="F6" s="947"/>
      <c r="G6" s="947"/>
      <c r="H6" s="947"/>
      <c r="I6" s="947"/>
      <c r="J6" s="947"/>
    </row>
    <row r="7" spans="2:14">
      <c r="B7" s="249"/>
      <c r="C7" s="250"/>
      <c r="D7" s="249"/>
      <c r="E7" s="244"/>
      <c r="F7" s="244"/>
      <c r="G7" s="244"/>
      <c r="H7" s="244"/>
      <c r="I7" s="244"/>
      <c r="J7" s="244"/>
      <c r="K7" s="249"/>
      <c r="L7" s="249"/>
      <c r="M7" s="243"/>
    </row>
    <row r="8" spans="2:14" s="6" customFormat="1">
      <c r="B8" s="251"/>
      <c r="C8" s="252" t="s">
        <v>47</v>
      </c>
      <c r="D8" s="252" t="s">
        <v>803</v>
      </c>
      <c r="E8" s="252"/>
      <c r="F8" s="252" t="s">
        <v>801</v>
      </c>
      <c r="G8" s="252"/>
      <c r="H8" s="252" t="s">
        <v>804</v>
      </c>
      <c r="I8" s="252"/>
      <c r="J8" s="252" t="s">
        <v>805</v>
      </c>
      <c r="K8" s="251"/>
      <c r="L8" s="253"/>
      <c r="M8" s="252"/>
    </row>
    <row r="9" spans="2:14">
      <c r="B9" s="249"/>
      <c r="C9" s="254" t="s">
        <v>799</v>
      </c>
      <c r="D9" s="255" t="s">
        <v>48</v>
      </c>
      <c r="E9" s="256"/>
      <c r="F9" s="256" t="s">
        <v>49</v>
      </c>
      <c r="G9" s="256"/>
      <c r="H9" s="257" t="s">
        <v>50</v>
      </c>
      <c r="I9" s="257"/>
      <c r="J9" s="258" t="s">
        <v>51</v>
      </c>
      <c r="K9" s="249"/>
      <c r="L9" s="249"/>
      <c r="M9" s="243"/>
    </row>
    <row r="10" spans="2:14">
      <c r="B10" s="249"/>
      <c r="C10" s="242"/>
      <c r="D10" s="259"/>
      <c r="E10" s="259"/>
      <c r="F10" s="259"/>
      <c r="G10" s="259"/>
      <c r="H10" s="259"/>
      <c r="I10" s="259"/>
      <c r="J10" s="260" t="s">
        <v>50</v>
      </c>
      <c r="K10" s="249"/>
      <c r="L10" s="249"/>
      <c r="M10" s="243"/>
    </row>
    <row r="11" spans="2:14">
      <c r="C11" s="242">
        <v>1</v>
      </c>
      <c r="D11" s="261" t="s">
        <v>52</v>
      </c>
      <c r="E11" s="259"/>
      <c r="F11" s="862">
        <v>0.496</v>
      </c>
      <c r="G11" s="263"/>
      <c r="H11" s="264">
        <v>4.7446000000000002E-2</v>
      </c>
      <c r="I11" s="265"/>
      <c r="J11" s="266">
        <f>ROUND(+F11*H11,5)</f>
        <v>2.3529999999999999E-2</v>
      </c>
      <c r="K11" s="249"/>
      <c r="L11" s="267"/>
      <c r="M11" s="243"/>
      <c r="N11" s="268"/>
    </row>
    <row r="12" spans="2:14">
      <c r="C12" s="242">
        <v>2</v>
      </c>
      <c r="D12" s="261" t="s">
        <v>53</v>
      </c>
      <c r="E12" s="259"/>
      <c r="F12" s="262">
        <v>0</v>
      </c>
      <c r="G12" s="263"/>
      <c r="H12" s="264">
        <v>0</v>
      </c>
      <c r="I12" s="265"/>
      <c r="J12" s="266">
        <f>ROUND(+F12*H12,5)</f>
        <v>0</v>
      </c>
      <c r="K12" s="249"/>
      <c r="L12" s="267"/>
      <c r="M12" s="243"/>
    </row>
    <row r="13" spans="2:14">
      <c r="C13" s="242">
        <v>3</v>
      </c>
      <c r="D13" s="261" t="s">
        <v>54</v>
      </c>
      <c r="E13" s="259"/>
      <c r="F13" s="862">
        <v>0.504</v>
      </c>
      <c r="G13" s="263"/>
      <c r="H13" s="264">
        <v>0.10299999999999999</v>
      </c>
      <c r="I13" s="265"/>
      <c r="J13" s="266">
        <f>ROUND(+F13*H13,5)</f>
        <v>5.1909999999999998E-2</v>
      </c>
      <c r="K13" s="249"/>
      <c r="L13" s="267"/>
      <c r="M13" s="243"/>
    </row>
    <row r="14" spans="2:14" ht="16.5" thickBot="1">
      <c r="B14" s="249"/>
      <c r="C14" s="242">
        <v>4</v>
      </c>
      <c r="D14" s="261" t="s">
        <v>55</v>
      </c>
      <c r="E14" s="259"/>
      <c r="F14" s="269">
        <f>SUM(F11:F13)</f>
        <v>1</v>
      </c>
      <c r="G14" s="263"/>
      <c r="H14" s="263"/>
      <c r="I14" s="265"/>
      <c r="J14" s="270">
        <f>SUM(J11:J13)</f>
        <v>7.5439999999999993E-2</v>
      </c>
      <c r="K14" s="249"/>
      <c r="L14" s="249"/>
      <c r="M14" s="243"/>
    </row>
    <row r="15" spans="2:14" ht="16.5" thickTop="1">
      <c r="B15" s="249"/>
      <c r="C15" s="271"/>
      <c r="D15" s="272"/>
      <c r="E15" s="272"/>
      <c r="F15" s="272"/>
      <c r="G15" s="272"/>
      <c r="H15" s="272"/>
      <c r="I15" s="272"/>
      <c r="J15" s="273"/>
      <c r="K15" s="249"/>
      <c r="L15" s="249"/>
      <c r="M15" s="243"/>
    </row>
    <row r="16" spans="2:14">
      <c r="B16" s="249"/>
      <c r="C16" s="251"/>
      <c r="D16" s="249"/>
      <c r="E16" s="249"/>
      <c r="F16" s="249"/>
      <c r="G16" s="249"/>
      <c r="H16" s="249"/>
      <c r="I16" s="249"/>
      <c r="J16" s="249"/>
      <c r="K16" s="249"/>
      <c r="L16" s="249"/>
      <c r="M16" s="243"/>
    </row>
    <row r="17" spans="2:12">
      <c r="B17" s="243"/>
      <c r="C17" s="252"/>
      <c r="D17" s="249" t="s">
        <v>1100</v>
      </c>
      <c r="E17" s="249"/>
      <c r="F17" s="249"/>
      <c r="G17" s="249"/>
      <c r="H17" s="249"/>
      <c r="I17" s="249"/>
      <c r="J17" s="243"/>
      <c r="K17" s="243"/>
      <c r="L17" s="243"/>
    </row>
  </sheetData>
  <mergeCells count="6">
    <mergeCell ref="E6:J6"/>
    <mergeCell ref="C1:J1"/>
    <mergeCell ref="C2:J2"/>
    <mergeCell ref="C3:J3"/>
    <mergeCell ref="C4:J4"/>
    <mergeCell ref="C5:J5"/>
  </mergeCells>
  <printOptions horizontalCentered="1"/>
  <pageMargins left="0.7" right="0.7" top="0.75" bottom="0.75" header="0.3" footer="0.3"/>
  <pageSetup scale="79" orientation="portrait" r:id="rId1"/>
  <headerFooter scaleWithDoc="0" alignWithMargins="0">
    <oddHeader>&amp;RPage &amp;P of &amp;N</oddHeader>
    <oddFooter>&amp;LElectronic Tab Name:&amp;A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U71"/>
  <sheetViews>
    <sheetView view="pageBreakPreview" zoomScaleNormal="75" zoomScaleSheetLayoutView="100" workbookViewId="0">
      <selection activeCell="G24" sqref="F24:G24"/>
    </sheetView>
  </sheetViews>
  <sheetFormatPr defaultColWidth="17.85546875" defaultRowHeight="12.75"/>
  <cols>
    <col min="1" max="1" width="7.85546875" style="348" bestFit="1" customWidth="1"/>
    <col min="2" max="2" width="17.7109375" style="304" customWidth="1"/>
    <col min="3" max="3" width="11.28515625" style="304" bestFit="1" customWidth="1"/>
    <col min="4" max="4" width="8.7109375" style="304" customWidth="1"/>
    <col min="5" max="5" width="10.42578125" style="304" customWidth="1"/>
    <col min="6" max="6" width="22.42578125" style="304" customWidth="1"/>
    <col min="7" max="7" width="15.140625" style="304" customWidth="1"/>
    <col min="8" max="9" width="15.42578125" style="304" bestFit="1" customWidth="1"/>
    <col min="10" max="10" width="8.28515625" style="304" bestFit="1" customWidth="1"/>
    <col min="11" max="11" width="15.5703125" style="304" bestFit="1" customWidth="1"/>
    <col min="12" max="13" width="11.7109375" style="304" bestFit="1" customWidth="1"/>
    <col min="14" max="14" width="14" style="304" bestFit="1" customWidth="1"/>
    <col min="15" max="15" width="10.85546875" style="304" bestFit="1" customWidth="1"/>
    <col min="16" max="16" width="12" style="304" bestFit="1" customWidth="1"/>
    <col min="17" max="17" width="10.42578125" style="304" bestFit="1" customWidth="1"/>
    <col min="18" max="18" width="13.42578125" style="304" customWidth="1"/>
    <col min="19" max="19" width="15.140625" style="304" customWidth="1"/>
    <col min="20" max="20" width="26.5703125" style="304" customWidth="1"/>
    <col min="21" max="16384" width="17.85546875" style="304"/>
  </cols>
  <sheetData>
    <row r="1" spans="1:20" s="305" customFormat="1" ht="15.75">
      <c r="A1" s="471"/>
      <c r="H1" s="904" t="s">
        <v>60</v>
      </c>
      <c r="I1" s="904"/>
      <c r="J1" s="904"/>
      <c r="K1" s="904"/>
      <c r="L1" s="904"/>
      <c r="M1" s="904"/>
      <c r="N1" s="904"/>
      <c r="O1" s="904"/>
      <c r="P1" s="904"/>
    </row>
    <row r="2" spans="1:20" s="305" customFormat="1" ht="15.75">
      <c r="A2" s="471"/>
      <c r="H2" s="904" t="s">
        <v>1865</v>
      </c>
      <c r="I2" s="904"/>
      <c r="J2" s="904"/>
      <c r="K2" s="904"/>
      <c r="L2" s="904"/>
      <c r="M2" s="904"/>
      <c r="N2" s="904"/>
      <c r="O2" s="904"/>
      <c r="P2" s="904"/>
    </row>
    <row r="3" spans="1:20" s="305" customFormat="1" ht="15.75">
      <c r="A3" s="471"/>
      <c r="B3" s="472"/>
      <c r="H3" s="904" t="s">
        <v>1390</v>
      </c>
      <c r="I3" s="904"/>
      <c r="J3" s="904"/>
      <c r="K3" s="904"/>
      <c r="L3" s="904"/>
      <c r="M3" s="904"/>
      <c r="N3" s="904"/>
      <c r="O3" s="904"/>
      <c r="P3" s="904"/>
    </row>
    <row r="4" spans="1:20" s="305" customFormat="1" ht="15.75">
      <c r="A4" s="471"/>
      <c r="H4" s="904" t="s">
        <v>1108</v>
      </c>
      <c r="I4" s="904"/>
      <c r="J4" s="904"/>
      <c r="K4" s="904"/>
      <c r="L4" s="904"/>
      <c r="M4" s="904"/>
      <c r="N4" s="904"/>
      <c r="O4" s="904"/>
      <c r="P4" s="904"/>
    </row>
    <row r="5" spans="1:20" s="305" customFormat="1" ht="15.75">
      <c r="A5" s="471"/>
      <c r="B5" s="473"/>
      <c r="H5" s="904" t="s">
        <v>1864</v>
      </c>
      <c r="I5" s="904"/>
      <c r="J5" s="904"/>
      <c r="K5" s="904"/>
      <c r="L5" s="904"/>
      <c r="M5" s="904"/>
      <c r="N5" s="904"/>
      <c r="O5" s="904"/>
      <c r="P5" s="904"/>
    </row>
    <row r="6" spans="1:20" s="471" customFormat="1" ht="15.75">
      <c r="B6" s="474" t="s">
        <v>803</v>
      </c>
      <c r="C6" s="471" t="s">
        <v>801</v>
      </c>
      <c r="D6" s="471" t="s">
        <v>802</v>
      </c>
      <c r="E6" s="471" t="s">
        <v>805</v>
      </c>
      <c r="F6" s="471" t="s">
        <v>806</v>
      </c>
      <c r="G6" s="471" t="s">
        <v>807</v>
      </c>
      <c r="H6" s="349" t="s">
        <v>808</v>
      </c>
      <c r="I6" s="349" t="s">
        <v>809</v>
      </c>
      <c r="J6" s="349" t="s">
        <v>810</v>
      </c>
      <c r="K6" s="349" t="s">
        <v>811</v>
      </c>
      <c r="L6" s="349" t="s">
        <v>812</v>
      </c>
      <c r="M6" s="349" t="s">
        <v>813</v>
      </c>
      <c r="N6" s="349" t="s">
        <v>814</v>
      </c>
      <c r="O6" s="349" t="s">
        <v>815</v>
      </c>
      <c r="P6" s="349" t="s">
        <v>816</v>
      </c>
      <c r="Q6" s="471" t="s">
        <v>1020</v>
      </c>
      <c r="R6" s="471" t="s">
        <v>1021</v>
      </c>
      <c r="S6" s="471" t="s">
        <v>1022</v>
      </c>
      <c r="T6" s="471" t="s">
        <v>1023</v>
      </c>
    </row>
    <row r="7" spans="1:20" s="305" customFormat="1" ht="15.75" thickBot="1">
      <c r="A7" s="471"/>
      <c r="B7" s="473" t="s">
        <v>1982</v>
      </c>
    </row>
    <row r="8" spans="1:20" s="305" customFormat="1">
      <c r="A8" s="471" t="s">
        <v>662</v>
      </c>
      <c r="B8" s="341"/>
      <c r="C8" s="340"/>
      <c r="D8" s="340"/>
      <c r="E8" s="339"/>
      <c r="F8" s="340"/>
      <c r="G8" s="340"/>
      <c r="H8" s="343"/>
      <c r="I8" s="343"/>
      <c r="J8" s="342"/>
      <c r="K8" s="341"/>
      <c r="L8" s="340"/>
      <c r="M8" s="340"/>
      <c r="N8" s="339"/>
      <c r="O8" s="341"/>
      <c r="P8" s="340"/>
      <c r="Q8" s="339"/>
      <c r="R8" s="341"/>
      <c r="S8" s="340"/>
      <c r="T8" s="339"/>
    </row>
    <row r="9" spans="1:20" s="305" customFormat="1">
      <c r="A9" s="471">
        <v>1</v>
      </c>
      <c r="B9" s="337" t="s">
        <v>60</v>
      </c>
      <c r="C9" s="334"/>
      <c r="D9" s="334"/>
      <c r="E9" s="333"/>
      <c r="F9" s="338" t="s">
        <v>60</v>
      </c>
      <c r="G9" s="334"/>
      <c r="H9" s="336"/>
      <c r="I9" s="336"/>
      <c r="J9" s="335"/>
      <c r="K9" s="337" t="s">
        <v>60</v>
      </c>
      <c r="L9" s="334"/>
      <c r="M9" s="334"/>
      <c r="N9" s="333"/>
      <c r="O9" s="337" t="s">
        <v>60</v>
      </c>
      <c r="P9" s="334"/>
      <c r="Q9" s="333"/>
      <c r="R9" s="337" t="s">
        <v>60</v>
      </c>
      <c r="S9" s="334"/>
      <c r="T9" s="333"/>
    </row>
    <row r="10" spans="1:20" s="305" customFormat="1" ht="14.25">
      <c r="A10" s="471">
        <v>2</v>
      </c>
      <c r="B10" s="337" t="s">
        <v>1094</v>
      </c>
      <c r="C10" s="334"/>
      <c r="D10" s="334"/>
      <c r="E10" s="333"/>
      <c r="F10" s="338" t="s">
        <v>1093</v>
      </c>
      <c r="G10" s="334"/>
      <c r="H10" s="336"/>
      <c r="I10" s="336"/>
      <c r="J10" s="335"/>
      <c r="K10" s="337" t="s">
        <v>1092</v>
      </c>
      <c r="L10" s="334"/>
      <c r="M10" s="334"/>
      <c r="N10" s="333"/>
      <c r="O10" s="337" t="s">
        <v>1091</v>
      </c>
      <c r="P10" s="334"/>
      <c r="Q10" s="333"/>
      <c r="R10" s="337" t="s">
        <v>117</v>
      </c>
      <c r="S10" s="334"/>
      <c r="T10" s="333"/>
    </row>
    <row r="11" spans="1:20" s="305" customFormat="1">
      <c r="A11" s="471">
        <v>3</v>
      </c>
      <c r="B11" s="475">
        <v>2018</v>
      </c>
      <c r="C11" s="334"/>
      <c r="D11" s="334"/>
      <c r="E11" s="333"/>
      <c r="F11" s="476">
        <f>+B11</f>
        <v>2018</v>
      </c>
      <c r="G11" s="334"/>
      <c r="H11" s="336"/>
      <c r="I11" s="336"/>
      <c r="J11" s="335"/>
      <c r="K11" s="477">
        <f>+B11</f>
        <v>2018</v>
      </c>
      <c r="L11" s="334"/>
      <c r="M11" s="334"/>
      <c r="N11" s="333"/>
      <c r="O11" s="477">
        <f>B11</f>
        <v>2018</v>
      </c>
      <c r="P11" s="334"/>
      <c r="Q11" s="333"/>
      <c r="R11" s="477">
        <f>B11</f>
        <v>2018</v>
      </c>
      <c r="S11" s="334"/>
      <c r="T11" s="333"/>
    </row>
    <row r="12" spans="1:20" s="305" customFormat="1">
      <c r="A12" s="471"/>
      <c r="B12" s="314"/>
      <c r="C12" s="313"/>
      <c r="D12" s="313"/>
      <c r="E12" s="312"/>
      <c r="F12" s="313"/>
      <c r="G12" s="313"/>
      <c r="H12" s="319"/>
      <c r="I12" s="319"/>
      <c r="J12" s="318"/>
      <c r="K12" s="314"/>
      <c r="L12" s="313"/>
      <c r="M12" s="313"/>
      <c r="N12" s="312"/>
      <c r="O12" s="314"/>
      <c r="P12" s="313"/>
      <c r="Q12" s="312"/>
      <c r="R12" s="314"/>
      <c r="S12" s="313"/>
      <c r="T12" s="312"/>
    </row>
    <row r="13" spans="1:20" s="305" customFormat="1">
      <c r="A13" s="471">
        <v>4</v>
      </c>
      <c r="B13" s="314"/>
      <c r="C13" s="313"/>
      <c r="D13" s="313"/>
      <c r="E13" s="312"/>
      <c r="F13" s="315" t="s">
        <v>1090</v>
      </c>
      <c r="G13" s="313"/>
      <c r="H13" s="331" t="s">
        <v>372</v>
      </c>
      <c r="I13" s="331" t="s">
        <v>734</v>
      </c>
      <c r="J13" s="318"/>
      <c r="K13" s="314"/>
      <c r="L13" s="313"/>
      <c r="M13" s="313"/>
      <c r="N13" s="312"/>
      <c r="O13" s="314"/>
      <c r="P13" s="313"/>
      <c r="Q13" s="312"/>
      <c r="R13" s="314"/>
      <c r="S13" s="313"/>
      <c r="T13" s="312"/>
    </row>
    <row r="14" spans="1:20" s="305" customFormat="1">
      <c r="A14" s="471">
        <v>5</v>
      </c>
      <c r="B14" s="314"/>
      <c r="C14" s="325" t="s">
        <v>372</v>
      </c>
      <c r="D14" s="325" t="s">
        <v>734</v>
      </c>
      <c r="E14" s="324" t="s">
        <v>58</v>
      </c>
      <c r="F14" s="313"/>
      <c r="G14" s="332"/>
      <c r="H14" s="331" t="s">
        <v>755</v>
      </c>
      <c r="I14" s="331" t="s">
        <v>755</v>
      </c>
      <c r="J14" s="318"/>
      <c r="K14" s="314"/>
      <c r="L14" s="313"/>
      <c r="M14" s="313"/>
      <c r="N14" s="312"/>
      <c r="O14" s="314"/>
      <c r="P14" s="327" t="s">
        <v>1089</v>
      </c>
      <c r="Q14" s="328"/>
      <c r="R14" s="321" t="s">
        <v>1088</v>
      </c>
      <c r="S14" s="313"/>
      <c r="T14" s="312"/>
    </row>
    <row r="15" spans="1:20" s="305" customFormat="1">
      <c r="A15" s="471">
        <v>6</v>
      </c>
      <c r="B15" s="314"/>
      <c r="C15" s="317"/>
      <c r="D15" s="317"/>
      <c r="E15" s="316"/>
      <c r="F15" s="313"/>
      <c r="G15" s="325" t="s">
        <v>1087</v>
      </c>
      <c r="H15" s="330" t="s">
        <v>1086</v>
      </c>
      <c r="I15" s="330" t="s">
        <v>1086</v>
      </c>
      <c r="J15" s="318"/>
      <c r="K15" s="314"/>
      <c r="L15" s="327" t="s">
        <v>372</v>
      </c>
      <c r="M15" s="327" t="s">
        <v>734</v>
      </c>
      <c r="N15" s="328"/>
      <c r="O15" s="314"/>
      <c r="P15" s="325" t="s">
        <v>1085</v>
      </c>
      <c r="Q15" s="324" t="s">
        <v>1078</v>
      </c>
      <c r="R15" s="314"/>
      <c r="S15" s="313"/>
      <c r="T15" s="312"/>
    </row>
    <row r="16" spans="1:20" s="305" customFormat="1">
      <c r="A16" s="471">
        <v>7</v>
      </c>
      <c r="B16" s="321" t="s">
        <v>1084</v>
      </c>
      <c r="C16" s="478">
        <f>Q17</f>
        <v>0.74299999999999999</v>
      </c>
      <c r="D16" s="478">
        <f>E16-C16</f>
        <v>0.25700000000000001</v>
      </c>
      <c r="E16" s="479">
        <v>1</v>
      </c>
      <c r="F16" s="313"/>
      <c r="G16" s="317"/>
      <c r="H16" s="320"/>
      <c r="I16" s="320"/>
      <c r="J16" s="318"/>
      <c r="K16" s="314"/>
      <c r="L16" s="325" t="s">
        <v>1083</v>
      </c>
      <c r="M16" s="325" t="s">
        <v>1083</v>
      </c>
      <c r="N16" s="324" t="s">
        <v>58</v>
      </c>
      <c r="O16" s="314"/>
      <c r="P16" s="317"/>
      <c r="Q16" s="316"/>
      <c r="R16" s="314"/>
      <c r="S16" s="313"/>
      <c r="T16" s="312"/>
    </row>
    <row r="17" spans="1:21" s="305" customFormat="1">
      <c r="A17" s="471">
        <v>8</v>
      </c>
      <c r="B17" s="321" t="s">
        <v>1082</v>
      </c>
      <c r="C17" s="478">
        <f>H39</f>
        <v>0.73719999999999997</v>
      </c>
      <c r="D17" s="478">
        <f>E17-C17</f>
        <v>0.26280000000000003</v>
      </c>
      <c r="E17" s="479">
        <v>1</v>
      </c>
      <c r="F17" s="313"/>
      <c r="G17" s="480">
        <v>43100</v>
      </c>
      <c r="H17" s="481">
        <v>172</v>
      </c>
      <c r="I17" s="481">
        <v>62</v>
      </c>
      <c r="J17" s="318"/>
      <c r="K17" s="314"/>
      <c r="L17" s="317"/>
      <c r="M17" s="317"/>
      <c r="N17" s="316"/>
      <c r="O17" s="321" t="s">
        <v>372</v>
      </c>
      <c r="P17" s="481">
        <f>+P62</f>
        <v>214995.91666666666</v>
      </c>
      <c r="Q17" s="479">
        <f>ROUND(P17/P21,4)</f>
        <v>0.74299999999999999</v>
      </c>
      <c r="R17" s="314"/>
      <c r="S17" s="329">
        <f>R11</f>
        <v>2018</v>
      </c>
      <c r="T17" s="328"/>
    </row>
    <row r="18" spans="1:21" s="305" customFormat="1">
      <c r="A18" s="471">
        <v>9</v>
      </c>
      <c r="B18" s="321" t="s">
        <v>1081</v>
      </c>
      <c r="C18" s="482">
        <f>L25</f>
        <v>0.77490000000000003</v>
      </c>
      <c r="D18" s="482">
        <f>E18-C18</f>
        <v>0.22509999999999997</v>
      </c>
      <c r="E18" s="483">
        <v>1</v>
      </c>
      <c r="F18" s="313"/>
      <c r="G18" s="480">
        <v>43130</v>
      </c>
      <c r="H18" s="481">
        <v>173</v>
      </c>
      <c r="I18" s="481">
        <v>62</v>
      </c>
      <c r="J18" s="318"/>
      <c r="K18" s="321" t="s">
        <v>1080</v>
      </c>
      <c r="L18" s="305">
        <v>780275999</v>
      </c>
      <c r="M18" s="305">
        <v>226716210</v>
      </c>
      <c r="N18" s="484">
        <f>SUM(L18:M18)</f>
        <v>1006992209</v>
      </c>
      <c r="O18" s="321" t="s">
        <v>734</v>
      </c>
      <c r="P18" s="485">
        <f>+Q62</f>
        <v>74376.666666666672</v>
      </c>
      <c r="Q18" s="483">
        <f>Q21-Q17</f>
        <v>0.25700000000000001</v>
      </c>
      <c r="R18" s="314"/>
      <c r="S18" s="327" t="s">
        <v>1057</v>
      </c>
      <c r="T18" s="326" t="s">
        <v>721</v>
      </c>
    </row>
    <row r="19" spans="1:21" s="305" customFormat="1">
      <c r="A19" s="471">
        <v>10</v>
      </c>
      <c r="B19" s="314"/>
      <c r="C19" s="317"/>
      <c r="D19" s="317"/>
      <c r="E19" s="316"/>
      <c r="F19" s="313"/>
      <c r="G19" s="480">
        <v>43158</v>
      </c>
      <c r="H19" s="481">
        <v>173</v>
      </c>
      <c r="I19" s="481">
        <v>60</v>
      </c>
      <c r="J19" s="318"/>
      <c r="K19" s="314"/>
      <c r="L19" s="319"/>
      <c r="M19" s="319"/>
      <c r="N19" s="318"/>
      <c r="O19" s="314"/>
      <c r="P19" s="320"/>
      <c r="Q19" s="316"/>
      <c r="R19" s="314"/>
      <c r="S19" s="325" t="s">
        <v>41</v>
      </c>
      <c r="T19" s="324" t="s">
        <v>1079</v>
      </c>
    </row>
    <row r="20" spans="1:21">
      <c r="A20" s="348">
        <v>11</v>
      </c>
      <c r="B20" s="314"/>
      <c r="C20" s="313"/>
      <c r="D20" s="313"/>
      <c r="E20" s="312"/>
      <c r="F20" s="313"/>
      <c r="G20" s="480">
        <v>43188</v>
      </c>
      <c r="H20" s="481">
        <v>173</v>
      </c>
      <c r="I20" s="481">
        <v>60</v>
      </c>
      <c r="J20" s="318"/>
      <c r="K20" s="314"/>
      <c r="L20" s="320"/>
      <c r="M20" s="320"/>
      <c r="N20" s="486"/>
      <c r="O20" s="314"/>
      <c r="P20" s="319"/>
      <c r="Q20" s="312"/>
      <c r="R20" s="314"/>
      <c r="S20" s="320"/>
      <c r="T20" s="326"/>
    </row>
    <row r="21" spans="1:21">
      <c r="A21" s="348">
        <v>12</v>
      </c>
      <c r="B21" s="321" t="s">
        <v>115</v>
      </c>
      <c r="C21" s="482">
        <f>ROUND(AVERAGE(C16:C18),4)</f>
        <v>0.75170000000000003</v>
      </c>
      <c r="D21" s="482">
        <f>AVERAGE(D16:D18)</f>
        <v>0.24829999999999999</v>
      </c>
      <c r="E21" s="483">
        <f>AVERAGE(E16:E18)</f>
        <v>1</v>
      </c>
      <c r="F21" s="313"/>
      <c r="G21" s="480">
        <v>43218</v>
      </c>
      <c r="H21" s="481">
        <v>172</v>
      </c>
      <c r="I21" s="481">
        <v>60</v>
      </c>
      <c r="J21" s="318"/>
      <c r="K21" s="314"/>
      <c r="L21" s="319"/>
      <c r="M21" s="319"/>
      <c r="N21" s="318"/>
      <c r="O21" s="321" t="s">
        <v>58</v>
      </c>
      <c r="P21" s="487">
        <f>SUM(P16:P19)</f>
        <v>289372.58333333331</v>
      </c>
      <c r="Q21" s="483">
        <v>1</v>
      </c>
      <c r="R21" s="321" t="s">
        <v>372</v>
      </c>
      <c r="S21" s="481">
        <v>302980258</v>
      </c>
      <c r="T21" s="326">
        <f>ROUND(S21/S25,4)</f>
        <v>0.75539999999999996</v>
      </c>
      <c r="U21" s="323"/>
    </row>
    <row r="22" spans="1:21">
      <c r="A22" s="348">
        <v>13</v>
      </c>
      <c r="B22" s="314"/>
      <c r="C22" s="317"/>
      <c r="D22" s="317"/>
      <c r="E22" s="316"/>
      <c r="F22" s="313"/>
      <c r="G22" s="480">
        <v>43248</v>
      </c>
      <c r="H22" s="481">
        <v>172</v>
      </c>
      <c r="I22" s="481">
        <v>59</v>
      </c>
      <c r="J22" s="318"/>
      <c r="K22" s="314"/>
      <c r="L22" s="317"/>
      <c r="M22" s="317"/>
      <c r="N22" s="316"/>
      <c r="O22" s="314"/>
      <c r="P22" s="320"/>
      <c r="Q22" s="316"/>
      <c r="R22" s="321" t="s">
        <v>734</v>
      </c>
      <c r="S22" s="481">
        <v>98079245</v>
      </c>
      <c r="T22" s="324">
        <f>T25-T21</f>
        <v>0.24460000000000004</v>
      </c>
      <c r="U22" s="323"/>
    </row>
    <row r="23" spans="1:21">
      <c r="A23" s="348">
        <v>14</v>
      </c>
      <c r="B23" s="314"/>
      <c r="C23" s="488"/>
      <c r="D23" s="313"/>
      <c r="E23" s="312"/>
      <c r="F23" s="313"/>
      <c r="G23" s="480">
        <v>43278</v>
      </c>
      <c r="H23" s="481">
        <v>179</v>
      </c>
      <c r="I23" s="481">
        <v>62</v>
      </c>
      <c r="J23" s="318"/>
      <c r="K23" s="314"/>
      <c r="L23" s="313"/>
      <c r="M23" s="313"/>
      <c r="N23" s="312"/>
      <c r="O23" s="314"/>
      <c r="P23" s="313"/>
      <c r="Q23" s="312"/>
      <c r="R23" s="314"/>
      <c r="S23" s="320"/>
      <c r="T23" s="326"/>
    </row>
    <row r="24" spans="1:21">
      <c r="A24" s="348">
        <v>15</v>
      </c>
      <c r="B24" s="314"/>
      <c r="C24" s="313"/>
      <c r="D24" s="313"/>
      <c r="E24" s="312"/>
      <c r="F24" s="313"/>
      <c r="G24" s="480">
        <v>43308</v>
      </c>
      <c r="H24" s="481">
        <v>179</v>
      </c>
      <c r="I24" s="481">
        <v>63</v>
      </c>
      <c r="J24" s="318"/>
      <c r="K24" s="314"/>
      <c r="L24" s="313"/>
      <c r="M24" s="313"/>
      <c r="N24" s="312"/>
      <c r="O24" s="314"/>
      <c r="P24" s="313"/>
      <c r="Q24" s="312"/>
      <c r="R24" s="314"/>
      <c r="S24" s="319"/>
      <c r="T24" s="328"/>
    </row>
    <row r="25" spans="1:21">
      <c r="A25" s="348">
        <v>16</v>
      </c>
      <c r="B25" s="314"/>
      <c r="C25" s="313"/>
      <c r="D25" s="313"/>
      <c r="E25" s="312"/>
      <c r="F25" s="313"/>
      <c r="G25" s="480">
        <v>43338</v>
      </c>
      <c r="H25" s="481">
        <v>177</v>
      </c>
      <c r="I25" s="481">
        <v>63</v>
      </c>
      <c r="J25" s="318"/>
      <c r="K25" s="321" t="s">
        <v>1078</v>
      </c>
      <c r="L25" s="482">
        <f>ROUND(L18/N18,4)</f>
        <v>0.77490000000000003</v>
      </c>
      <c r="M25" s="482">
        <f>N25-L25</f>
        <v>0.22509999999999997</v>
      </c>
      <c r="N25" s="483">
        <v>1</v>
      </c>
      <c r="O25" s="314"/>
      <c r="P25" s="313"/>
      <c r="Q25" s="312"/>
      <c r="R25" s="314"/>
      <c r="S25" s="487">
        <f>SUM(S20:S23)</f>
        <v>401059503</v>
      </c>
      <c r="T25" s="324">
        <v>1</v>
      </c>
    </row>
    <row r="26" spans="1:21">
      <c r="A26" s="348">
        <v>17</v>
      </c>
      <c r="B26" s="314"/>
      <c r="C26" s="313"/>
      <c r="D26" s="313"/>
      <c r="E26" s="312"/>
      <c r="F26" s="313"/>
      <c r="G26" s="480">
        <v>43368</v>
      </c>
      <c r="H26" s="481">
        <v>169</v>
      </c>
      <c r="I26" s="481">
        <v>63</v>
      </c>
      <c r="J26" s="318"/>
      <c r="K26" s="314"/>
      <c r="L26" s="317"/>
      <c r="M26" s="317"/>
      <c r="N26" s="316"/>
      <c r="O26" s="314"/>
      <c r="P26" s="313"/>
      <c r="Q26" s="312"/>
      <c r="R26" s="314"/>
      <c r="S26" s="320"/>
      <c r="T26" s="316"/>
    </row>
    <row r="27" spans="1:21">
      <c r="A27" s="348">
        <v>18</v>
      </c>
      <c r="B27" s="314"/>
      <c r="C27" s="313"/>
      <c r="D27" s="313"/>
      <c r="E27" s="312"/>
      <c r="F27" s="313"/>
      <c r="G27" s="480">
        <v>43398</v>
      </c>
      <c r="H27" s="481">
        <v>170</v>
      </c>
      <c r="I27" s="481">
        <v>63</v>
      </c>
      <c r="J27" s="318"/>
      <c r="K27" s="314"/>
      <c r="L27" s="313"/>
      <c r="M27" s="313"/>
      <c r="N27" s="312"/>
      <c r="O27" s="314"/>
      <c r="P27" s="313"/>
      <c r="Q27" s="312"/>
      <c r="R27" s="314"/>
      <c r="S27" s="319"/>
      <c r="T27" s="312"/>
    </row>
    <row r="28" spans="1:21">
      <c r="A28" s="348">
        <v>19</v>
      </c>
      <c r="B28" s="314"/>
      <c r="C28" s="313"/>
      <c r="D28" s="313"/>
      <c r="E28" s="312"/>
      <c r="F28" s="313"/>
      <c r="G28" s="480">
        <v>43428</v>
      </c>
      <c r="H28" s="481">
        <v>176</v>
      </c>
      <c r="I28" s="481">
        <v>65</v>
      </c>
      <c r="J28" s="318"/>
      <c r="K28" s="314"/>
      <c r="L28" s="322"/>
      <c r="M28" s="322"/>
      <c r="N28" s="312"/>
      <c r="O28" s="314"/>
      <c r="P28" s="313"/>
      <c r="Q28" s="312"/>
      <c r="R28" s="314"/>
      <c r="S28" s="313"/>
      <c r="T28" s="312"/>
    </row>
    <row r="29" spans="1:21">
      <c r="A29" s="348">
        <v>20</v>
      </c>
      <c r="B29" s="321" t="s">
        <v>117</v>
      </c>
      <c r="C29" s="482">
        <f>T21</f>
        <v>0.75539999999999996</v>
      </c>
      <c r="D29" s="482">
        <f>E29-C29</f>
        <v>0.24460000000000004</v>
      </c>
      <c r="E29" s="483">
        <v>1</v>
      </c>
      <c r="F29" s="313"/>
      <c r="G29" s="480">
        <v>43458</v>
      </c>
      <c r="H29" s="485">
        <v>174</v>
      </c>
      <c r="I29" s="485">
        <v>65</v>
      </c>
      <c r="J29" s="318"/>
      <c r="K29" s="321"/>
      <c r="L29" s="313"/>
      <c r="M29" s="313"/>
      <c r="N29" s="312"/>
      <c r="O29" s="314"/>
      <c r="P29" s="313"/>
      <c r="Q29" s="312"/>
      <c r="R29" s="314"/>
      <c r="S29" s="313"/>
      <c r="T29" s="312"/>
    </row>
    <row r="30" spans="1:21">
      <c r="A30" s="348">
        <v>21</v>
      </c>
      <c r="B30" s="314"/>
      <c r="C30" s="317"/>
      <c r="D30" s="317"/>
      <c r="E30" s="316"/>
      <c r="F30" s="313"/>
      <c r="G30" s="313"/>
      <c r="H30" s="320"/>
      <c r="I30" s="320" t="s">
        <v>56</v>
      </c>
      <c r="J30" s="318"/>
      <c r="K30" s="314"/>
      <c r="L30" s="313"/>
      <c r="M30" s="313"/>
      <c r="N30" s="312"/>
      <c r="O30" s="314"/>
      <c r="P30" s="313"/>
      <c r="Q30" s="312"/>
      <c r="R30" s="314"/>
      <c r="S30" s="313"/>
      <c r="T30" s="312"/>
    </row>
    <row r="31" spans="1:21">
      <c r="A31" s="348">
        <v>22</v>
      </c>
      <c r="B31" s="314"/>
      <c r="C31" s="313"/>
      <c r="D31" s="313"/>
      <c r="E31" s="312"/>
      <c r="F31" s="313"/>
      <c r="G31" s="313"/>
      <c r="H31" s="319"/>
      <c r="I31" s="319"/>
      <c r="J31" s="318"/>
      <c r="K31" s="314"/>
      <c r="L31" s="313"/>
      <c r="M31" s="313"/>
      <c r="N31" s="312"/>
      <c r="O31" s="314"/>
      <c r="P31" s="313"/>
      <c r="Q31" s="312"/>
      <c r="R31" s="314"/>
      <c r="S31" s="313"/>
      <c r="T31" s="312"/>
    </row>
    <row r="32" spans="1:21">
      <c r="A32" s="348">
        <v>23</v>
      </c>
      <c r="B32" s="314"/>
      <c r="C32" s="313"/>
      <c r="D32" s="313"/>
      <c r="E32" s="312"/>
      <c r="F32" s="313"/>
      <c r="G32" s="313"/>
      <c r="H32" s="489">
        <f>SUM(H16:H30)</f>
        <v>2259</v>
      </c>
      <c r="I32" s="489">
        <f>SUM(I16:I30)</f>
        <v>807</v>
      </c>
      <c r="J32" s="318"/>
      <c r="K32" s="314"/>
      <c r="L32" s="313"/>
      <c r="M32" s="313"/>
      <c r="N32" s="312"/>
      <c r="O32" s="314"/>
      <c r="P32" s="313"/>
      <c r="Q32" s="312"/>
      <c r="R32" s="314"/>
      <c r="S32" s="313"/>
      <c r="T32" s="312"/>
    </row>
    <row r="33" spans="1:20">
      <c r="A33" s="348">
        <v>24</v>
      </c>
      <c r="B33" s="314"/>
      <c r="C33" s="313"/>
      <c r="D33" s="313"/>
      <c r="E33" s="312"/>
      <c r="F33" s="313"/>
      <c r="G33" s="313"/>
      <c r="H33" s="319" t="s">
        <v>56</v>
      </c>
      <c r="I33" s="319" t="s">
        <v>56</v>
      </c>
      <c r="J33" s="318"/>
      <c r="K33" s="314"/>
      <c r="L33" s="313"/>
      <c r="M33" s="313"/>
      <c r="N33" s="312"/>
      <c r="O33" s="314"/>
      <c r="P33" s="313"/>
      <c r="Q33" s="312"/>
      <c r="R33" s="314"/>
      <c r="S33" s="313"/>
      <c r="T33" s="312"/>
    </row>
    <row r="34" spans="1:20">
      <c r="A34" s="348">
        <v>25</v>
      </c>
      <c r="B34" s="321"/>
      <c r="C34" s="490"/>
      <c r="D34" s="478"/>
      <c r="E34" s="479"/>
      <c r="F34" s="313"/>
      <c r="G34" s="313"/>
      <c r="H34" s="319"/>
      <c r="I34" s="319" t="s">
        <v>56</v>
      </c>
      <c r="J34" s="318"/>
      <c r="K34" s="314"/>
      <c r="L34" s="305"/>
      <c r="M34" s="313"/>
      <c r="N34" s="312"/>
      <c r="O34" s="314"/>
      <c r="P34" s="313"/>
      <c r="Q34" s="312"/>
      <c r="R34" s="314"/>
      <c r="S34" s="313"/>
      <c r="T34" s="312"/>
    </row>
    <row r="35" spans="1:20">
      <c r="A35" s="348">
        <v>26</v>
      </c>
      <c r="B35" s="314"/>
      <c r="C35" s="317"/>
      <c r="D35" s="317"/>
      <c r="E35" s="316"/>
      <c r="F35" s="315" t="s">
        <v>1077</v>
      </c>
      <c r="G35" s="313"/>
      <c r="H35" s="487">
        <f>ROUND((SUM(H18:H28)*2+H17+H29)/24,2)</f>
        <v>173.83</v>
      </c>
      <c r="I35" s="487">
        <f>ROUND((SUM(I18:I28)*2+I17+I29)/24,2)</f>
        <v>61.96</v>
      </c>
      <c r="J35" s="491">
        <f>H35+I35</f>
        <v>235.79000000000002</v>
      </c>
      <c r="K35" s="314"/>
      <c r="L35" s="313"/>
      <c r="M35" s="313"/>
      <c r="N35" s="312"/>
      <c r="O35" s="314"/>
      <c r="P35" s="313"/>
      <c r="Q35" s="312"/>
      <c r="R35" s="314"/>
      <c r="S35" s="313"/>
      <c r="T35" s="312"/>
    </row>
    <row r="36" spans="1:20">
      <c r="A36" s="348">
        <v>27</v>
      </c>
      <c r="B36" s="314"/>
      <c r="C36" s="313"/>
      <c r="D36" s="313"/>
      <c r="E36" s="312"/>
      <c r="F36" s="313"/>
      <c r="G36" s="313"/>
      <c r="H36" s="317"/>
      <c r="I36" s="317" t="s">
        <v>56</v>
      </c>
      <c r="J36" s="316"/>
      <c r="K36" s="314"/>
      <c r="L36" s="313"/>
      <c r="M36" s="313"/>
      <c r="N36" s="312"/>
      <c r="O36" s="314"/>
      <c r="P36" s="313"/>
      <c r="Q36" s="312"/>
      <c r="R36" s="314"/>
      <c r="S36" s="313"/>
      <c r="T36" s="312"/>
    </row>
    <row r="37" spans="1:20">
      <c r="A37" s="348">
        <v>28</v>
      </c>
      <c r="B37" s="314"/>
      <c r="C37" s="313"/>
      <c r="D37" s="313"/>
      <c r="E37" s="312"/>
      <c r="F37" s="313"/>
      <c r="G37" s="313"/>
      <c r="H37" s="313"/>
      <c r="I37" s="313"/>
      <c r="J37" s="312"/>
      <c r="K37" s="314"/>
      <c r="L37" s="313"/>
      <c r="M37" s="313"/>
      <c r="N37" s="312"/>
      <c r="O37" s="314"/>
      <c r="P37" s="313"/>
      <c r="Q37" s="312"/>
      <c r="R37" s="314"/>
      <c r="S37" s="313"/>
      <c r="T37" s="312"/>
    </row>
    <row r="38" spans="1:20">
      <c r="A38" s="348">
        <v>29</v>
      </c>
      <c r="B38" s="314"/>
      <c r="C38" s="313"/>
      <c r="D38" s="313"/>
      <c r="E38" s="312"/>
      <c r="F38" s="313"/>
      <c r="G38" s="313"/>
      <c r="H38" s="313"/>
      <c r="I38" s="313"/>
      <c r="J38" s="312"/>
      <c r="K38" s="314"/>
      <c r="L38" s="313"/>
      <c r="M38" s="313"/>
      <c r="N38" s="312"/>
      <c r="O38" s="314"/>
      <c r="P38" s="313"/>
      <c r="Q38" s="312"/>
      <c r="R38" s="314"/>
      <c r="S38" s="313"/>
      <c r="T38" s="312"/>
    </row>
    <row r="39" spans="1:20">
      <c r="A39" s="348">
        <v>30</v>
      </c>
      <c r="B39" s="314"/>
      <c r="C39" s="313"/>
      <c r="D39" s="313"/>
      <c r="E39" s="312"/>
      <c r="F39" s="313"/>
      <c r="G39" s="315" t="s">
        <v>1076</v>
      </c>
      <c r="H39" s="482">
        <f>ROUND(H35/J35,4)</f>
        <v>0.73719999999999997</v>
      </c>
      <c r="I39" s="482">
        <f>J39-H39</f>
        <v>0.26280000000000003</v>
      </c>
      <c r="J39" s="483">
        <v>1</v>
      </c>
      <c r="K39" s="314"/>
      <c r="L39" s="313"/>
      <c r="M39" s="313"/>
      <c r="N39" s="312"/>
      <c r="O39" s="314"/>
      <c r="P39" s="313"/>
      <c r="Q39" s="312"/>
      <c r="R39" s="314"/>
      <c r="S39" s="313"/>
      <c r="T39" s="312"/>
    </row>
    <row r="40" spans="1:20">
      <c r="A40" s="348">
        <v>31</v>
      </c>
      <c r="B40" s="314"/>
      <c r="C40" s="313"/>
      <c r="D40" s="313"/>
      <c r="E40" s="312"/>
      <c r="F40" s="313"/>
      <c r="G40" s="313"/>
      <c r="H40" s="317"/>
      <c r="I40" s="317"/>
      <c r="J40" s="316"/>
      <c r="K40" s="314"/>
      <c r="L40" s="313"/>
      <c r="M40" s="313"/>
      <c r="N40" s="312"/>
      <c r="O40" s="314"/>
      <c r="P40" s="313"/>
      <c r="Q40" s="312"/>
      <c r="R40" s="314"/>
      <c r="S40" s="313"/>
      <c r="T40" s="312"/>
    </row>
    <row r="41" spans="1:20">
      <c r="A41" s="348">
        <v>32</v>
      </c>
      <c r="B41" s="314"/>
      <c r="C41" s="313"/>
      <c r="D41" s="313"/>
      <c r="E41" s="312"/>
      <c r="F41" s="313"/>
      <c r="G41" s="313"/>
      <c r="H41" s="313"/>
      <c r="I41" s="313"/>
      <c r="J41" s="312"/>
      <c r="K41" s="314"/>
      <c r="L41" s="313"/>
      <c r="M41" s="313"/>
      <c r="N41" s="312"/>
      <c r="O41" s="314"/>
      <c r="P41" s="313"/>
      <c r="Q41" s="312"/>
      <c r="R41" s="314"/>
      <c r="S41" s="313"/>
      <c r="T41" s="312"/>
    </row>
    <row r="42" spans="1:20">
      <c r="A42" s="348">
        <v>33</v>
      </c>
      <c r="B42" s="314"/>
      <c r="C42" s="313"/>
      <c r="D42" s="313"/>
      <c r="E42" s="312"/>
      <c r="F42" s="313"/>
      <c r="G42" s="313"/>
      <c r="H42" s="313"/>
      <c r="I42" s="313"/>
      <c r="J42" s="312"/>
      <c r="K42" s="314"/>
      <c r="L42" s="313"/>
      <c r="M42" s="313"/>
      <c r="N42" s="312"/>
      <c r="O42" s="314"/>
      <c r="P42" s="313"/>
      <c r="Q42" s="312"/>
      <c r="R42" s="314"/>
      <c r="S42" s="313"/>
      <c r="T42" s="312"/>
    </row>
    <row r="43" spans="1:20">
      <c r="A43" s="348">
        <v>34</v>
      </c>
      <c r="B43" s="314"/>
      <c r="C43" s="313"/>
      <c r="D43" s="313"/>
      <c r="E43" s="312"/>
      <c r="F43" s="315" t="s">
        <v>1075</v>
      </c>
      <c r="G43" s="313"/>
      <c r="H43" s="313"/>
      <c r="I43" s="313"/>
      <c r="J43" s="312"/>
      <c r="K43" s="314"/>
      <c r="L43" s="313"/>
      <c r="M43" s="313"/>
      <c r="N43" s="312"/>
      <c r="O43" s="314"/>
      <c r="P43" s="313"/>
      <c r="Q43" s="312"/>
      <c r="R43" s="314"/>
      <c r="S43" s="313"/>
      <c r="T43" s="312"/>
    </row>
    <row r="44" spans="1:20">
      <c r="A44" s="348">
        <v>35</v>
      </c>
      <c r="B44" s="314"/>
      <c r="C44" s="313"/>
      <c r="D44" s="313"/>
      <c r="E44" s="312"/>
      <c r="F44" s="315"/>
      <c r="G44" s="313"/>
      <c r="H44" s="313"/>
      <c r="I44" s="313"/>
      <c r="J44" s="312"/>
      <c r="K44" s="314"/>
      <c r="L44" s="313"/>
      <c r="M44" s="313"/>
      <c r="N44" s="312"/>
      <c r="O44" s="314"/>
      <c r="P44" s="313"/>
      <c r="Q44" s="312"/>
      <c r="R44" s="314"/>
      <c r="S44" s="313"/>
      <c r="T44" s="312"/>
    </row>
    <row r="45" spans="1:20" ht="13.5" thickBot="1">
      <c r="A45" s="348">
        <v>36</v>
      </c>
      <c r="B45" s="310"/>
      <c r="C45" s="309"/>
      <c r="D45" s="309"/>
      <c r="E45" s="308"/>
      <c r="F45" s="311"/>
      <c r="G45" s="309"/>
      <c r="H45" s="309"/>
      <c r="I45" s="309"/>
      <c r="J45" s="308"/>
      <c r="K45" s="310"/>
      <c r="L45" s="309"/>
      <c r="M45" s="309"/>
      <c r="N45" s="308"/>
      <c r="O45" s="310"/>
      <c r="P45" s="309"/>
      <c r="Q45" s="308"/>
      <c r="R45" s="310"/>
      <c r="S45" s="309"/>
      <c r="T45" s="308"/>
    </row>
    <row r="46" spans="1:20">
      <c r="A46" s="348">
        <v>37</v>
      </c>
      <c r="B46" s="305"/>
      <c r="C46" s="305"/>
      <c r="D46" s="305"/>
      <c r="E46" s="305"/>
      <c r="F46" s="305"/>
      <c r="G46" s="305"/>
      <c r="H46" s="305"/>
      <c r="I46" s="305"/>
      <c r="J46" s="305"/>
      <c r="K46" s="305"/>
      <c r="L46" s="305"/>
      <c r="M46" s="305"/>
      <c r="N46" s="305"/>
      <c r="O46" s="305"/>
      <c r="P46" s="305"/>
      <c r="Q46" s="305"/>
      <c r="R46" s="305"/>
      <c r="S46" s="305"/>
      <c r="T46" s="305"/>
    </row>
    <row r="47" spans="1:20">
      <c r="A47" s="348">
        <v>38</v>
      </c>
      <c r="B47" s="305"/>
      <c r="C47" s="305"/>
      <c r="D47" s="305"/>
      <c r="E47" s="305"/>
      <c r="F47" s="305"/>
      <c r="G47" s="305"/>
      <c r="H47" s="305"/>
      <c r="I47" s="305"/>
      <c r="J47" s="305"/>
      <c r="K47" s="305"/>
      <c r="L47" s="305"/>
      <c r="M47" s="305"/>
      <c r="N47" s="305"/>
      <c r="O47" s="305"/>
      <c r="P47" s="305"/>
      <c r="Q47" s="305"/>
      <c r="R47" s="305"/>
      <c r="S47" s="305"/>
      <c r="T47" s="305"/>
    </row>
    <row r="48" spans="1:20" ht="14.25">
      <c r="A48" s="348">
        <v>39</v>
      </c>
      <c r="B48" s="305" t="s">
        <v>1074</v>
      </c>
      <c r="C48" s="305"/>
      <c r="D48" s="305"/>
      <c r="E48" s="305"/>
      <c r="F48" s="305"/>
      <c r="G48" s="305"/>
      <c r="H48" s="305"/>
      <c r="I48" s="305"/>
      <c r="J48" s="305"/>
      <c r="K48" s="305"/>
      <c r="L48" s="305"/>
      <c r="M48" s="305"/>
      <c r="N48" s="305"/>
      <c r="O48" s="305"/>
      <c r="P48" s="305"/>
      <c r="Q48" s="305"/>
      <c r="R48" s="305"/>
      <c r="S48" s="305"/>
      <c r="T48" s="305"/>
    </row>
    <row r="49" spans="1:20" ht="14.25">
      <c r="A49" s="348">
        <v>40</v>
      </c>
      <c r="B49" s="305" t="s">
        <v>1073</v>
      </c>
      <c r="C49" s="305"/>
      <c r="D49" s="305"/>
      <c r="E49" s="305"/>
      <c r="F49" s="305"/>
      <c r="G49" s="305"/>
      <c r="H49" s="305"/>
      <c r="I49" s="305"/>
      <c r="J49" s="305"/>
      <c r="K49" s="305"/>
      <c r="L49" s="305"/>
      <c r="M49" s="305"/>
      <c r="N49" s="305"/>
      <c r="O49" s="492">
        <v>2018</v>
      </c>
      <c r="P49" s="493" t="s">
        <v>1072</v>
      </c>
      <c r="Q49" s="493" t="s">
        <v>1071</v>
      </c>
      <c r="R49" s="493" t="s">
        <v>58</v>
      </c>
      <c r="S49" s="305"/>
      <c r="T49" s="305"/>
    </row>
    <row r="50" spans="1:20" ht="14.25">
      <c r="A50" s="348">
        <v>41</v>
      </c>
      <c r="B50" s="305" t="s">
        <v>1070</v>
      </c>
      <c r="C50" s="305"/>
      <c r="D50" s="305"/>
      <c r="E50" s="305"/>
      <c r="F50" s="305"/>
      <c r="G50" s="305"/>
      <c r="H50" s="305"/>
      <c r="I50" s="305"/>
      <c r="J50" s="305"/>
      <c r="K50" s="305"/>
      <c r="L50" s="305"/>
      <c r="M50" s="307"/>
      <c r="N50" s="307"/>
      <c r="O50" s="305" t="s">
        <v>1069</v>
      </c>
      <c r="P50" s="305">
        <v>214279</v>
      </c>
      <c r="Q50" s="305">
        <v>73776</v>
      </c>
      <c r="R50" s="305">
        <f t="shared" ref="R50:R61" si="0">SUM(P50:Q50)</f>
        <v>288055</v>
      </c>
      <c r="S50" s="305" t="s">
        <v>56</v>
      </c>
      <c r="T50" s="305"/>
    </row>
    <row r="51" spans="1:20">
      <c r="B51" s="305"/>
      <c r="C51" s="305"/>
      <c r="D51" s="305"/>
      <c r="E51" s="305"/>
      <c r="F51" s="305"/>
      <c r="G51" s="305"/>
      <c r="H51" s="305"/>
      <c r="I51" s="305"/>
      <c r="J51" s="305"/>
      <c r="K51" s="305"/>
      <c r="L51" s="305"/>
      <c r="M51" s="307"/>
      <c r="N51" s="307"/>
      <c r="O51" s="305" t="s">
        <v>1068</v>
      </c>
      <c r="P51" s="305">
        <v>214536</v>
      </c>
      <c r="Q51" s="305">
        <v>73971</v>
      </c>
      <c r="R51" s="305">
        <f t="shared" si="0"/>
        <v>288507</v>
      </c>
      <c r="S51" s="305"/>
      <c r="T51" s="305"/>
    </row>
    <row r="52" spans="1:20">
      <c r="B52" s="305"/>
      <c r="C52" s="305"/>
      <c r="D52" s="305"/>
      <c r="E52" s="305"/>
      <c r="F52" s="305"/>
      <c r="G52" s="305"/>
      <c r="H52" s="305"/>
      <c r="I52" s="305"/>
      <c r="J52" s="305"/>
      <c r="K52" s="305"/>
      <c r="L52" s="305"/>
      <c r="M52" s="307"/>
      <c r="N52" s="307"/>
      <c r="O52" s="305" t="s">
        <v>1067</v>
      </c>
      <c r="P52" s="305">
        <v>214618</v>
      </c>
      <c r="Q52" s="305">
        <v>74033</v>
      </c>
      <c r="R52" s="305">
        <f t="shared" si="0"/>
        <v>288651</v>
      </c>
      <c r="S52" s="305"/>
      <c r="T52" s="305"/>
    </row>
    <row r="53" spans="1:20">
      <c r="B53" s="305"/>
      <c r="C53" s="305"/>
      <c r="D53" s="305"/>
      <c r="E53" s="305"/>
      <c r="F53" s="305"/>
      <c r="G53" s="305"/>
      <c r="H53" s="305"/>
      <c r="I53" s="305"/>
      <c r="J53" s="305"/>
      <c r="K53" s="305"/>
      <c r="L53" s="305"/>
      <c r="M53" s="307"/>
      <c r="N53" s="307"/>
      <c r="O53" s="305" t="s">
        <v>1066</v>
      </c>
      <c r="P53" s="305">
        <v>214470</v>
      </c>
      <c r="Q53" s="305">
        <v>74085</v>
      </c>
      <c r="R53" s="305">
        <f t="shared" si="0"/>
        <v>288555</v>
      </c>
      <c r="S53" s="305"/>
      <c r="T53" s="305"/>
    </row>
    <row r="54" spans="1:20">
      <c r="B54" s="305"/>
      <c r="C54" s="305"/>
      <c r="D54" s="305"/>
      <c r="E54" s="305"/>
      <c r="F54" s="305"/>
      <c r="G54" s="305"/>
      <c r="H54" s="305"/>
      <c r="I54" s="305"/>
      <c r="J54" s="305"/>
      <c r="K54" s="305"/>
      <c r="L54" s="305"/>
      <c r="M54" s="307"/>
      <c r="N54" s="307"/>
      <c r="O54" s="305" t="s">
        <v>1065</v>
      </c>
      <c r="P54" s="305">
        <v>214194</v>
      </c>
      <c r="Q54" s="305">
        <v>74048</v>
      </c>
      <c r="R54" s="305">
        <f t="shared" si="0"/>
        <v>288242</v>
      </c>
      <c r="S54" s="305"/>
      <c r="T54" s="305"/>
    </row>
    <row r="55" spans="1:20">
      <c r="B55" s="305"/>
      <c r="C55" s="305"/>
      <c r="D55" s="305"/>
      <c r="E55" s="305"/>
      <c r="F55" s="305"/>
      <c r="G55" s="305"/>
      <c r="H55" s="305"/>
      <c r="I55" s="305"/>
      <c r="J55" s="305"/>
      <c r="K55" s="305"/>
      <c r="L55" s="305"/>
      <c r="M55" s="307"/>
      <c r="N55" s="307"/>
      <c r="O55" s="305" t="s">
        <v>1064</v>
      </c>
      <c r="P55" s="305">
        <v>214055</v>
      </c>
      <c r="Q55" s="305">
        <v>74097</v>
      </c>
      <c r="R55" s="305">
        <f t="shared" si="0"/>
        <v>288152</v>
      </c>
      <c r="S55" s="305"/>
      <c r="T55" s="305"/>
    </row>
    <row r="56" spans="1:20">
      <c r="B56" s="305"/>
      <c r="C56" s="305"/>
      <c r="D56" s="305"/>
      <c r="E56" s="305"/>
      <c r="F56" s="305"/>
      <c r="G56" s="305"/>
      <c r="H56" s="305"/>
      <c r="I56" s="305"/>
      <c r="J56" s="305"/>
      <c r="K56" s="305"/>
      <c r="L56" s="305"/>
      <c r="M56" s="307"/>
      <c r="N56" s="307"/>
      <c r="O56" s="305" t="s">
        <v>1063</v>
      </c>
      <c r="P56" s="305">
        <v>213963</v>
      </c>
      <c r="Q56" s="305">
        <v>74066</v>
      </c>
      <c r="R56" s="305">
        <f t="shared" si="0"/>
        <v>288029</v>
      </c>
      <c r="S56" s="305"/>
      <c r="T56" s="305"/>
    </row>
    <row r="57" spans="1:20">
      <c r="B57" s="305"/>
      <c r="C57" s="305"/>
      <c r="D57" s="305"/>
      <c r="E57" s="305"/>
      <c r="F57" s="305"/>
      <c r="G57" s="305"/>
      <c r="H57" s="305"/>
      <c r="I57" s="305"/>
      <c r="J57" s="305"/>
      <c r="K57" s="305"/>
      <c r="L57" s="305"/>
      <c r="M57" s="307"/>
      <c r="N57" s="307"/>
      <c r="O57" s="305" t="s">
        <v>1062</v>
      </c>
      <c r="P57" s="305">
        <v>214061</v>
      </c>
      <c r="Q57" s="305">
        <v>74072</v>
      </c>
      <c r="R57" s="305">
        <f t="shared" si="0"/>
        <v>288133</v>
      </c>
      <c r="S57" s="305"/>
      <c r="T57" s="305"/>
    </row>
    <row r="58" spans="1:20">
      <c r="B58" s="305"/>
      <c r="C58" s="305"/>
      <c r="D58" s="305"/>
      <c r="E58" s="305"/>
      <c r="F58" s="305"/>
      <c r="G58" s="305"/>
      <c r="H58" s="305"/>
      <c r="I58" s="305"/>
      <c r="J58" s="305"/>
      <c r="K58" s="305"/>
      <c r="L58" s="305"/>
      <c r="M58" s="307"/>
      <c r="N58" s="307"/>
      <c r="O58" s="305" t="s">
        <v>1061</v>
      </c>
      <c r="P58" s="305">
        <v>214655</v>
      </c>
      <c r="Q58" s="305">
        <v>74412</v>
      </c>
      <c r="R58" s="305">
        <f t="shared" si="0"/>
        <v>289067</v>
      </c>
      <c r="S58" s="305"/>
      <c r="T58" s="305"/>
    </row>
    <row r="59" spans="1:20">
      <c r="F59" s="305"/>
      <c r="G59" s="305"/>
      <c r="H59" s="305"/>
      <c r="I59" s="305"/>
      <c r="J59" s="305"/>
      <c r="K59" s="305"/>
      <c r="L59" s="305"/>
      <c r="M59" s="307"/>
      <c r="N59" s="307"/>
      <c r="O59" s="305" t="s">
        <v>1060</v>
      </c>
      <c r="P59" s="305">
        <v>216130</v>
      </c>
      <c r="Q59" s="305">
        <v>74958</v>
      </c>
      <c r="R59" s="305">
        <f t="shared" si="0"/>
        <v>291088</v>
      </c>
      <c r="S59" s="305"/>
      <c r="T59" s="305"/>
    </row>
    <row r="60" spans="1:20">
      <c r="F60" s="305"/>
      <c r="G60" s="305"/>
      <c r="H60" s="305"/>
      <c r="I60" s="305"/>
      <c r="J60" s="305"/>
      <c r="K60" s="305"/>
      <c r="L60" s="305"/>
      <c r="M60" s="307"/>
      <c r="N60" s="307"/>
      <c r="O60" s="305" t="s">
        <v>1059</v>
      </c>
      <c r="P60" s="305">
        <v>217223</v>
      </c>
      <c r="Q60" s="305">
        <v>75393</v>
      </c>
      <c r="R60" s="305">
        <f t="shared" si="0"/>
        <v>292616</v>
      </c>
      <c r="S60" s="305"/>
      <c r="T60" s="305"/>
    </row>
    <row r="61" spans="1:20">
      <c r="F61" s="305"/>
      <c r="G61" s="305"/>
      <c r="H61" s="305"/>
      <c r="I61" s="305"/>
      <c r="J61" s="305"/>
      <c r="K61" s="305"/>
      <c r="L61" s="305"/>
      <c r="M61" s="307"/>
      <c r="N61" s="307"/>
      <c r="O61" s="305" t="s">
        <v>1058</v>
      </c>
      <c r="P61" s="493">
        <v>217767</v>
      </c>
      <c r="Q61" s="493">
        <v>75609</v>
      </c>
      <c r="R61" s="305">
        <f t="shared" si="0"/>
        <v>293376</v>
      </c>
      <c r="S61" s="305"/>
      <c r="T61" s="305"/>
    </row>
    <row r="62" spans="1:20">
      <c r="F62" s="305"/>
      <c r="G62" s="305"/>
      <c r="H62" s="305"/>
      <c r="I62" s="305"/>
      <c r="J62" s="305"/>
      <c r="K62" s="305"/>
      <c r="L62" s="305"/>
      <c r="M62" s="305"/>
      <c r="N62" s="305"/>
      <c r="O62" s="305" t="s">
        <v>1057</v>
      </c>
      <c r="P62" s="305">
        <f>AVERAGE(P50:P61)</f>
        <v>214995.91666666666</v>
      </c>
      <c r="Q62" s="305">
        <f>AVERAGE(Q50:Q61)</f>
        <v>74376.666666666672</v>
      </c>
      <c r="R62" s="305"/>
      <c r="S62" s="305"/>
      <c r="T62" s="305"/>
    </row>
    <row r="63" spans="1:20">
      <c r="F63" s="305"/>
      <c r="G63" s="305"/>
      <c r="H63" s="305"/>
      <c r="I63" s="305"/>
      <c r="J63" s="305"/>
      <c r="K63" s="305"/>
      <c r="L63" s="305"/>
      <c r="M63" s="305"/>
      <c r="N63" s="305"/>
      <c r="O63" s="305"/>
      <c r="P63" s="306"/>
      <c r="Q63" s="306"/>
      <c r="R63" s="305"/>
      <c r="S63" s="305"/>
      <c r="T63" s="305"/>
    </row>
    <row r="64" spans="1:20">
      <c r="F64" s="305"/>
      <c r="G64" s="305"/>
      <c r="H64" s="305"/>
      <c r="I64" s="305"/>
      <c r="J64" s="305"/>
      <c r="K64" s="305"/>
      <c r="L64" s="305"/>
      <c r="M64" s="305"/>
      <c r="N64" s="305"/>
      <c r="O64" s="305"/>
      <c r="P64" s="305"/>
      <c r="Q64" s="305"/>
      <c r="R64" s="305"/>
      <c r="S64" s="305"/>
      <c r="T64" s="305"/>
    </row>
    <row r="65" spans="6:20">
      <c r="F65" s="305"/>
      <c r="G65" s="305"/>
      <c r="H65" s="305"/>
      <c r="I65" s="305"/>
      <c r="J65" s="305"/>
      <c r="K65" s="305"/>
      <c r="L65" s="305"/>
      <c r="M65" s="305"/>
      <c r="N65" s="305"/>
      <c r="O65" s="305"/>
      <c r="P65" s="305"/>
      <c r="Q65" s="305"/>
      <c r="R65" s="305"/>
      <c r="S65" s="305"/>
      <c r="T65" s="305"/>
    </row>
    <row r="66" spans="6:20">
      <c r="F66" s="305"/>
      <c r="G66" s="305"/>
      <c r="H66" s="305"/>
      <c r="I66" s="305"/>
      <c r="J66" s="305"/>
      <c r="K66" s="305"/>
      <c r="L66" s="305"/>
      <c r="M66" s="305"/>
      <c r="N66" s="305"/>
      <c r="O66" s="305"/>
      <c r="P66" s="305"/>
      <c r="Q66" s="305"/>
      <c r="R66" s="305"/>
      <c r="S66" s="305"/>
      <c r="T66" s="305"/>
    </row>
    <row r="67" spans="6:20">
      <c r="F67" s="305"/>
      <c r="G67" s="305"/>
      <c r="H67" s="305"/>
      <c r="I67" s="305"/>
      <c r="J67" s="305"/>
      <c r="K67" s="305"/>
      <c r="L67" s="305"/>
      <c r="M67" s="305"/>
      <c r="N67" s="305"/>
      <c r="O67" s="305"/>
      <c r="P67" s="305"/>
      <c r="Q67" s="305"/>
      <c r="R67" s="305"/>
      <c r="S67" s="305"/>
      <c r="T67" s="305"/>
    </row>
    <row r="68" spans="6:20">
      <c r="F68" s="305"/>
      <c r="G68" s="305"/>
      <c r="H68" s="305"/>
      <c r="I68" s="305"/>
      <c r="J68" s="305"/>
      <c r="K68" s="305"/>
      <c r="L68" s="305"/>
      <c r="M68" s="305"/>
      <c r="N68" s="305"/>
      <c r="O68" s="305"/>
      <c r="P68" s="305"/>
      <c r="Q68" s="305"/>
      <c r="R68" s="305"/>
      <c r="S68" s="305"/>
      <c r="T68" s="305"/>
    </row>
    <row r="69" spans="6:20">
      <c r="F69" s="305"/>
      <c r="G69" s="305"/>
      <c r="H69" s="305"/>
      <c r="I69" s="305"/>
      <c r="J69" s="305"/>
      <c r="K69" s="305"/>
      <c r="L69" s="305"/>
      <c r="M69" s="305"/>
      <c r="N69" s="305"/>
      <c r="O69" s="305"/>
      <c r="P69" s="305"/>
      <c r="Q69" s="305"/>
      <c r="R69" s="305"/>
      <c r="S69" s="305"/>
      <c r="T69" s="305"/>
    </row>
    <row r="70" spans="6:20">
      <c r="F70" s="305"/>
      <c r="G70" s="305"/>
      <c r="H70" s="305"/>
      <c r="I70" s="305"/>
      <c r="J70" s="305"/>
      <c r="K70" s="305"/>
      <c r="L70" s="305"/>
      <c r="M70" s="305"/>
      <c r="N70" s="305"/>
      <c r="O70" s="305"/>
      <c r="P70" s="305"/>
      <c r="Q70" s="305"/>
      <c r="R70" s="305"/>
      <c r="S70" s="305"/>
      <c r="T70" s="305"/>
    </row>
    <row r="71" spans="6:20">
      <c r="F71" s="305"/>
      <c r="G71" s="305"/>
      <c r="H71" s="305"/>
      <c r="I71" s="305"/>
      <c r="J71" s="305"/>
      <c r="K71" s="305"/>
      <c r="L71" s="305"/>
      <c r="M71" s="305"/>
      <c r="N71" s="305"/>
      <c r="O71" s="305"/>
      <c r="P71" s="305"/>
      <c r="Q71" s="305"/>
      <c r="R71" s="305"/>
      <c r="S71" s="305"/>
      <c r="T71" s="305"/>
    </row>
  </sheetData>
  <mergeCells count="5">
    <mergeCell ref="H1:P1"/>
    <mergeCell ref="H2:P2"/>
    <mergeCell ref="H3:P3"/>
    <mergeCell ref="H4:P4"/>
    <mergeCell ref="H5:P5"/>
  </mergeCells>
  <printOptions horizontalCentered="1"/>
  <pageMargins left="0.31" right="0.3" top="1" bottom="1" header="0.5" footer="0.5"/>
  <pageSetup scale="46" orientation="landscape" r:id="rId1"/>
  <headerFooter scaleWithDoc="0" alignWithMargins="0">
    <oddHeader>&amp;RPage &amp;P of &amp;N</oddHeader>
    <oddFooter>&amp;LElectronic Tab Name: &amp;A</oddFooter>
  </headerFooter>
  <rowBreaks count="1" manualBreakCount="1">
    <brk id="45" max="19" man="1"/>
  </rowBreaks>
  <colBreaks count="4" manualBreakCount="4">
    <brk id="5" max="1048575" man="1"/>
    <brk id="10" max="1048575" man="1"/>
    <brk id="14" max="1048575" man="1"/>
    <brk id="1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B1:U47"/>
  <sheetViews>
    <sheetView tabSelected="1" view="pageBreakPreview" topLeftCell="A10" zoomScaleNormal="80" zoomScaleSheetLayoutView="100" workbookViewId="0">
      <selection activeCell="Q31" sqref="Q31"/>
    </sheetView>
  </sheetViews>
  <sheetFormatPr defaultRowHeight="15.75"/>
  <cols>
    <col min="1" max="1" width="9.140625" style="4"/>
    <col min="2" max="2" width="3.42578125" style="4" bestFit="1" customWidth="1"/>
    <col min="3" max="3" width="35.140625" style="4" bestFit="1" customWidth="1"/>
    <col min="4" max="4" width="1" style="4" customWidth="1"/>
    <col min="5" max="5" width="14.5703125" style="4" bestFit="1" customWidth="1"/>
    <col min="6" max="6" width="1" style="4" customWidth="1"/>
    <col min="7" max="7" width="0.85546875" style="4" customWidth="1"/>
    <col min="8" max="8" width="12.85546875" style="4" bestFit="1" customWidth="1"/>
    <col min="9" max="10" width="1.28515625" style="4" customWidth="1"/>
    <col min="11" max="11" width="14" style="4" bestFit="1" customWidth="1"/>
    <col min="12" max="12" width="0.85546875" style="4" customWidth="1"/>
    <col min="13" max="13" width="1.42578125" style="4" customWidth="1"/>
    <col min="14" max="14" width="12.85546875" style="4" bestFit="1" customWidth="1"/>
    <col min="15" max="15" width="1" style="4" customWidth="1"/>
    <col min="16" max="16" width="0.85546875" style="4" customWidth="1"/>
    <col min="17" max="17" width="14.7109375" style="4" bestFit="1" customWidth="1"/>
    <col min="18" max="18" width="9.140625" style="4"/>
    <col min="19" max="19" width="11.85546875" style="4" customWidth="1"/>
    <col min="20" max="20" width="12.28515625" style="4" bestFit="1" customWidth="1"/>
    <col min="21" max="21" width="10.5703125" style="4" bestFit="1" customWidth="1"/>
    <col min="22" max="16384" width="9.140625" style="4"/>
  </cols>
  <sheetData>
    <row r="1" spans="2:20">
      <c r="B1" s="892" t="s">
        <v>113</v>
      </c>
      <c r="C1" s="892"/>
      <c r="D1" s="892"/>
      <c r="E1" s="892"/>
      <c r="F1" s="892"/>
      <c r="G1" s="892"/>
      <c r="H1" s="892"/>
      <c r="I1" s="892"/>
      <c r="J1" s="892"/>
      <c r="K1" s="892"/>
      <c r="L1" s="892"/>
      <c r="M1" s="892"/>
      <c r="N1" s="892"/>
      <c r="O1" s="892"/>
      <c r="P1" s="892"/>
      <c r="Q1" s="892"/>
    </row>
    <row r="2" spans="2:20">
      <c r="B2" s="892" t="s">
        <v>787</v>
      </c>
      <c r="C2" s="892"/>
      <c r="D2" s="892"/>
      <c r="E2" s="892"/>
      <c r="F2" s="892"/>
      <c r="G2" s="892"/>
      <c r="H2" s="892"/>
      <c r="I2" s="892"/>
      <c r="J2" s="892"/>
      <c r="K2" s="892"/>
      <c r="L2" s="892"/>
      <c r="M2" s="892"/>
      <c r="N2" s="892"/>
      <c r="O2" s="892"/>
      <c r="P2" s="892"/>
      <c r="Q2" s="892"/>
    </row>
    <row r="3" spans="2:20">
      <c r="B3" s="893" t="s">
        <v>1864</v>
      </c>
      <c r="C3" s="893"/>
      <c r="D3" s="893"/>
      <c r="E3" s="893"/>
      <c r="F3" s="893"/>
      <c r="G3" s="893"/>
      <c r="H3" s="893"/>
      <c r="I3" s="893"/>
      <c r="J3" s="893"/>
      <c r="K3" s="893"/>
      <c r="L3" s="893"/>
      <c r="M3" s="893"/>
      <c r="N3" s="893"/>
      <c r="O3" s="893"/>
      <c r="P3" s="893"/>
      <c r="Q3" s="893"/>
    </row>
    <row r="4" spans="2:20">
      <c r="B4" s="34"/>
      <c r="C4" s="34"/>
      <c r="D4" s="34"/>
      <c r="E4" s="34"/>
      <c r="F4" s="34"/>
      <c r="G4" s="34"/>
      <c r="H4" s="34"/>
      <c r="I4" s="34"/>
      <c r="J4" s="34"/>
      <c r="K4" s="34"/>
      <c r="L4" s="34"/>
      <c r="M4" s="34"/>
      <c r="N4" s="34"/>
      <c r="O4" s="34"/>
      <c r="P4" s="34"/>
      <c r="Q4" s="34"/>
    </row>
    <row r="5" spans="2:20">
      <c r="B5" s="726"/>
      <c r="C5" s="35"/>
      <c r="D5" s="36"/>
      <c r="E5" s="729">
        <v>43830</v>
      </c>
      <c r="F5" s="36"/>
      <c r="G5" s="35"/>
      <c r="H5" s="730" t="s">
        <v>77</v>
      </c>
      <c r="I5" s="36"/>
      <c r="J5" s="35"/>
      <c r="K5" s="730" t="s">
        <v>67</v>
      </c>
      <c r="L5" s="36"/>
      <c r="M5" s="35"/>
      <c r="N5" s="730" t="s">
        <v>69</v>
      </c>
      <c r="O5" s="730"/>
      <c r="P5" s="36"/>
      <c r="Q5" s="731" t="s">
        <v>2</v>
      </c>
    </row>
    <row r="6" spans="2:20">
      <c r="B6" s="727"/>
      <c r="C6" s="33"/>
      <c r="D6" s="37"/>
      <c r="E6" s="746" t="s">
        <v>0</v>
      </c>
      <c r="F6" s="37"/>
      <c r="G6" s="33"/>
      <c r="H6" s="38" t="s">
        <v>78</v>
      </c>
      <c r="I6" s="39"/>
      <c r="J6" s="40"/>
      <c r="K6" s="41" t="s">
        <v>68</v>
      </c>
      <c r="L6" s="37"/>
      <c r="M6" s="33"/>
      <c r="N6" s="38" t="s">
        <v>717</v>
      </c>
      <c r="O6" s="38"/>
      <c r="P6" s="37"/>
      <c r="Q6" s="42" t="s">
        <v>784</v>
      </c>
    </row>
    <row r="7" spans="2:20">
      <c r="B7" s="727"/>
      <c r="C7" s="33"/>
      <c r="D7" s="37"/>
      <c r="E7" s="746" t="s">
        <v>3</v>
      </c>
      <c r="F7" s="37"/>
      <c r="G7" s="33"/>
      <c r="H7" s="38" t="s">
        <v>1</v>
      </c>
      <c r="I7" s="37"/>
      <c r="J7" s="33"/>
      <c r="K7" s="38" t="s">
        <v>58</v>
      </c>
      <c r="L7" s="37"/>
      <c r="M7" s="33"/>
      <c r="N7" s="38" t="s">
        <v>70</v>
      </c>
      <c r="O7" s="38"/>
      <c r="P7" s="37"/>
      <c r="Q7" s="43" t="s">
        <v>79</v>
      </c>
    </row>
    <row r="8" spans="2:20">
      <c r="B8" s="727"/>
      <c r="C8" s="33"/>
      <c r="D8" s="37"/>
      <c r="E8" s="746" t="s">
        <v>4</v>
      </c>
      <c r="F8" s="37"/>
      <c r="G8" s="33"/>
      <c r="H8" s="38"/>
      <c r="I8" s="37"/>
      <c r="J8" s="33"/>
      <c r="K8" s="38"/>
      <c r="L8" s="37"/>
      <c r="M8" s="33"/>
      <c r="N8" s="38"/>
      <c r="O8" s="38"/>
      <c r="P8" s="37"/>
      <c r="Q8" s="43" t="s">
        <v>80</v>
      </c>
    </row>
    <row r="9" spans="2:20">
      <c r="B9" s="727"/>
      <c r="C9" s="33"/>
      <c r="D9" s="37"/>
      <c r="E9" s="746"/>
      <c r="F9" s="37"/>
      <c r="G9" s="33"/>
      <c r="H9" s="38"/>
      <c r="I9" s="37"/>
      <c r="J9" s="33"/>
      <c r="K9" s="38"/>
      <c r="L9" s="37"/>
      <c r="M9" s="33"/>
      <c r="N9" s="41"/>
      <c r="O9" s="41"/>
      <c r="P9" s="37"/>
      <c r="Q9" s="43"/>
    </row>
    <row r="10" spans="2:20">
      <c r="B10" s="727"/>
      <c r="C10" s="32" t="s">
        <v>6</v>
      </c>
      <c r="D10" s="37"/>
      <c r="E10" s="747" t="s">
        <v>5</v>
      </c>
      <c r="F10" s="37"/>
      <c r="G10" s="33"/>
      <c r="H10" s="44" t="s">
        <v>7</v>
      </c>
      <c r="I10" s="37"/>
      <c r="J10" s="33"/>
      <c r="K10" s="41" t="s">
        <v>8</v>
      </c>
      <c r="L10" s="37"/>
      <c r="M10" s="33"/>
      <c r="N10" s="44" t="s">
        <v>9</v>
      </c>
      <c r="O10" s="44"/>
      <c r="P10" s="37"/>
      <c r="Q10" s="45" t="s">
        <v>10</v>
      </c>
    </row>
    <row r="11" spans="2:20">
      <c r="B11" s="727"/>
      <c r="C11" s="33"/>
      <c r="D11" s="37"/>
      <c r="E11" s="728"/>
      <c r="F11" s="732"/>
      <c r="G11" s="733"/>
      <c r="H11" s="733"/>
      <c r="I11" s="732"/>
      <c r="J11" s="733"/>
      <c r="K11" s="733"/>
      <c r="L11" s="732"/>
      <c r="M11" s="733"/>
      <c r="N11" s="733"/>
      <c r="O11" s="733"/>
      <c r="P11" s="732"/>
      <c r="Q11" s="732"/>
    </row>
    <row r="12" spans="2:20">
      <c r="B12" s="727"/>
      <c r="C12" s="32" t="s">
        <v>11</v>
      </c>
      <c r="D12" s="37"/>
      <c r="E12" s="734"/>
      <c r="F12" s="47"/>
      <c r="G12" s="53"/>
      <c r="H12" s="597"/>
      <c r="I12" s="47"/>
      <c r="J12" s="53"/>
      <c r="K12" s="53"/>
      <c r="L12" s="37"/>
      <c r="M12" s="33"/>
      <c r="N12" s="33"/>
      <c r="O12" s="33"/>
      <c r="P12" s="37"/>
      <c r="Q12" s="37"/>
    </row>
    <row r="13" spans="2:20">
      <c r="B13" s="727">
        <v>1</v>
      </c>
      <c r="C13" s="46" t="s">
        <v>30</v>
      </c>
      <c r="D13" s="47"/>
      <c r="E13" s="735">
        <f>+'Operating Report'!G17</f>
        <v>221481599.95999998</v>
      </c>
      <c r="F13" s="598"/>
      <c r="G13" s="61"/>
      <c r="H13" s="967">
        <f>+'Exh MCP-10 - Summary of Adj'!R16</f>
        <v>14222913.450000001</v>
      </c>
      <c r="I13" s="598"/>
      <c r="J13" s="61"/>
      <c r="K13" s="972">
        <f>+E13+H13</f>
        <v>235704513.40999997</v>
      </c>
      <c r="L13" s="48"/>
      <c r="M13" s="49"/>
      <c r="N13" s="972">
        <f>+'Exh MCP-9 - Rev Req Calc'!D21-N14</f>
        <v>14281139.401334135</v>
      </c>
      <c r="O13" s="50"/>
      <c r="P13" s="48"/>
      <c r="Q13" s="973">
        <f>+K13+N13</f>
        <v>249985652.8113341</v>
      </c>
      <c r="S13" s="52"/>
      <c r="T13" s="52"/>
    </row>
    <row r="14" spans="2:20">
      <c r="B14" s="727">
        <v>2</v>
      </c>
      <c r="C14" s="46" t="s">
        <v>31</v>
      </c>
      <c r="D14" s="47"/>
      <c r="E14" s="736">
        <f>+'Operating Report'!G21</f>
        <v>24094627.940000001</v>
      </c>
      <c r="F14" s="598"/>
      <c r="G14" s="61"/>
      <c r="H14" s="61">
        <f>+'Exh MCP-10 - Summary of Adj'!R17</f>
        <v>0</v>
      </c>
      <c r="I14" s="598"/>
      <c r="J14" s="61"/>
      <c r="K14" s="599">
        <f>+E14+H14</f>
        <v>24094627.940000001</v>
      </c>
      <c r="L14" s="48"/>
      <c r="M14" s="49"/>
      <c r="N14" s="49"/>
      <c r="O14" s="49"/>
      <c r="P14" s="48"/>
      <c r="Q14" s="51">
        <f>+K14+N14</f>
        <v>24094627.940000001</v>
      </c>
      <c r="S14" s="52"/>
      <c r="T14" s="52"/>
    </row>
    <row r="15" spans="2:20">
      <c r="B15" s="727">
        <v>3</v>
      </c>
      <c r="C15" s="46" t="s">
        <v>32</v>
      </c>
      <c r="D15" s="53"/>
      <c r="E15" s="737">
        <f>+'Operating Report'!G27-'Operating Report'!G21</f>
        <v>1748761.5300000012</v>
      </c>
      <c r="F15" s="598"/>
      <c r="G15" s="61"/>
      <c r="H15" s="61">
        <f>+'Exh MCP-10 - Summary of Adj'!R18</f>
        <v>0</v>
      </c>
      <c r="I15" s="598"/>
      <c r="J15" s="61"/>
      <c r="K15" s="599">
        <f>+E15+H15</f>
        <v>1748761.5300000012</v>
      </c>
      <c r="L15" s="48"/>
      <c r="M15" s="49"/>
      <c r="N15" s="49"/>
      <c r="O15" s="49"/>
      <c r="P15" s="48"/>
      <c r="Q15" s="51">
        <f>+K15+N15</f>
        <v>1748761.5300000012</v>
      </c>
      <c r="S15" s="52"/>
      <c r="T15" s="52"/>
    </row>
    <row r="16" spans="2:20">
      <c r="B16" s="727">
        <v>4</v>
      </c>
      <c r="C16" s="54" t="s">
        <v>757</v>
      </c>
      <c r="D16" s="47"/>
      <c r="E16" s="736">
        <f>SUM(E13:E15)</f>
        <v>247324989.42999998</v>
      </c>
      <c r="F16" s="598"/>
      <c r="G16" s="61"/>
      <c r="H16" s="970">
        <f>SUM(H13:H15)</f>
        <v>14222913.450000001</v>
      </c>
      <c r="I16" s="598"/>
      <c r="J16" s="61"/>
      <c r="K16" s="970">
        <f>SUM(K13:K15)</f>
        <v>261547902.87999997</v>
      </c>
      <c r="L16" s="48"/>
      <c r="M16" s="49"/>
      <c r="N16" s="970">
        <f>SUM(N13:N15)</f>
        <v>14281139.401334135</v>
      </c>
      <c r="O16" s="52"/>
      <c r="P16" s="48"/>
      <c r="Q16" s="974">
        <f>SUM(Q13:Q15)</f>
        <v>275829042.28133416</v>
      </c>
      <c r="S16" s="52"/>
      <c r="T16" s="52"/>
    </row>
    <row r="17" spans="2:21">
      <c r="B17" s="727"/>
      <c r="C17" s="46"/>
      <c r="D17" s="47"/>
      <c r="E17" s="736"/>
      <c r="F17" s="598"/>
      <c r="G17" s="61"/>
      <c r="H17" s="52"/>
      <c r="I17" s="598"/>
      <c r="J17" s="61"/>
      <c r="K17" s="52"/>
      <c r="L17" s="48"/>
      <c r="M17" s="49"/>
      <c r="N17" s="52"/>
      <c r="O17" s="52"/>
      <c r="P17" s="48"/>
      <c r="Q17" s="55"/>
      <c r="S17" s="52"/>
      <c r="T17" s="52"/>
      <c r="U17" s="52"/>
    </row>
    <row r="18" spans="2:21">
      <c r="B18" s="727"/>
      <c r="C18" s="46" t="s">
        <v>12</v>
      </c>
      <c r="D18" s="47"/>
      <c r="E18" s="736"/>
      <c r="F18" s="598"/>
      <c r="G18" s="61"/>
      <c r="H18" s="52"/>
      <c r="I18" s="598"/>
      <c r="J18" s="61"/>
      <c r="K18" s="52"/>
      <c r="L18" s="48"/>
      <c r="M18" s="49"/>
      <c r="N18" s="52"/>
      <c r="O18" s="52"/>
      <c r="P18" s="48"/>
      <c r="Q18" s="55"/>
      <c r="S18" s="52"/>
      <c r="T18" s="52"/>
    </row>
    <row r="19" spans="2:21">
      <c r="B19" s="727">
        <v>5</v>
      </c>
      <c r="C19" s="46" t="s">
        <v>758</v>
      </c>
      <c r="D19" s="47"/>
      <c r="E19" s="736">
        <f>+'Operating Report'!G37</f>
        <v>125165839.18000001</v>
      </c>
      <c r="F19" s="598"/>
      <c r="G19" s="61"/>
      <c r="H19" s="61">
        <f>+'Exh MCP-10 - Summary of Adj'!R22</f>
        <v>0</v>
      </c>
      <c r="I19" s="598"/>
      <c r="J19" s="61"/>
      <c r="K19" s="599">
        <f>+E19+H19</f>
        <v>125165839.18000001</v>
      </c>
      <c r="L19" s="48"/>
      <c r="M19" s="49"/>
      <c r="N19" s="49"/>
      <c r="O19" s="49"/>
      <c r="P19" s="48"/>
      <c r="Q19" s="51">
        <f>+K19+N19</f>
        <v>125165839.18000001</v>
      </c>
      <c r="S19" s="52"/>
      <c r="T19" s="56"/>
      <c r="U19" s="52"/>
    </row>
    <row r="20" spans="2:21">
      <c r="B20" s="727">
        <v>6</v>
      </c>
      <c r="C20" s="46" t="s">
        <v>759</v>
      </c>
      <c r="D20" s="47"/>
      <c r="E20" s="736">
        <f>+'Operating Report'!G53</f>
        <v>20632282.93</v>
      </c>
      <c r="F20" s="598"/>
      <c r="G20" s="61"/>
      <c r="H20" s="967">
        <f>+'Exh MCP-10 - Summary of Adj'!R23</f>
        <v>576312.45299400017</v>
      </c>
      <c r="I20" s="598"/>
      <c r="J20" s="61"/>
      <c r="K20" s="972">
        <f>+E20+H20</f>
        <v>21208595.382994</v>
      </c>
      <c r="L20" s="48"/>
      <c r="M20" s="49"/>
      <c r="N20" s="967">
        <f>+N16*('Exh MCP-4 - Conversion Factor'!C9+'Exh MCP-4 - Conversion Factor'!C10)</f>
        <v>578671.76854205912</v>
      </c>
      <c r="O20" s="49"/>
      <c r="P20" s="48"/>
      <c r="Q20" s="57">
        <f>+K20+N20</f>
        <v>21787267.151536059</v>
      </c>
      <c r="S20" s="52"/>
    </row>
    <row r="21" spans="2:21">
      <c r="B21" s="727">
        <v>7</v>
      </c>
      <c r="C21" s="58" t="s">
        <v>34</v>
      </c>
      <c r="D21" s="47"/>
      <c r="E21" s="736">
        <f>+'Operating Report'!G57</f>
        <v>320028.11</v>
      </c>
      <c r="F21" s="598"/>
      <c r="G21" s="61"/>
      <c r="H21" s="61">
        <f>+'Exh MCP-10 - Summary of Adj'!R24</f>
        <v>13282.7868</v>
      </c>
      <c r="I21" s="598"/>
      <c r="J21" s="61"/>
      <c r="K21" s="599">
        <f t="shared" ref="K21:K30" si="0">+E21+H21</f>
        <v>333310.89679999999</v>
      </c>
      <c r="L21" s="48"/>
      <c r="M21" s="49"/>
      <c r="N21" s="49"/>
      <c r="O21" s="49"/>
      <c r="P21" s="48"/>
      <c r="Q21" s="51">
        <f t="shared" ref="Q21:Q30" si="1">+K21+N21</f>
        <v>333310.89679999999</v>
      </c>
      <c r="S21" s="59"/>
      <c r="U21" s="59"/>
    </row>
    <row r="22" spans="2:21">
      <c r="B22" s="727">
        <v>8</v>
      </c>
      <c r="C22" s="58" t="s">
        <v>13</v>
      </c>
      <c r="D22" s="47"/>
      <c r="E22" s="736">
        <f>+'Operating Report'!G85</f>
        <v>20414279.720000003</v>
      </c>
      <c r="F22" s="598"/>
      <c r="G22" s="61"/>
      <c r="H22" s="61">
        <f>+'Exh MCP-10 - Summary of Adj'!R25</f>
        <v>1907368.126030751</v>
      </c>
      <c r="I22" s="598"/>
      <c r="J22" s="61"/>
      <c r="K22" s="599">
        <f t="shared" si="0"/>
        <v>22321647.846030753</v>
      </c>
      <c r="L22" s="48"/>
      <c r="M22" s="49"/>
      <c r="N22" s="49"/>
      <c r="O22" s="49"/>
      <c r="P22" s="48"/>
      <c r="Q22" s="51">
        <f t="shared" si="1"/>
        <v>22321647.846030753</v>
      </c>
      <c r="S22" s="60"/>
      <c r="U22" s="59"/>
    </row>
    <row r="23" spans="2:21">
      <c r="B23" s="727">
        <v>9</v>
      </c>
      <c r="C23" s="58" t="s">
        <v>35</v>
      </c>
      <c r="D23" s="47"/>
      <c r="E23" s="736">
        <f>+'Operating Report'!G93</f>
        <v>5854250.6700000009</v>
      </c>
      <c r="F23" s="598"/>
      <c r="G23" s="61"/>
      <c r="H23" s="967">
        <f>+'Exh MCP-10 - Summary of Adj'!R26</f>
        <v>291744.97141701315</v>
      </c>
      <c r="I23" s="598"/>
      <c r="J23" s="61"/>
      <c r="K23" s="972">
        <f t="shared" si="0"/>
        <v>6145995.6414170144</v>
      </c>
      <c r="L23" s="48"/>
      <c r="M23" s="49"/>
      <c r="N23" s="967">
        <f>+N16*'Exh MCP-4 - Conversion Factor'!C8</f>
        <v>57408.514668873977</v>
      </c>
      <c r="O23" s="49"/>
      <c r="P23" s="48"/>
      <c r="Q23" s="973">
        <f t="shared" si="1"/>
        <v>6203404.1560858879</v>
      </c>
      <c r="U23" s="59"/>
    </row>
    <row r="24" spans="2:21">
      <c r="B24" s="727">
        <v>10</v>
      </c>
      <c r="C24" s="58" t="s">
        <v>14</v>
      </c>
      <c r="D24" s="47"/>
      <c r="E24" s="736">
        <f>+'Operating Report'!G100</f>
        <v>7311469.46</v>
      </c>
      <c r="F24" s="598"/>
      <c r="G24" s="61"/>
      <c r="H24" s="61">
        <f>+'Exh MCP-10 - Summary of Adj'!R27</f>
        <v>57097.4784</v>
      </c>
      <c r="I24" s="598"/>
      <c r="J24" s="61"/>
      <c r="K24" s="599">
        <f t="shared" si="0"/>
        <v>7368566.9384000003</v>
      </c>
      <c r="L24" s="48"/>
      <c r="M24" s="49"/>
      <c r="N24" s="49"/>
      <c r="O24" s="49"/>
      <c r="P24" s="48"/>
      <c r="Q24" s="51">
        <f t="shared" si="1"/>
        <v>7368566.9384000003</v>
      </c>
    </row>
    <row r="25" spans="2:21">
      <c r="B25" s="727">
        <v>11</v>
      </c>
      <c r="C25" s="58" t="s">
        <v>15</v>
      </c>
      <c r="D25" s="47"/>
      <c r="E25" s="736">
        <f>+'Operating Report'!G107</f>
        <v>5408.6900000000005</v>
      </c>
      <c r="F25" s="48"/>
      <c r="G25" s="49"/>
      <c r="H25" s="49">
        <f>+'Exh MCP-10 - Summary of Adj'!R28</f>
        <v>-1977.2275</v>
      </c>
      <c r="I25" s="48"/>
      <c r="J25" s="49"/>
      <c r="K25" s="50">
        <f t="shared" si="0"/>
        <v>3431.4625000000005</v>
      </c>
      <c r="L25" s="48"/>
      <c r="M25" s="49"/>
      <c r="N25" s="61"/>
      <c r="O25" s="61"/>
      <c r="P25" s="48"/>
      <c r="Q25" s="51">
        <f t="shared" si="1"/>
        <v>3431.4625000000005</v>
      </c>
    </row>
    <row r="26" spans="2:21">
      <c r="B26" s="727">
        <v>12</v>
      </c>
      <c r="C26" s="58" t="s">
        <v>16</v>
      </c>
      <c r="D26" s="53"/>
      <c r="E26" s="736">
        <f>+'Operating Report'!G123</f>
        <v>18950113.18</v>
      </c>
      <c r="F26" s="48"/>
      <c r="G26" s="49"/>
      <c r="H26" s="49">
        <f>+'Exh MCP-10 - Summary of Adj'!R29</f>
        <v>-550725.37722083984</v>
      </c>
      <c r="I26" s="48"/>
      <c r="J26" s="49"/>
      <c r="K26" s="50">
        <f t="shared" si="0"/>
        <v>18399387.80277916</v>
      </c>
      <c r="L26" s="48"/>
      <c r="M26" s="49"/>
      <c r="N26" s="61"/>
      <c r="O26" s="61"/>
      <c r="P26" s="48"/>
      <c r="Q26" s="51">
        <f t="shared" si="1"/>
        <v>18399387.80277916</v>
      </c>
    </row>
    <row r="27" spans="2:21">
      <c r="B27" s="727">
        <v>13</v>
      </c>
      <c r="C27" s="58" t="s">
        <v>36</v>
      </c>
      <c r="D27" s="47"/>
      <c r="E27" s="735">
        <f>+'Operating Report'!G135</f>
        <v>24915117.609999999</v>
      </c>
      <c r="F27" s="48"/>
      <c r="G27" s="49"/>
      <c r="H27" s="49">
        <f>+'Exh MCP-10 - Summary of Adj'!R30</f>
        <v>5627968.1651699571</v>
      </c>
      <c r="I27" s="48"/>
      <c r="J27" s="49"/>
      <c r="K27" s="50">
        <f t="shared" si="0"/>
        <v>30543085.775169957</v>
      </c>
      <c r="L27" s="48"/>
      <c r="M27" s="49"/>
      <c r="N27" s="61"/>
      <c r="O27" s="61"/>
      <c r="P27" s="48"/>
      <c r="Q27" s="51">
        <f t="shared" si="1"/>
        <v>30543085.775169957</v>
      </c>
    </row>
    <row r="28" spans="2:21">
      <c r="B28" s="727">
        <v>14</v>
      </c>
      <c r="C28" s="58" t="s">
        <v>37</v>
      </c>
      <c r="D28" s="47"/>
      <c r="E28" s="738"/>
      <c r="F28" s="48"/>
      <c r="G28" s="49"/>
      <c r="H28" s="49">
        <f>+'Exh MCP-10 - Summary of Adj'!R31</f>
        <v>0</v>
      </c>
      <c r="I28" s="48"/>
      <c r="J28" s="49"/>
      <c r="K28" s="50">
        <f t="shared" si="0"/>
        <v>0</v>
      </c>
      <c r="L28" s="48"/>
      <c r="M28" s="49"/>
      <c r="N28" s="49"/>
      <c r="O28" s="49"/>
      <c r="P28" s="48"/>
      <c r="Q28" s="51">
        <f t="shared" si="1"/>
        <v>0</v>
      </c>
    </row>
    <row r="29" spans="2:21">
      <c r="B29" s="727">
        <v>15</v>
      </c>
      <c r="C29" s="58" t="s">
        <v>38</v>
      </c>
      <c r="D29" s="47"/>
      <c r="E29" s="736">
        <f>+'Operating Report'!G140</f>
        <v>4176014.52</v>
      </c>
      <c r="F29" s="48"/>
      <c r="G29" s="49"/>
      <c r="H29" s="49">
        <f>+'Exh MCP-10 - Summary of Adj'!R32</f>
        <v>880629.15275874117</v>
      </c>
      <c r="I29" s="48"/>
      <c r="J29" s="49"/>
      <c r="K29" s="50">
        <f t="shared" si="0"/>
        <v>5056643.6727587413</v>
      </c>
      <c r="L29" s="48"/>
      <c r="M29" s="49"/>
      <c r="N29" s="49"/>
      <c r="O29" s="49"/>
      <c r="P29" s="48"/>
      <c r="Q29" s="51">
        <f t="shared" si="1"/>
        <v>5056643.6727587413</v>
      </c>
    </row>
    <row r="30" spans="2:21">
      <c r="B30" s="727">
        <v>16</v>
      </c>
      <c r="C30" s="58" t="s">
        <v>39</v>
      </c>
      <c r="D30" s="47"/>
      <c r="E30" s="736">
        <f>+'Operating Report'!G149</f>
        <v>-1224199.5100000019</v>
      </c>
      <c r="F30" s="48"/>
      <c r="G30" s="49"/>
      <c r="H30" s="967">
        <f>+'Exh MCP-10 - Summary of Adj'!R33</f>
        <v>2254263.7170145353</v>
      </c>
      <c r="I30" s="48"/>
      <c r="J30" s="49"/>
      <c r="K30" s="972">
        <f t="shared" si="0"/>
        <v>1030064.2070145335</v>
      </c>
      <c r="L30" s="48"/>
      <c r="M30" s="49"/>
      <c r="N30" s="967">
        <f>(+N16-N20-N23)*0.21</f>
        <v>2865462.4148058724</v>
      </c>
      <c r="O30" s="49"/>
      <c r="P30" s="48"/>
      <c r="Q30" s="973">
        <f t="shared" si="1"/>
        <v>3895526.6218204061</v>
      </c>
    </row>
    <row r="31" spans="2:21" ht="16.5" thickBot="1">
      <c r="B31" s="727">
        <v>17</v>
      </c>
      <c r="C31" s="62" t="s">
        <v>40</v>
      </c>
      <c r="D31" s="37"/>
      <c r="E31" s="63">
        <f>SUM(E19:E30)</f>
        <v>226520604.56000003</v>
      </c>
      <c r="F31" s="48"/>
      <c r="G31" s="49"/>
      <c r="H31" s="971">
        <f>SUM(H19:H30)</f>
        <v>11055964.245864157</v>
      </c>
      <c r="I31" s="48"/>
      <c r="J31" s="49"/>
      <c r="K31" s="971">
        <f>SUM(K19:K30)</f>
        <v>237576568.80586419</v>
      </c>
      <c r="L31" s="48"/>
      <c r="M31" s="49"/>
      <c r="N31" s="971">
        <f>SUM(N19:N30)</f>
        <v>3501542.6980168056</v>
      </c>
      <c r="O31" s="65"/>
      <c r="P31" s="48"/>
      <c r="Q31" s="975">
        <f>SUM(Q19:Q30)</f>
        <v>241078111.50388098</v>
      </c>
    </row>
    <row r="32" spans="2:21" ht="17.25" thickTop="1" thickBot="1">
      <c r="B32" s="727">
        <v>18</v>
      </c>
      <c r="C32" s="62" t="s">
        <v>17</v>
      </c>
      <c r="D32" s="37"/>
      <c r="E32" s="63">
        <f>+E16-E31</f>
        <v>20804384.869999945</v>
      </c>
      <c r="F32" s="48"/>
      <c r="G32" s="49"/>
      <c r="H32" s="971">
        <f>+H16-H31</f>
        <v>3166949.2041358445</v>
      </c>
      <c r="I32" s="64"/>
      <c r="J32" s="49"/>
      <c r="K32" s="971">
        <f>+K16-K31</f>
        <v>23971334.07413578</v>
      </c>
      <c r="L32" s="48"/>
      <c r="M32" s="49"/>
      <c r="N32" s="971">
        <f>+N16-N31</f>
        <v>10779596.703317329</v>
      </c>
      <c r="O32" s="65"/>
      <c r="P32" s="48"/>
      <c r="Q32" s="66">
        <f>+Q16-Q31</f>
        <v>34750930.777453184</v>
      </c>
      <c r="S32" s="67"/>
    </row>
    <row r="33" spans="2:19" ht="16.5" thickTop="1">
      <c r="B33" s="727"/>
      <c r="C33" s="62"/>
      <c r="D33" s="37"/>
      <c r="E33" s="739"/>
      <c r="F33" s="48"/>
      <c r="G33" s="49"/>
      <c r="H33" s="65"/>
      <c r="I33" s="65"/>
      <c r="J33" s="49"/>
      <c r="K33" s="65"/>
      <c r="L33" s="48"/>
      <c r="M33" s="49"/>
      <c r="N33" s="65"/>
      <c r="O33" s="65"/>
      <c r="P33" s="48"/>
      <c r="Q33" s="68"/>
      <c r="S33" s="67"/>
    </row>
    <row r="34" spans="2:19">
      <c r="B34" s="727"/>
      <c r="C34" s="62" t="s">
        <v>41</v>
      </c>
      <c r="D34" s="47"/>
      <c r="E34" s="740"/>
      <c r="F34" s="48"/>
      <c r="G34" s="49"/>
      <c r="H34" s="49"/>
      <c r="I34" s="48"/>
      <c r="J34" s="49"/>
      <c r="K34" s="49"/>
      <c r="L34" s="48"/>
      <c r="M34" s="49"/>
      <c r="N34" s="49"/>
      <c r="O34" s="49"/>
      <c r="P34" s="48"/>
      <c r="Q34" s="69"/>
    </row>
    <row r="35" spans="2:19">
      <c r="B35" s="727">
        <v>19</v>
      </c>
      <c r="C35" s="46" t="s">
        <v>43</v>
      </c>
      <c r="D35" s="47"/>
      <c r="E35" s="864">
        <f>+'Rate Base'!D13</f>
        <v>835867891.49633491</v>
      </c>
      <c r="F35" s="48"/>
      <c r="G35" s="49"/>
      <c r="H35" s="967">
        <f>+'Exh MCP-10 - Summary of Adj'!R38</f>
        <v>97182966.528171048</v>
      </c>
      <c r="I35" s="48"/>
      <c r="J35" s="49"/>
      <c r="K35" s="50">
        <f t="shared" ref="K35:K39" si="2">+E35+H35</f>
        <v>933050858.02450597</v>
      </c>
      <c r="L35" s="48"/>
      <c r="M35" s="49"/>
      <c r="N35" s="50"/>
      <c r="O35" s="50"/>
      <c r="P35" s="48"/>
      <c r="Q35" s="51">
        <f t="shared" ref="Q35:Q39" si="3">+K35+N35</f>
        <v>933050858.02450597</v>
      </c>
    </row>
    <row r="36" spans="2:19">
      <c r="B36" s="727">
        <v>20</v>
      </c>
      <c r="C36" s="46" t="s">
        <v>44</v>
      </c>
      <c r="D36" s="47"/>
      <c r="E36" s="864">
        <f>+'Rate Base'!D14</f>
        <v>-389781047.94520426</v>
      </c>
      <c r="F36" s="48"/>
      <c r="G36" s="49"/>
      <c r="H36" s="967">
        <f>+'Exh MCP-10 - Summary of Adj'!R39</f>
        <v>-8785646.0298772436</v>
      </c>
      <c r="I36" s="48"/>
      <c r="J36" s="49"/>
      <c r="K36" s="50">
        <f t="shared" si="2"/>
        <v>-398566693.9750815</v>
      </c>
      <c r="L36" s="48"/>
      <c r="M36" s="49"/>
      <c r="N36" s="50"/>
      <c r="O36" s="50"/>
      <c r="P36" s="48"/>
      <c r="Q36" s="51">
        <f t="shared" si="3"/>
        <v>-398566693.9750815</v>
      </c>
    </row>
    <row r="37" spans="2:19">
      <c r="B37" s="727">
        <v>21</v>
      </c>
      <c r="C37" s="53" t="s">
        <v>18</v>
      </c>
      <c r="D37" s="53"/>
      <c r="E37" s="865">
        <f>+'Rate Base'!D16</f>
        <v>-3800412.8362500002</v>
      </c>
      <c r="F37" s="48"/>
      <c r="G37" s="49"/>
      <c r="H37" s="967">
        <f>+'Exh MCP-10 - Summary of Adj'!R40</f>
        <v>44862.196250000037</v>
      </c>
      <c r="I37" s="48"/>
      <c r="J37" s="49"/>
      <c r="K37" s="50">
        <f t="shared" si="2"/>
        <v>-3755550.64</v>
      </c>
      <c r="L37" s="48"/>
      <c r="M37" s="49"/>
      <c r="N37" s="50"/>
      <c r="O37" s="50"/>
      <c r="P37" s="48"/>
      <c r="Q37" s="51">
        <f t="shared" si="3"/>
        <v>-3755550.64</v>
      </c>
    </row>
    <row r="38" spans="2:19">
      <c r="B38" s="727">
        <v>22</v>
      </c>
      <c r="C38" s="53" t="s">
        <v>45</v>
      </c>
      <c r="D38" s="47"/>
      <c r="E38" s="865">
        <f>+'Rate Base'!D17</f>
        <v>-75625049.641666636</v>
      </c>
      <c r="F38" s="48"/>
      <c r="G38" s="49"/>
      <c r="H38" s="967">
        <f>+'Exh MCP-10 - Summary of Adj'!R41</f>
        <v>-2025271.3661868202</v>
      </c>
      <c r="I38" s="48"/>
      <c r="J38" s="49"/>
      <c r="K38" s="50">
        <f t="shared" si="2"/>
        <v>-77650321.007853463</v>
      </c>
      <c r="L38" s="48"/>
      <c r="M38" s="49"/>
      <c r="N38" s="50"/>
      <c r="O38" s="50"/>
      <c r="P38" s="48"/>
      <c r="Q38" s="51">
        <f t="shared" si="3"/>
        <v>-77650321.007853463</v>
      </c>
    </row>
    <row r="39" spans="2:19">
      <c r="B39" s="727">
        <v>23</v>
      </c>
      <c r="C39" s="53" t="s">
        <v>46</v>
      </c>
      <c r="D39" s="47"/>
      <c r="E39" s="736">
        <f>+' Working Capital (AMA)'!Y708</f>
        <v>7565010.5869378978</v>
      </c>
      <c r="F39" s="48"/>
      <c r="G39" s="49"/>
      <c r="H39" s="49">
        <f>+'Exh MCP-10 - Summary of Adj'!R42</f>
        <v>0</v>
      </c>
      <c r="I39" s="48"/>
      <c r="J39" s="49"/>
      <c r="K39" s="50">
        <f t="shared" si="2"/>
        <v>7565010.5869378978</v>
      </c>
      <c r="L39" s="48"/>
      <c r="M39" s="49"/>
      <c r="N39" s="50"/>
      <c r="O39" s="50"/>
      <c r="P39" s="48"/>
      <c r="Q39" s="51">
        <f t="shared" si="3"/>
        <v>7565010.5869378978</v>
      </c>
    </row>
    <row r="40" spans="2:19" ht="16.5" thickBot="1">
      <c r="B40" s="727">
        <v>24</v>
      </c>
      <c r="C40" s="62" t="s">
        <v>42</v>
      </c>
      <c r="D40" s="33"/>
      <c r="E40" s="968">
        <f>SUM(E35:E39)</f>
        <v>374226391.6601519</v>
      </c>
      <c r="F40" s="969"/>
      <c r="G40" s="967"/>
      <c r="H40" s="968">
        <f>SUM(H35:H39)</f>
        <v>86416911.328356981</v>
      </c>
      <c r="I40" s="48"/>
      <c r="J40" s="49"/>
      <c r="K40" s="70">
        <f>SUM(K35:K39)</f>
        <v>460643302.98850894</v>
      </c>
      <c r="L40" s="48"/>
      <c r="M40" s="49"/>
      <c r="N40" s="70">
        <f>SUM(N35:N39)</f>
        <v>0</v>
      </c>
      <c r="O40" s="739"/>
      <c r="P40" s="48"/>
      <c r="Q40" s="70">
        <f>SUM(Q35:Q39)</f>
        <v>460643302.98850894</v>
      </c>
    </row>
    <row r="41" spans="2:19" ht="16.5" thickTop="1">
      <c r="B41" s="727">
        <v>25</v>
      </c>
      <c r="C41" s="62" t="s">
        <v>19</v>
      </c>
      <c r="D41" s="47"/>
      <c r="E41" s="965">
        <f>+E32/E40</f>
        <v>5.5593045636645362E-2</v>
      </c>
      <c r="F41" s="37"/>
      <c r="G41" s="33"/>
      <c r="H41" s="33"/>
      <c r="I41" s="37"/>
      <c r="J41" s="33"/>
      <c r="K41" s="966">
        <f>+K32/K40</f>
        <v>5.203882031632133E-2</v>
      </c>
      <c r="L41" s="37"/>
      <c r="M41" s="33"/>
      <c r="N41" s="71"/>
      <c r="O41" s="71"/>
      <c r="P41" s="37"/>
      <c r="Q41" s="72">
        <f>+Q32/Q40</f>
        <v>7.5440000000000146E-2</v>
      </c>
    </row>
    <row r="42" spans="2:19">
      <c r="B42" s="728"/>
      <c r="C42" s="741"/>
      <c r="D42" s="742"/>
      <c r="E42" s="743"/>
      <c r="F42" s="732"/>
      <c r="G42" s="733"/>
      <c r="H42" s="733"/>
      <c r="I42" s="732"/>
      <c r="J42" s="733"/>
      <c r="K42" s="744"/>
      <c r="L42" s="732"/>
      <c r="M42" s="733"/>
      <c r="N42" s="733"/>
      <c r="O42" s="733"/>
      <c r="P42" s="733"/>
      <c r="Q42" s="745"/>
    </row>
    <row r="43" spans="2:19">
      <c r="B43" s="34"/>
      <c r="C43" s="34"/>
      <c r="D43" s="34"/>
      <c r="E43" s="34"/>
      <c r="F43" s="34"/>
      <c r="G43" s="34"/>
      <c r="H43" s="34"/>
      <c r="I43" s="34"/>
      <c r="J43" s="34"/>
      <c r="K43" s="34"/>
      <c r="L43" s="34"/>
      <c r="M43" s="34"/>
      <c r="N43" s="34"/>
      <c r="O43" s="34"/>
      <c r="P43" s="34"/>
      <c r="Q43" s="34"/>
    </row>
    <row r="45" spans="2:19">
      <c r="N45" s="73"/>
    </row>
    <row r="47" spans="2:19">
      <c r="N47" s="60"/>
    </row>
  </sheetData>
  <mergeCells count="3">
    <mergeCell ref="B1:Q1"/>
    <mergeCell ref="B3:Q3"/>
    <mergeCell ref="B2:Q2"/>
  </mergeCells>
  <printOptions horizontalCentered="1"/>
  <pageMargins left="1" right="1" top="1" bottom="1" header="0.3" footer="0.3"/>
  <pageSetup scale="69" orientation="portrait" r:id="rId1"/>
  <headerFooter scaleWithDoc="0" alignWithMargins="0">
    <oddHeader>&amp;RDocket No. UG-200568
Exhibit _____ (MCP-8)
Page 1 of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J36"/>
  <sheetViews>
    <sheetView view="pageBreakPreview" zoomScale="60" zoomScaleNormal="100" workbookViewId="0">
      <selection activeCell="G24" sqref="F24:G24"/>
    </sheetView>
  </sheetViews>
  <sheetFormatPr defaultRowHeight="15.75"/>
  <cols>
    <col min="1" max="16384" width="9.140625" style="4"/>
  </cols>
  <sheetData>
    <row r="1" spans="1:10">
      <c r="A1" s="904" t="s">
        <v>60</v>
      </c>
      <c r="B1" s="904"/>
      <c r="C1" s="904"/>
      <c r="D1" s="904"/>
      <c r="E1" s="904"/>
      <c r="F1" s="904"/>
      <c r="G1" s="904"/>
      <c r="H1" s="904"/>
      <c r="I1" s="904"/>
    </row>
    <row r="2" spans="1:10">
      <c r="A2" s="904" t="s">
        <v>1865</v>
      </c>
      <c r="B2" s="904"/>
      <c r="C2" s="904"/>
      <c r="D2" s="904"/>
      <c r="E2" s="904"/>
      <c r="F2" s="904"/>
      <c r="G2" s="904"/>
      <c r="H2" s="904"/>
      <c r="I2" s="904"/>
    </row>
    <row r="3" spans="1:10">
      <c r="A3" s="904" t="s">
        <v>1398</v>
      </c>
      <c r="B3" s="904"/>
      <c r="C3" s="904"/>
      <c r="D3" s="904"/>
      <c r="E3" s="904"/>
      <c r="F3" s="904"/>
      <c r="G3" s="904"/>
      <c r="H3" s="904"/>
      <c r="I3" s="904"/>
    </row>
    <row r="4" spans="1:10">
      <c r="A4" s="904"/>
      <c r="B4" s="904"/>
      <c r="C4" s="904"/>
      <c r="D4" s="904"/>
      <c r="E4" s="904"/>
      <c r="F4" s="904"/>
      <c r="G4" s="904"/>
      <c r="H4" s="904"/>
      <c r="I4" s="904"/>
    </row>
    <row r="5" spans="1:10">
      <c r="A5" s="904"/>
      <c r="B5" s="904"/>
      <c r="C5" s="904"/>
      <c r="D5" s="904"/>
      <c r="E5" s="904"/>
      <c r="F5" s="904"/>
      <c r="G5" s="904"/>
      <c r="H5" s="904"/>
      <c r="I5" s="904"/>
    </row>
    <row r="10" spans="1:10">
      <c r="G10" s="14"/>
    </row>
    <row r="13" spans="1:10">
      <c r="A13" s="908" t="s">
        <v>794</v>
      </c>
      <c r="B13" s="908"/>
      <c r="C13" s="908"/>
      <c r="D13" s="908"/>
      <c r="E13" s="908"/>
      <c r="F13" s="908"/>
      <c r="G13" s="908"/>
      <c r="H13" s="908"/>
      <c r="I13" s="908"/>
      <c r="J13" s="908"/>
    </row>
    <row r="36" spans="4:4">
      <c r="D36" s="24"/>
    </row>
  </sheetData>
  <mergeCells count="6">
    <mergeCell ref="A13:J13"/>
    <mergeCell ref="A1:I1"/>
    <mergeCell ref="A2:I2"/>
    <mergeCell ref="A3:I3"/>
    <mergeCell ref="A4:I4"/>
    <mergeCell ref="A5:I5"/>
  </mergeCells>
  <printOptions horizontalCentered="1"/>
  <pageMargins left="0.7" right="0.7" top="0.75" bottom="0.75" header="0.3" footer="0.3"/>
  <pageSetup scale="94" orientation="landscape" r:id="rId1"/>
  <headerFooter scaleWithDoc="0" alignWithMargins="0">
    <oddHeader>&amp;RPage &amp;P of &amp;N</oddHeader>
    <oddFooter>&amp;LElectronic Tab Name:&amp;A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00"/>
  </sheetPr>
  <dimension ref="A1:M12"/>
  <sheetViews>
    <sheetView view="pageBreakPreview" zoomScale="106" zoomScaleNormal="100" zoomScaleSheetLayoutView="106" workbookViewId="0">
      <selection activeCell="F12" sqref="F12"/>
    </sheetView>
  </sheetViews>
  <sheetFormatPr defaultRowHeight="15"/>
  <cols>
    <col min="1" max="1" width="6.7109375" style="655" bestFit="1" customWidth="1"/>
    <col min="2" max="2" width="24.42578125" bestFit="1" customWidth="1"/>
    <col min="3" max="3" width="3.5703125" style="687" customWidth="1"/>
    <col min="4" max="4" width="20.42578125" bestFit="1" customWidth="1"/>
    <col min="5" max="5" width="1.7109375" customWidth="1"/>
  </cols>
  <sheetData>
    <row r="1" spans="1:13" ht="15.75">
      <c r="B1" s="904" t="s">
        <v>60</v>
      </c>
      <c r="C1" s="904"/>
      <c r="D1" s="904"/>
      <c r="E1" s="904"/>
      <c r="F1" s="904"/>
      <c r="G1" s="904"/>
      <c r="H1" s="904"/>
      <c r="I1" s="3"/>
      <c r="J1" s="3"/>
      <c r="K1" s="3"/>
      <c r="L1" s="3"/>
      <c r="M1" s="3"/>
    </row>
    <row r="2" spans="1:13" ht="15.75">
      <c r="B2" s="904" t="s">
        <v>1990</v>
      </c>
      <c r="C2" s="904"/>
      <c r="D2" s="904"/>
      <c r="E2" s="904"/>
      <c r="F2" s="904"/>
      <c r="G2" s="904"/>
      <c r="H2" s="904"/>
      <c r="I2" s="3"/>
      <c r="J2" s="3"/>
      <c r="K2" s="3"/>
      <c r="L2" s="3"/>
      <c r="M2" s="3"/>
    </row>
    <row r="3" spans="1:13" ht="15.75">
      <c r="B3" s="904" t="s">
        <v>1291</v>
      </c>
      <c r="C3" s="904"/>
      <c r="D3" s="904"/>
      <c r="E3" s="904"/>
      <c r="F3" s="904"/>
      <c r="G3" s="904"/>
      <c r="H3" s="904"/>
      <c r="I3" s="3"/>
      <c r="J3" s="3"/>
      <c r="K3" s="3"/>
      <c r="L3" s="3"/>
      <c r="M3" s="3"/>
    </row>
    <row r="4" spans="1:13" ht="15.75">
      <c r="B4" s="948" t="s">
        <v>1850</v>
      </c>
      <c r="C4" s="948"/>
      <c r="D4" s="948"/>
      <c r="E4" s="948"/>
      <c r="F4" s="948"/>
      <c r="G4" s="948"/>
      <c r="H4" s="948"/>
      <c r="I4" s="686"/>
      <c r="J4" s="686"/>
      <c r="K4" s="686"/>
      <c r="L4" s="686"/>
      <c r="M4" s="686"/>
    </row>
    <row r="5" spans="1:13" ht="15.75">
      <c r="B5" s="904" t="s">
        <v>1864</v>
      </c>
      <c r="C5" s="904"/>
      <c r="D5" s="904"/>
      <c r="E5" s="904"/>
      <c r="F5" s="904"/>
      <c r="G5" s="904"/>
      <c r="H5" s="904"/>
      <c r="I5" s="3"/>
      <c r="J5" s="3"/>
      <c r="K5" s="3"/>
      <c r="L5" s="3"/>
      <c r="M5" s="3"/>
    </row>
    <row r="8" spans="1:13">
      <c r="A8" s="655" t="s">
        <v>1863</v>
      </c>
    </row>
    <row r="9" spans="1:13" ht="15.75">
      <c r="A9" s="655">
        <v>1</v>
      </c>
      <c r="B9" s="712" t="s">
        <v>1847</v>
      </c>
      <c r="C9" s="712"/>
      <c r="D9" s="869">
        <v>974913.42</v>
      </c>
      <c r="F9" s="4" t="s">
        <v>2489</v>
      </c>
      <c r="G9" s="4"/>
    </row>
    <row r="10" spans="1:13" ht="15.75">
      <c r="A10" s="655">
        <v>2</v>
      </c>
      <c r="B10" s="713" t="s">
        <v>1848</v>
      </c>
      <c r="C10" s="713"/>
      <c r="D10" s="861">
        <v>3879097.62</v>
      </c>
      <c r="F10" s="4" t="s">
        <v>2490</v>
      </c>
      <c r="G10" s="4"/>
    </row>
    <row r="11" spans="1:13" ht="16.5" thickBot="1">
      <c r="A11" s="655">
        <v>3</v>
      </c>
      <c r="B11" s="713" t="s">
        <v>1849</v>
      </c>
      <c r="C11" s="713"/>
      <c r="D11" s="870">
        <f>+D9-D10</f>
        <v>-2904184.2</v>
      </c>
      <c r="F11" s="4" t="s">
        <v>2491</v>
      </c>
      <c r="G11" s="4"/>
    </row>
    <row r="12" spans="1:13" ht="15.75" thickTop="1">
      <c r="B12" s="1"/>
      <c r="C12" s="1"/>
      <c r="D12" s="1"/>
    </row>
  </sheetData>
  <mergeCells count="5">
    <mergeCell ref="B1:H1"/>
    <mergeCell ref="B2:H2"/>
    <mergeCell ref="B3:H3"/>
    <mergeCell ref="B4:H4"/>
    <mergeCell ref="B5:H5"/>
  </mergeCells>
  <pageMargins left="0.7" right="0.7" top="0.75" bottom="0.75" header="0.3" footer="0.3"/>
  <pageSetup scale="94" orientation="portrait" r:id="rId1"/>
  <headerFooter scaleWithDoc="0" alignWithMargins="0">
    <oddHeader>&amp;R&amp;P of &amp;N</oddHeader>
    <oddFooter>&amp;LElectronic Tab Name: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H160"/>
  <sheetViews>
    <sheetView showGridLines="0" view="pageBreakPreview" zoomScale="60" zoomScaleNormal="100" workbookViewId="0">
      <selection activeCell="G24" sqref="F24:G24"/>
    </sheetView>
  </sheetViews>
  <sheetFormatPr defaultRowHeight="15.75"/>
  <cols>
    <col min="1" max="1" width="9.28515625" style="26" bestFit="1" customWidth="1"/>
    <col min="2" max="2" width="35.42578125" style="24" bestFit="1" customWidth="1"/>
    <col min="3" max="3" width="32.5703125" style="24" bestFit="1" customWidth="1"/>
    <col min="4" max="5" width="14" style="24" bestFit="1" customWidth="1"/>
    <col min="6" max="6" width="14.42578125" style="24" bestFit="1" customWidth="1"/>
    <col min="7" max="7" width="5.85546875" style="24" bestFit="1" customWidth="1"/>
    <col min="8" max="8" width="9.140625" style="24"/>
    <col min="9" max="16384" width="9.140625" style="4"/>
  </cols>
  <sheetData>
    <row r="1" spans="1:7">
      <c r="B1" s="949" t="s">
        <v>60</v>
      </c>
      <c r="C1" s="949"/>
      <c r="D1" s="949"/>
      <c r="E1" s="949"/>
      <c r="F1" s="949"/>
      <c r="G1" s="949"/>
    </row>
    <row r="2" spans="1:7">
      <c r="B2" s="769"/>
      <c r="C2" s="298" t="s">
        <v>2034</v>
      </c>
      <c r="D2" s="298"/>
      <c r="E2" s="298"/>
      <c r="F2" s="298"/>
      <c r="G2" s="298"/>
    </row>
    <row r="3" spans="1:7">
      <c r="B3" s="298"/>
      <c r="C3" s="298" t="s">
        <v>1285</v>
      </c>
      <c r="D3" s="298"/>
      <c r="E3" s="298"/>
      <c r="F3" s="298"/>
      <c r="G3" s="298"/>
    </row>
    <row r="4" spans="1:7">
      <c r="B4" s="949" t="s">
        <v>81</v>
      </c>
      <c r="C4" s="949"/>
      <c r="D4" s="949"/>
      <c r="E4" s="949"/>
      <c r="F4" s="949"/>
      <c r="G4" s="949"/>
    </row>
    <row r="5" spans="1:7">
      <c r="B5" s="949" t="s">
        <v>1864</v>
      </c>
      <c r="C5" s="949"/>
      <c r="D5" s="949"/>
      <c r="E5" s="949"/>
      <c r="F5" s="949"/>
      <c r="G5" s="949"/>
    </row>
    <row r="6" spans="1:7">
      <c r="B6" s="298"/>
      <c r="C6" s="298"/>
      <c r="D6" s="298"/>
      <c r="E6" s="298"/>
      <c r="F6" s="298"/>
      <c r="G6" s="298"/>
    </row>
    <row r="7" spans="1:7">
      <c r="B7" s="274" t="s">
        <v>803</v>
      </c>
      <c r="C7" s="274" t="s">
        <v>801</v>
      </c>
      <c r="D7" s="274" t="s">
        <v>802</v>
      </c>
      <c r="E7" s="274" t="s">
        <v>805</v>
      </c>
      <c r="F7" s="274" t="s">
        <v>806</v>
      </c>
      <c r="G7" s="507" t="s">
        <v>807</v>
      </c>
    </row>
    <row r="8" spans="1:7">
      <c r="B8" s="275"/>
      <c r="C8" s="275"/>
      <c r="D8" s="275"/>
      <c r="E8" s="950" t="s">
        <v>743</v>
      </c>
      <c r="F8" s="275"/>
      <c r="G8" s="275"/>
    </row>
    <row r="9" spans="1:7">
      <c r="A9" s="495" t="s">
        <v>662</v>
      </c>
      <c r="B9" s="275"/>
      <c r="C9" s="275"/>
      <c r="D9" s="274" t="s">
        <v>742</v>
      </c>
      <c r="E9" s="951"/>
      <c r="F9" s="274" t="s">
        <v>2053</v>
      </c>
      <c r="G9" s="275"/>
    </row>
    <row r="10" spans="1:7">
      <c r="A10" s="26">
        <v>1</v>
      </c>
      <c r="B10" s="276" t="s">
        <v>2039</v>
      </c>
      <c r="C10" s="276" t="s">
        <v>2040</v>
      </c>
      <c r="D10" s="297">
        <v>800</v>
      </c>
      <c r="E10" s="297"/>
      <c r="F10" s="297">
        <f>+D10</f>
        <v>800</v>
      </c>
      <c r="G10" s="276">
        <v>913</v>
      </c>
    </row>
    <row r="11" spans="1:7">
      <c r="A11" s="26">
        <v>2</v>
      </c>
      <c r="B11" s="276" t="s">
        <v>1299</v>
      </c>
      <c r="C11" s="276" t="s">
        <v>2041</v>
      </c>
      <c r="D11" s="297">
        <v>100</v>
      </c>
      <c r="E11" s="297"/>
      <c r="F11" s="297">
        <f>+D11</f>
        <v>100</v>
      </c>
      <c r="G11" s="276">
        <v>913</v>
      </c>
    </row>
    <row r="12" spans="1:7">
      <c r="A12" s="26">
        <v>3</v>
      </c>
      <c r="B12" s="276" t="s">
        <v>2042</v>
      </c>
      <c r="C12" s="276" t="s">
        <v>2043</v>
      </c>
      <c r="D12" s="297">
        <v>70</v>
      </c>
      <c r="E12" s="297"/>
      <c r="F12" s="297">
        <f>+D12</f>
        <v>70</v>
      </c>
      <c r="G12" s="276">
        <v>913</v>
      </c>
    </row>
    <row r="13" spans="1:7">
      <c r="A13" s="26">
        <v>4</v>
      </c>
      <c r="B13" s="276" t="s">
        <v>2044</v>
      </c>
      <c r="C13" s="276" t="s">
        <v>2045</v>
      </c>
      <c r="D13" s="297">
        <v>250</v>
      </c>
      <c r="E13" s="297"/>
      <c r="F13" s="297"/>
      <c r="G13" s="276">
        <v>913</v>
      </c>
    </row>
    <row r="14" spans="1:7">
      <c r="A14" s="26">
        <v>5</v>
      </c>
      <c r="B14" s="276" t="s">
        <v>2046</v>
      </c>
      <c r="C14" s="276" t="s">
        <v>2047</v>
      </c>
      <c r="D14" s="297">
        <v>100</v>
      </c>
      <c r="E14" s="297"/>
      <c r="F14" s="297"/>
      <c r="G14" s="276">
        <v>913</v>
      </c>
    </row>
    <row r="15" spans="1:7">
      <c r="A15" s="26">
        <v>6</v>
      </c>
      <c r="B15" s="276" t="s">
        <v>740</v>
      </c>
      <c r="C15" s="276" t="s">
        <v>2048</v>
      </c>
      <c r="D15" s="297">
        <v>30.12</v>
      </c>
      <c r="E15" s="297"/>
      <c r="F15" s="297"/>
      <c r="G15" s="276">
        <v>913</v>
      </c>
    </row>
    <row r="16" spans="1:7">
      <c r="A16" s="26">
        <v>7</v>
      </c>
      <c r="B16" s="276" t="s">
        <v>2049</v>
      </c>
      <c r="C16" s="276" t="s">
        <v>2050</v>
      </c>
      <c r="D16" s="297">
        <v>500</v>
      </c>
      <c r="E16" s="297"/>
      <c r="F16" s="297"/>
      <c r="G16" s="276">
        <v>913</v>
      </c>
    </row>
    <row r="17" spans="1:7">
      <c r="A17" s="26">
        <v>8</v>
      </c>
      <c r="B17" s="276" t="s">
        <v>2051</v>
      </c>
      <c r="C17" s="276" t="s">
        <v>741</v>
      </c>
      <c r="D17" s="297">
        <v>575</v>
      </c>
      <c r="E17" s="297">
        <f>+D17*'State Allocation Formulas'!$C$21</f>
        <v>432.22750000000002</v>
      </c>
      <c r="F17" s="297"/>
      <c r="G17" s="276">
        <v>913</v>
      </c>
    </row>
    <row r="18" spans="1:7">
      <c r="A18" s="26">
        <v>9</v>
      </c>
      <c r="B18" s="276" t="s">
        <v>741</v>
      </c>
      <c r="C18" s="276" t="s">
        <v>2038</v>
      </c>
      <c r="D18" s="297">
        <v>575</v>
      </c>
      <c r="E18" s="297"/>
      <c r="F18" s="297">
        <f>+D18</f>
        <v>575</v>
      </c>
      <c r="G18" s="276">
        <v>913</v>
      </c>
    </row>
    <row r="19" spans="1:7">
      <c r="A19" s="26">
        <v>10</v>
      </c>
      <c r="B19" s="276" t="s">
        <v>741</v>
      </c>
      <c r="C19" s="276" t="s">
        <v>2052</v>
      </c>
      <c r="D19" s="297">
        <v>575</v>
      </c>
      <c r="E19" s="297">
        <f>+D19*'State Allocation Formulas'!$C$21</f>
        <v>432.22750000000002</v>
      </c>
      <c r="F19" s="297"/>
      <c r="G19" s="276">
        <v>913</v>
      </c>
    </row>
    <row r="20" spans="1:7">
      <c r="A20" s="26">
        <v>11</v>
      </c>
      <c r="B20" s="276" t="s">
        <v>2051</v>
      </c>
      <c r="C20" s="276" t="s">
        <v>741</v>
      </c>
      <c r="D20" s="297">
        <v>-575</v>
      </c>
      <c r="E20" s="297">
        <f>+D20*'State Allocation Formulas'!$C$21</f>
        <v>-432.22750000000002</v>
      </c>
      <c r="F20" s="297"/>
      <c r="G20" s="276">
        <v>913</v>
      </c>
    </row>
    <row r="21" spans="1:7">
      <c r="B21" s="275"/>
      <c r="C21" s="275"/>
      <c r="D21" s="275"/>
      <c r="E21" s="275"/>
      <c r="F21" s="275"/>
      <c r="G21" s="275"/>
    </row>
    <row r="22" spans="1:7">
      <c r="A22" s="277">
        <v>12</v>
      </c>
      <c r="B22" s="275"/>
      <c r="C22" s="275"/>
      <c r="D22" s="275"/>
      <c r="E22" s="301">
        <f>SUM(E10:E20)</f>
        <v>432.22750000000002</v>
      </c>
      <c r="F22" s="301">
        <f>SUM(F10:F20)</f>
        <v>1545</v>
      </c>
      <c r="G22" s="275"/>
    </row>
    <row r="23" spans="1:7">
      <c r="A23" s="277">
        <v>13</v>
      </c>
      <c r="B23" s="275" t="s">
        <v>673</v>
      </c>
      <c r="C23" s="275"/>
      <c r="D23" s="275"/>
      <c r="E23" s="275"/>
      <c r="F23" s="301">
        <f>+F22+E22</f>
        <v>1977.2275</v>
      </c>
      <c r="G23" s="275"/>
    </row>
    <row r="24" spans="1:7">
      <c r="B24" s="275"/>
      <c r="C24" s="275"/>
      <c r="D24" s="275"/>
      <c r="E24" s="275"/>
      <c r="F24" s="275"/>
      <c r="G24" s="275"/>
    </row>
    <row r="26" spans="1:7">
      <c r="B26" s="274" t="s">
        <v>803</v>
      </c>
      <c r="C26" s="274" t="s">
        <v>801</v>
      </c>
      <c r="D26" s="274" t="s">
        <v>802</v>
      </c>
      <c r="E26" s="274" t="s">
        <v>805</v>
      </c>
      <c r="F26" s="274" t="s">
        <v>806</v>
      </c>
      <c r="G26" s="507" t="s">
        <v>807</v>
      </c>
    </row>
    <row r="27" spans="1:7">
      <c r="A27" s="495" t="s">
        <v>662</v>
      </c>
      <c r="D27" s="274" t="s">
        <v>742</v>
      </c>
      <c r="E27" s="274" t="s">
        <v>743</v>
      </c>
      <c r="F27" s="274" t="s">
        <v>2053</v>
      </c>
    </row>
    <row r="28" spans="1:7">
      <c r="A28" s="26">
        <v>14</v>
      </c>
      <c r="B28" s="276" t="s">
        <v>1299</v>
      </c>
      <c r="C28" s="276">
        <v>43466</v>
      </c>
      <c r="D28" s="297">
        <v>250</v>
      </c>
      <c r="E28" s="297"/>
      <c r="F28" s="297">
        <f>+D28</f>
        <v>250</v>
      </c>
      <c r="G28" s="276">
        <v>930.1</v>
      </c>
    </row>
    <row r="29" spans="1:7">
      <c r="A29" s="26">
        <v>15</v>
      </c>
      <c r="B29" s="276" t="s">
        <v>1299</v>
      </c>
      <c r="C29" s="276">
        <v>43497</v>
      </c>
      <c r="D29" s="297">
        <v>250</v>
      </c>
      <c r="E29" s="297"/>
      <c r="F29" s="297">
        <f t="shared" ref="F29:F39" si="0">+D29</f>
        <v>250</v>
      </c>
      <c r="G29" s="276">
        <v>930.1</v>
      </c>
    </row>
    <row r="30" spans="1:7">
      <c r="A30" s="26">
        <v>16</v>
      </c>
      <c r="B30" s="276" t="s">
        <v>1299</v>
      </c>
      <c r="C30" s="276" t="s">
        <v>2062</v>
      </c>
      <c r="D30" s="297">
        <v>250</v>
      </c>
      <c r="E30" s="297"/>
      <c r="F30" s="297">
        <f t="shared" si="0"/>
        <v>250</v>
      </c>
      <c r="G30" s="276">
        <v>930.1</v>
      </c>
    </row>
    <row r="31" spans="1:7">
      <c r="A31" s="26">
        <v>17</v>
      </c>
      <c r="B31" s="276" t="s">
        <v>671</v>
      </c>
      <c r="C31" s="276" t="s">
        <v>2063</v>
      </c>
      <c r="D31" s="297">
        <v>250</v>
      </c>
      <c r="E31" s="297"/>
      <c r="F31" s="297">
        <f t="shared" si="0"/>
        <v>250</v>
      </c>
      <c r="G31" s="276">
        <v>930.1</v>
      </c>
    </row>
    <row r="32" spans="1:7">
      <c r="A32" s="26">
        <v>18</v>
      </c>
      <c r="B32" s="276" t="s">
        <v>2064</v>
      </c>
      <c r="C32" s="276" t="s">
        <v>2065</v>
      </c>
      <c r="D32" s="297">
        <v>250</v>
      </c>
      <c r="E32" s="297"/>
      <c r="F32" s="297">
        <f t="shared" si="0"/>
        <v>250</v>
      </c>
      <c r="G32" s="276">
        <v>930.1</v>
      </c>
    </row>
    <row r="33" spans="1:7">
      <c r="A33" s="26">
        <v>19</v>
      </c>
      <c r="B33" s="276" t="s">
        <v>672</v>
      </c>
      <c r="C33" s="276" t="s">
        <v>2066</v>
      </c>
      <c r="D33" s="297">
        <v>200</v>
      </c>
      <c r="E33" s="297"/>
      <c r="F33" s="297">
        <f t="shared" si="0"/>
        <v>200</v>
      </c>
      <c r="G33" s="276">
        <v>930.1</v>
      </c>
    </row>
    <row r="34" spans="1:7">
      <c r="A34" s="26">
        <v>20</v>
      </c>
      <c r="B34" s="276" t="s">
        <v>2067</v>
      </c>
      <c r="C34" s="276" t="s">
        <v>2068</v>
      </c>
      <c r="D34" s="297">
        <v>150</v>
      </c>
      <c r="E34" s="297"/>
      <c r="F34" s="297">
        <f t="shared" si="0"/>
        <v>150</v>
      </c>
      <c r="G34" s="276">
        <v>930.1</v>
      </c>
    </row>
    <row r="35" spans="1:7">
      <c r="A35" s="26">
        <v>21</v>
      </c>
      <c r="B35" s="276" t="s">
        <v>1300</v>
      </c>
      <c r="C35" s="276" t="s">
        <v>2069</v>
      </c>
      <c r="D35" s="297">
        <v>250</v>
      </c>
      <c r="E35" s="297"/>
      <c r="F35" s="297">
        <f t="shared" si="0"/>
        <v>250</v>
      </c>
      <c r="G35" s="276">
        <v>930.1</v>
      </c>
    </row>
    <row r="36" spans="1:7">
      <c r="A36" s="26">
        <v>22</v>
      </c>
      <c r="B36" s="276" t="s">
        <v>670</v>
      </c>
      <c r="C36" s="276" t="s">
        <v>2070</v>
      </c>
      <c r="D36" s="297">
        <v>260</v>
      </c>
      <c r="E36" s="297"/>
      <c r="F36" s="297">
        <f t="shared" si="0"/>
        <v>260</v>
      </c>
      <c r="G36" s="276">
        <v>930.1</v>
      </c>
    </row>
    <row r="37" spans="1:7">
      <c r="A37" s="26">
        <v>23</v>
      </c>
      <c r="B37" s="276" t="s">
        <v>1301</v>
      </c>
      <c r="C37" s="276" t="s">
        <v>2071</v>
      </c>
      <c r="D37" s="297">
        <v>200</v>
      </c>
      <c r="E37" s="297"/>
      <c r="F37" s="297">
        <f t="shared" si="0"/>
        <v>200</v>
      </c>
      <c r="G37" s="276">
        <v>930.1</v>
      </c>
    </row>
    <row r="38" spans="1:7">
      <c r="A38" s="26">
        <v>24</v>
      </c>
      <c r="B38" s="276" t="s">
        <v>2072</v>
      </c>
      <c r="C38" s="276" t="s">
        <v>2073</v>
      </c>
      <c r="D38" s="297">
        <v>65</v>
      </c>
      <c r="E38" s="297"/>
      <c r="F38" s="297">
        <f t="shared" si="0"/>
        <v>65</v>
      </c>
      <c r="G38" s="276">
        <v>930.1</v>
      </c>
    </row>
    <row r="39" spans="1:7">
      <c r="A39" s="26">
        <v>25</v>
      </c>
      <c r="B39" s="276" t="s">
        <v>2072</v>
      </c>
      <c r="C39" s="276" t="s">
        <v>2074</v>
      </c>
      <c r="D39" s="297">
        <v>65</v>
      </c>
      <c r="E39" s="297"/>
      <c r="F39" s="297">
        <f t="shared" si="0"/>
        <v>65</v>
      </c>
      <c r="G39" s="276">
        <v>930.1</v>
      </c>
    </row>
    <row r="40" spans="1:7">
      <c r="A40" s="26">
        <v>26</v>
      </c>
      <c r="B40" s="276" t="s">
        <v>1302</v>
      </c>
      <c r="C40" s="276" t="s">
        <v>2075</v>
      </c>
      <c r="D40" s="297">
        <v>975</v>
      </c>
      <c r="E40" s="297"/>
      <c r="F40" s="297"/>
      <c r="G40" s="276">
        <v>930.1</v>
      </c>
    </row>
    <row r="41" spans="1:7">
      <c r="A41" s="26">
        <v>27</v>
      </c>
      <c r="B41" s="276" t="s">
        <v>744</v>
      </c>
      <c r="C41" s="276" t="s">
        <v>1303</v>
      </c>
      <c r="D41" s="297">
        <v>72</v>
      </c>
      <c r="E41" s="297"/>
      <c r="F41" s="297"/>
      <c r="G41" s="276">
        <v>930.1</v>
      </c>
    </row>
    <row r="42" spans="1:7">
      <c r="A42" s="26">
        <v>28</v>
      </c>
      <c r="B42" s="276" t="s">
        <v>744</v>
      </c>
      <c r="C42" s="276" t="s">
        <v>2059</v>
      </c>
      <c r="D42" s="297">
        <v>72</v>
      </c>
      <c r="E42" s="297"/>
      <c r="F42" s="297"/>
      <c r="G42" s="276">
        <v>930.1</v>
      </c>
    </row>
    <row r="43" spans="1:7">
      <c r="A43" s="26">
        <v>29</v>
      </c>
      <c r="B43" s="276" t="s">
        <v>2056</v>
      </c>
      <c r="C43" s="276" t="s">
        <v>2076</v>
      </c>
      <c r="D43" s="297">
        <v>47.77</v>
      </c>
      <c r="E43" s="297"/>
      <c r="F43" s="297"/>
      <c r="G43" s="276">
        <v>930.1</v>
      </c>
    </row>
    <row r="44" spans="1:7">
      <c r="A44" s="26">
        <v>30</v>
      </c>
      <c r="B44" s="276" t="s">
        <v>2056</v>
      </c>
      <c r="C44" s="276" t="s">
        <v>2077</v>
      </c>
      <c r="D44" s="297">
        <v>173.67</v>
      </c>
      <c r="E44" s="297"/>
      <c r="F44" s="297"/>
      <c r="G44" s="276">
        <v>930.1</v>
      </c>
    </row>
    <row r="45" spans="1:7">
      <c r="A45" s="26">
        <v>31</v>
      </c>
      <c r="B45" s="276" t="s">
        <v>744</v>
      </c>
      <c r="C45" s="276" t="s">
        <v>2059</v>
      </c>
      <c r="D45" s="297">
        <v>72</v>
      </c>
      <c r="E45" s="297"/>
      <c r="F45" s="297"/>
      <c r="G45" s="276">
        <v>930.1</v>
      </c>
    </row>
    <row r="46" spans="1:7">
      <c r="A46" s="26">
        <v>32</v>
      </c>
      <c r="B46" s="276" t="s">
        <v>744</v>
      </c>
      <c r="C46" s="276" t="s">
        <v>2054</v>
      </c>
      <c r="D46" s="297">
        <v>73</v>
      </c>
      <c r="E46" s="297"/>
      <c r="F46" s="297"/>
      <c r="G46" s="276">
        <v>930.1</v>
      </c>
    </row>
    <row r="47" spans="1:7">
      <c r="A47" s="26">
        <v>33</v>
      </c>
      <c r="B47" s="276" t="s">
        <v>744</v>
      </c>
      <c r="C47" s="276" t="s">
        <v>2055</v>
      </c>
      <c r="D47" s="297">
        <v>73</v>
      </c>
      <c r="E47" s="297"/>
      <c r="F47" s="297"/>
      <c r="G47" s="276">
        <v>930.1</v>
      </c>
    </row>
    <row r="48" spans="1:7">
      <c r="A48" s="26">
        <v>34</v>
      </c>
      <c r="B48" s="276" t="s">
        <v>2056</v>
      </c>
      <c r="C48" s="276" t="s">
        <v>2057</v>
      </c>
      <c r="D48" s="297">
        <v>125</v>
      </c>
      <c r="E48" s="297"/>
      <c r="F48" s="297"/>
      <c r="G48" s="276">
        <v>930.1</v>
      </c>
    </row>
    <row r="49" spans="1:7">
      <c r="A49" s="26">
        <v>35</v>
      </c>
      <c r="B49" s="276" t="s">
        <v>744</v>
      </c>
      <c r="C49" s="276" t="s">
        <v>2058</v>
      </c>
      <c r="D49" s="297">
        <v>73</v>
      </c>
      <c r="E49" s="297"/>
      <c r="F49" s="297"/>
      <c r="G49" s="276">
        <v>930.1</v>
      </c>
    </row>
    <row r="50" spans="1:7">
      <c r="A50" s="26">
        <v>36</v>
      </c>
      <c r="B50" s="276" t="s">
        <v>744</v>
      </c>
      <c r="C50" s="276" t="s">
        <v>2059</v>
      </c>
      <c r="D50" s="297">
        <v>73</v>
      </c>
      <c r="E50" s="297"/>
      <c r="F50" s="297"/>
      <c r="G50" s="276">
        <v>930.1</v>
      </c>
    </row>
    <row r="51" spans="1:7">
      <c r="A51" s="26">
        <v>37</v>
      </c>
      <c r="B51" s="276" t="s">
        <v>744</v>
      </c>
      <c r="C51" s="276" t="s">
        <v>2059</v>
      </c>
      <c r="D51" s="297">
        <v>73</v>
      </c>
      <c r="E51" s="297"/>
      <c r="F51" s="297"/>
      <c r="G51" s="276">
        <v>930.1</v>
      </c>
    </row>
    <row r="52" spans="1:7">
      <c r="A52" s="26">
        <v>38</v>
      </c>
      <c r="B52" s="276" t="s">
        <v>2078</v>
      </c>
      <c r="C52" s="276" t="s">
        <v>2079</v>
      </c>
      <c r="D52" s="297">
        <v>74.5</v>
      </c>
      <c r="E52" s="297">
        <f>+D52*'State Allocation Formulas'!$C$21</f>
        <v>56.001650000000005</v>
      </c>
      <c r="F52" s="297"/>
      <c r="G52" s="276">
        <v>930.1</v>
      </c>
    </row>
    <row r="53" spans="1:7">
      <c r="A53" s="26">
        <v>39</v>
      </c>
      <c r="B53" s="276" t="s">
        <v>2080</v>
      </c>
      <c r="C53" s="276" t="s">
        <v>2081</v>
      </c>
      <c r="D53" s="297">
        <v>149</v>
      </c>
      <c r="E53" s="297">
        <f>+D53*'State Allocation Formulas'!$C$21</f>
        <v>112.00330000000001</v>
      </c>
      <c r="F53" s="297"/>
      <c r="G53" s="276">
        <v>930.1</v>
      </c>
    </row>
    <row r="54" spans="1:7">
      <c r="A54" s="26">
        <v>40</v>
      </c>
      <c r="B54" s="276" t="s">
        <v>2080</v>
      </c>
      <c r="C54" s="276" t="s">
        <v>2082</v>
      </c>
      <c r="D54" s="297">
        <v>745</v>
      </c>
      <c r="E54" s="297">
        <f>+D54*'State Allocation Formulas'!$C$21</f>
        <v>560.01650000000006</v>
      </c>
      <c r="F54" s="297"/>
      <c r="G54" s="276">
        <v>930.1</v>
      </c>
    </row>
    <row r="55" spans="1:7">
      <c r="A55" s="26">
        <v>41</v>
      </c>
      <c r="B55" s="276" t="s">
        <v>2080</v>
      </c>
      <c r="C55" s="276" t="s">
        <v>2083</v>
      </c>
      <c r="D55" s="297">
        <v>149</v>
      </c>
      <c r="E55" s="297">
        <f>+D55*'State Allocation Formulas'!$C$21</f>
        <v>112.00330000000001</v>
      </c>
      <c r="F55" s="297"/>
      <c r="G55" s="276">
        <v>930.1</v>
      </c>
    </row>
    <row r="56" spans="1:7">
      <c r="A56" s="26">
        <v>42</v>
      </c>
      <c r="B56" s="276" t="s">
        <v>2080</v>
      </c>
      <c r="C56" s="276" t="s">
        <v>2084</v>
      </c>
      <c r="D56" s="297">
        <v>44.7</v>
      </c>
      <c r="E56" s="297">
        <f>+D56*'State Allocation Formulas'!$C$21</f>
        <v>33.600990000000003</v>
      </c>
      <c r="F56" s="297"/>
      <c r="G56" s="276">
        <v>930.1</v>
      </c>
    </row>
    <row r="57" spans="1:7">
      <c r="A57" s="26">
        <v>43</v>
      </c>
      <c r="B57" s="276" t="s">
        <v>2080</v>
      </c>
      <c r="C57" s="276" t="s">
        <v>2085</v>
      </c>
      <c r="D57" s="297">
        <v>149</v>
      </c>
      <c r="E57" s="297">
        <f>+D57*'State Allocation Formulas'!$C$21</f>
        <v>112.00330000000001</v>
      </c>
      <c r="F57" s="297"/>
      <c r="G57" s="276">
        <v>930.1</v>
      </c>
    </row>
    <row r="58" spans="1:7">
      <c r="A58" s="26">
        <v>44</v>
      </c>
      <c r="B58" s="276" t="s">
        <v>2080</v>
      </c>
      <c r="C58" s="276" t="s">
        <v>2086</v>
      </c>
      <c r="D58" s="297">
        <v>2724.09</v>
      </c>
      <c r="E58" s="297">
        <f>+D58*'State Allocation Formulas'!$C$21</f>
        <v>2047.6984530000002</v>
      </c>
      <c r="F58" s="297"/>
      <c r="G58" s="276">
        <v>930.1</v>
      </c>
    </row>
    <row r="59" spans="1:7">
      <c r="A59" s="26">
        <v>45</v>
      </c>
      <c r="B59" s="276" t="s">
        <v>2080</v>
      </c>
      <c r="C59" s="276" t="s">
        <v>2087</v>
      </c>
      <c r="D59" s="297">
        <v>74.5</v>
      </c>
      <c r="E59" s="297">
        <f>+D59*'State Allocation Formulas'!$C$21</f>
        <v>56.001650000000005</v>
      </c>
      <c r="F59" s="297"/>
      <c r="G59" s="276">
        <v>930.1</v>
      </c>
    </row>
    <row r="60" spans="1:7">
      <c r="A60" s="26">
        <v>46</v>
      </c>
      <c r="B60" s="276" t="s">
        <v>2080</v>
      </c>
      <c r="C60" s="276" t="s">
        <v>2087</v>
      </c>
      <c r="D60" s="297">
        <v>74.5</v>
      </c>
      <c r="E60" s="297">
        <f>+D60*'State Allocation Formulas'!$C$21</f>
        <v>56.001650000000005</v>
      </c>
      <c r="F60" s="297"/>
      <c r="G60" s="276">
        <v>930.1</v>
      </c>
    </row>
    <row r="61" spans="1:7">
      <c r="A61" s="26">
        <v>47</v>
      </c>
      <c r="B61" s="276" t="s">
        <v>2080</v>
      </c>
      <c r="C61" s="276" t="s">
        <v>2087</v>
      </c>
      <c r="D61" s="297">
        <v>74.5</v>
      </c>
      <c r="E61" s="297">
        <f>+D61*'State Allocation Formulas'!$C$21</f>
        <v>56.001650000000005</v>
      </c>
      <c r="F61" s="297"/>
      <c r="G61" s="276">
        <v>930.1</v>
      </c>
    </row>
    <row r="62" spans="1:7">
      <c r="A62" s="26">
        <v>48</v>
      </c>
      <c r="B62" s="276" t="s">
        <v>2080</v>
      </c>
      <c r="C62" s="276" t="s">
        <v>2087</v>
      </c>
      <c r="D62" s="297">
        <v>149</v>
      </c>
      <c r="E62" s="297">
        <f>+D62*'State Allocation Formulas'!$C$21</f>
        <v>112.00330000000001</v>
      </c>
      <c r="F62" s="297"/>
      <c r="G62" s="276">
        <v>930.1</v>
      </c>
    </row>
    <row r="63" spans="1:7">
      <c r="A63" s="26">
        <v>49</v>
      </c>
      <c r="B63" s="276" t="s">
        <v>2080</v>
      </c>
      <c r="C63" s="276" t="s">
        <v>2088</v>
      </c>
      <c r="D63" s="297">
        <v>36.5</v>
      </c>
      <c r="E63" s="297">
        <f>+D63*'State Allocation Formulas'!$C$21</f>
        <v>27.437050000000003</v>
      </c>
      <c r="F63" s="297"/>
      <c r="G63" s="276">
        <v>930.1</v>
      </c>
    </row>
    <row r="64" spans="1:7">
      <c r="A64" s="26">
        <v>50</v>
      </c>
      <c r="B64" s="276" t="s">
        <v>2080</v>
      </c>
      <c r="C64" s="276" t="s">
        <v>2089</v>
      </c>
      <c r="D64" s="297">
        <v>219</v>
      </c>
      <c r="E64" s="297">
        <f>+D64*'State Allocation Formulas'!$C$21</f>
        <v>164.6223</v>
      </c>
      <c r="F64" s="297"/>
      <c r="G64" s="276">
        <v>930.1</v>
      </c>
    </row>
    <row r="65" spans="1:7">
      <c r="A65" s="26">
        <v>51</v>
      </c>
      <c r="B65" s="276" t="s">
        <v>2090</v>
      </c>
      <c r="C65" s="276" t="s">
        <v>2091</v>
      </c>
      <c r="D65" s="297">
        <v>148.26</v>
      </c>
      <c r="E65" s="297">
        <f>+D65*'State Allocation Formulas'!$C$21</f>
        <v>111.447042</v>
      </c>
      <c r="F65" s="297"/>
      <c r="G65" s="276">
        <v>930.1</v>
      </c>
    </row>
    <row r="66" spans="1:7">
      <c r="A66" s="26">
        <v>52</v>
      </c>
      <c r="B66" s="276" t="s">
        <v>2092</v>
      </c>
      <c r="C66" s="276" t="s">
        <v>2093</v>
      </c>
      <c r="D66" s="297">
        <v>298</v>
      </c>
      <c r="E66" s="297">
        <f>+D66*'State Allocation Formulas'!$C$21</f>
        <v>224.00660000000002</v>
      </c>
      <c r="F66" s="297"/>
      <c r="G66" s="276">
        <v>930.1</v>
      </c>
    </row>
    <row r="67" spans="1:7">
      <c r="A67" s="26">
        <v>53</v>
      </c>
      <c r="B67" s="276" t="s">
        <v>2094</v>
      </c>
      <c r="C67" s="276" t="s">
        <v>2095</v>
      </c>
      <c r="D67" s="297">
        <v>334.14</v>
      </c>
      <c r="E67" s="297">
        <f>+D67*'State Allocation Formulas'!$C$21</f>
        <v>251.17303799999999</v>
      </c>
      <c r="F67" s="297"/>
      <c r="G67" s="276">
        <v>930.1</v>
      </c>
    </row>
    <row r="68" spans="1:7">
      <c r="A68" s="26">
        <v>54</v>
      </c>
      <c r="B68" s="276" t="s">
        <v>2096</v>
      </c>
      <c r="C68" s="276" t="s">
        <v>2097</v>
      </c>
      <c r="D68" s="297">
        <v>35.020000000000003</v>
      </c>
      <c r="E68" s="297">
        <f>+D68*'State Allocation Formulas'!$C$21</f>
        <v>26.324534000000003</v>
      </c>
      <c r="F68" s="297"/>
      <c r="G68" s="276">
        <v>930.1</v>
      </c>
    </row>
    <row r="69" spans="1:7">
      <c r="A69" s="26">
        <v>55</v>
      </c>
      <c r="B69" s="276" t="s">
        <v>2098</v>
      </c>
      <c r="C69" s="276" t="s">
        <v>2099</v>
      </c>
      <c r="D69" s="297">
        <v>97.59</v>
      </c>
      <c r="E69" s="297">
        <f>+D69*'State Allocation Formulas'!$C$21</f>
        <v>73.35840300000001</v>
      </c>
      <c r="F69" s="297"/>
      <c r="G69" s="276">
        <v>930.1</v>
      </c>
    </row>
    <row r="70" spans="1:7">
      <c r="A70" s="26">
        <v>56</v>
      </c>
      <c r="B70" s="276" t="s">
        <v>2100</v>
      </c>
      <c r="C70" s="276" t="s">
        <v>2101</v>
      </c>
      <c r="D70" s="297">
        <v>47.68</v>
      </c>
      <c r="E70" s="297">
        <f>+D70*'State Allocation Formulas'!$C$21</f>
        <v>35.841056000000002</v>
      </c>
      <c r="F70" s="297"/>
      <c r="G70" s="276">
        <v>930.1</v>
      </c>
    </row>
    <row r="71" spans="1:7">
      <c r="A71" s="26">
        <v>57</v>
      </c>
      <c r="B71" s="276" t="s">
        <v>2102</v>
      </c>
      <c r="C71" s="276" t="s">
        <v>2103</v>
      </c>
      <c r="D71" s="297">
        <v>331.09</v>
      </c>
      <c r="E71" s="297">
        <f>+D71*'State Allocation Formulas'!$C$21</f>
        <v>248.88035299999999</v>
      </c>
      <c r="F71" s="297"/>
      <c r="G71" s="276">
        <v>930.1</v>
      </c>
    </row>
    <row r="72" spans="1:7">
      <c r="A72" s="26">
        <v>58</v>
      </c>
      <c r="B72" s="276" t="s">
        <v>2102</v>
      </c>
      <c r="C72" s="276" t="s">
        <v>2103</v>
      </c>
      <c r="D72" s="297">
        <v>165.55</v>
      </c>
      <c r="E72" s="297">
        <f>+D72*'State Allocation Formulas'!$C$21</f>
        <v>124.44393500000001</v>
      </c>
      <c r="F72" s="297"/>
      <c r="G72" s="276">
        <v>930.1</v>
      </c>
    </row>
    <row r="73" spans="1:7">
      <c r="A73" s="26">
        <v>59</v>
      </c>
      <c r="B73" s="276" t="s">
        <v>2104</v>
      </c>
      <c r="C73" s="276" t="s">
        <v>2099</v>
      </c>
      <c r="D73" s="297">
        <v>351.5</v>
      </c>
      <c r="E73" s="297">
        <f>+D73*'State Allocation Formulas'!$C$21</f>
        <v>264.22255000000001</v>
      </c>
      <c r="F73" s="297"/>
      <c r="G73" s="276">
        <v>930.1</v>
      </c>
    </row>
    <row r="74" spans="1:7">
      <c r="A74" s="26">
        <v>60</v>
      </c>
      <c r="B74" s="276" t="s">
        <v>2105</v>
      </c>
      <c r="C74" s="276" t="s">
        <v>2106</v>
      </c>
      <c r="D74" s="297">
        <v>89.4</v>
      </c>
      <c r="E74" s="297">
        <f>+D74*'State Allocation Formulas'!$C$21</f>
        <v>67.201980000000006</v>
      </c>
      <c r="F74" s="297"/>
      <c r="G74" s="276">
        <v>930.1</v>
      </c>
    </row>
    <row r="75" spans="1:7">
      <c r="A75" s="26">
        <v>61</v>
      </c>
      <c r="B75" s="276" t="s">
        <v>2107</v>
      </c>
      <c r="C75" s="276" t="s">
        <v>2108</v>
      </c>
      <c r="D75" s="297">
        <v>640.70000000000005</v>
      </c>
      <c r="E75" s="297">
        <f>+D75*'State Allocation Formulas'!$C$21</f>
        <v>481.61419000000006</v>
      </c>
      <c r="F75" s="297"/>
      <c r="G75" s="276">
        <v>930.1</v>
      </c>
    </row>
    <row r="76" spans="1:7">
      <c r="A76" s="26">
        <v>62</v>
      </c>
      <c r="B76" s="276" t="s">
        <v>2109</v>
      </c>
      <c r="C76" s="276" t="s">
        <v>2101</v>
      </c>
      <c r="D76" s="297">
        <v>47.68</v>
      </c>
      <c r="E76" s="297">
        <f>+D76*'State Allocation Formulas'!$C$21</f>
        <v>35.841056000000002</v>
      </c>
      <c r="F76" s="297"/>
      <c r="G76" s="276">
        <v>930.1</v>
      </c>
    </row>
    <row r="77" spans="1:7">
      <c r="A77" s="26">
        <v>63</v>
      </c>
      <c r="B77" s="276" t="s">
        <v>2110</v>
      </c>
      <c r="C77" s="276" t="s">
        <v>2111</v>
      </c>
      <c r="D77" s="297">
        <v>36.5</v>
      </c>
      <c r="E77" s="297">
        <f>+D77*'State Allocation Formulas'!$C$21</f>
        <v>27.437050000000003</v>
      </c>
      <c r="F77" s="297"/>
      <c r="G77" s="276">
        <v>930.1</v>
      </c>
    </row>
    <row r="78" spans="1:7">
      <c r="A78" s="26">
        <v>64</v>
      </c>
      <c r="B78" s="276" t="s">
        <v>2112</v>
      </c>
      <c r="C78" s="276" t="s">
        <v>2093</v>
      </c>
      <c r="D78" s="297">
        <v>74.5</v>
      </c>
      <c r="E78" s="297">
        <f>+D78*'State Allocation Formulas'!$C$21</f>
        <v>56.001650000000005</v>
      </c>
      <c r="F78" s="297"/>
      <c r="G78" s="276">
        <v>930.1</v>
      </c>
    </row>
    <row r="79" spans="1:7">
      <c r="A79" s="26">
        <v>65</v>
      </c>
      <c r="B79" s="276" t="s">
        <v>2113</v>
      </c>
      <c r="C79" s="276" t="s">
        <v>2114</v>
      </c>
      <c r="D79" s="297">
        <v>71.52</v>
      </c>
      <c r="E79" s="297">
        <f>+D79*'State Allocation Formulas'!$C$21</f>
        <v>53.761583999999999</v>
      </c>
      <c r="F79" s="297"/>
      <c r="G79" s="276">
        <v>930.1</v>
      </c>
    </row>
    <row r="80" spans="1:7">
      <c r="A80" s="26">
        <v>66</v>
      </c>
      <c r="B80" s="276" t="s">
        <v>2115</v>
      </c>
      <c r="C80" s="276" t="s">
        <v>2116</v>
      </c>
      <c r="D80" s="297">
        <v>372.5</v>
      </c>
      <c r="E80" s="297">
        <f>+D80*'State Allocation Formulas'!$C$21</f>
        <v>280.00825000000003</v>
      </c>
      <c r="F80" s="297"/>
      <c r="G80" s="276">
        <v>930.1</v>
      </c>
    </row>
    <row r="81" spans="1:7">
      <c r="A81" s="26">
        <v>67</v>
      </c>
      <c r="B81" s="276" t="s">
        <v>2117</v>
      </c>
      <c r="C81" s="276" t="s">
        <v>2103</v>
      </c>
      <c r="D81" s="297">
        <v>324.44</v>
      </c>
      <c r="E81" s="297">
        <f>+D81*'State Allocation Formulas'!$C$21</f>
        <v>243.88154800000001</v>
      </c>
      <c r="F81" s="297"/>
      <c r="G81" s="276">
        <v>930.1</v>
      </c>
    </row>
    <row r="82" spans="1:7">
      <c r="A82" s="26">
        <v>68</v>
      </c>
      <c r="B82" s="276" t="s">
        <v>2117</v>
      </c>
      <c r="C82" s="276" t="s">
        <v>2103</v>
      </c>
      <c r="D82" s="297">
        <v>324.44</v>
      </c>
      <c r="E82" s="297">
        <f>+D82*'State Allocation Formulas'!$C$21</f>
        <v>243.88154800000001</v>
      </c>
      <c r="F82" s="297"/>
      <c r="G82" s="276">
        <v>930.1</v>
      </c>
    </row>
    <row r="83" spans="1:7">
      <c r="A83" s="26">
        <v>69</v>
      </c>
      <c r="B83" s="276" t="s">
        <v>2117</v>
      </c>
      <c r="C83" s="276" t="s">
        <v>2103</v>
      </c>
      <c r="D83" s="297">
        <v>324.44</v>
      </c>
      <c r="E83" s="297">
        <f>+D83*'State Allocation Formulas'!$C$21</f>
        <v>243.88154800000001</v>
      </c>
      <c r="F83" s="297"/>
      <c r="G83" s="276">
        <v>930.1</v>
      </c>
    </row>
    <row r="84" spans="1:7">
      <c r="A84" s="26">
        <v>70</v>
      </c>
      <c r="B84" s="276" t="s">
        <v>2117</v>
      </c>
      <c r="C84" s="276" t="s">
        <v>2103</v>
      </c>
      <c r="D84" s="297">
        <v>165.55</v>
      </c>
      <c r="E84" s="297">
        <f>+D84*'State Allocation Formulas'!$C$21</f>
        <v>124.44393500000001</v>
      </c>
      <c r="F84" s="297"/>
      <c r="G84" s="276">
        <v>930.1</v>
      </c>
    </row>
    <row r="85" spans="1:7">
      <c r="A85" s="26">
        <v>71</v>
      </c>
      <c r="B85" s="276" t="s">
        <v>2117</v>
      </c>
      <c r="C85" s="276" t="s">
        <v>2103</v>
      </c>
      <c r="D85" s="297">
        <v>165.56</v>
      </c>
      <c r="E85" s="297">
        <f>+D85*'State Allocation Formulas'!$C$21</f>
        <v>124.451452</v>
      </c>
      <c r="F85" s="297"/>
      <c r="G85" s="276">
        <v>930.1</v>
      </c>
    </row>
    <row r="86" spans="1:7">
      <c r="A86" s="26">
        <v>72</v>
      </c>
      <c r="B86" s="276" t="s">
        <v>2117</v>
      </c>
      <c r="C86" s="276" t="s">
        <v>2103</v>
      </c>
      <c r="D86" s="297">
        <v>632.41999999999996</v>
      </c>
      <c r="E86" s="297">
        <f>+D86*'State Allocation Formulas'!$C$21</f>
        <v>475.39011399999998</v>
      </c>
      <c r="F86" s="297"/>
      <c r="G86" s="276">
        <v>930.1</v>
      </c>
    </row>
    <row r="87" spans="1:7">
      <c r="A87" s="26">
        <v>73</v>
      </c>
      <c r="B87" s="276" t="s">
        <v>2118</v>
      </c>
      <c r="C87" s="276" t="s">
        <v>2119</v>
      </c>
      <c r="D87" s="297">
        <v>111.75</v>
      </c>
      <c r="E87" s="297">
        <f>+D87*'State Allocation Formulas'!$C$21</f>
        <v>84.002475000000004</v>
      </c>
      <c r="F87" s="297"/>
      <c r="G87" s="276">
        <v>930.1</v>
      </c>
    </row>
    <row r="88" spans="1:7">
      <c r="A88" s="26">
        <v>74</v>
      </c>
      <c r="B88" s="276" t="s">
        <v>2120</v>
      </c>
      <c r="C88" s="276" t="s">
        <v>2121</v>
      </c>
      <c r="D88" s="297">
        <v>745</v>
      </c>
      <c r="E88" s="297">
        <f>+D88*'State Allocation Formulas'!$C$21</f>
        <v>560.01650000000006</v>
      </c>
      <c r="F88" s="297"/>
      <c r="G88" s="276">
        <v>930.1</v>
      </c>
    </row>
    <row r="89" spans="1:7">
      <c r="A89" s="26">
        <v>75</v>
      </c>
      <c r="B89" s="276" t="s">
        <v>2122</v>
      </c>
      <c r="C89" s="276" t="s">
        <v>2123</v>
      </c>
      <c r="D89" s="297">
        <v>29.91</v>
      </c>
      <c r="E89" s="297">
        <f>+D89*'State Allocation Formulas'!$C$21</f>
        <v>22.483347000000002</v>
      </c>
      <c r="F89" s="297"/>
      <c r="G89" s="276">
        <v>930.1</v>
      </c>
    </row>
    <row r="90" spans="1:7">
      <c r="A90" s="26">
        <v>76</v>
      </c>
      <c r="B90" s="276" t="s">
        <v>2124</v>
      </c>
      <c r="C90" s="276" t="s">
        <v>2125</v>
      </c>
      <c r="D90" s="297">
        <v>21.83</v>
      </c>
      <c r="E90" s="297">
        <f>+D90*'State Allocation Formulas'!$C$21</f>
        <v>16.409610999999998</v>
      </c>
      <c r="F90" s="297"/>
      <c r="G90" s="276">
        <v>930.1</v>
      </c>
    </row>
    <row r="91" spans="1:7">
      <c r="A91" s="26">
        <v>77</v>
      </c>
      <c r="B91" s="276" t="s">
        <v>2126</v>
      </c>
      <c r="C91" s="276" t="s">
        <v>2101</v>
      </c>
      <c r="D91" s="297">
        <v>47.68</v>
      </c>
      <c r="E91" s="297">
        <f>+D91*'State Allocation Formulas'!$C$21</f>
        <v>35.841056000000002</v>
      </c>
      <c r="F91" s="297"/>
      <c r="G91" s="276">
        <v>930.1</v>
      </c>
    </row>
    <row r="92" spans="1:7">
      <c r="A92" s="26">
        <v>78</v>
      </c>
      <c r="B92" s="276" t="s">
        <v>2127</v>
      </c>
      <c r="C92" s="276" t="s">
        <v>2128</v>
      </c>
      <c r="D92" s="297">
        <v>372.5</v>
      </c>
      <c r="E92" s="297">
        <f>+D92*'State Allocation Formulas'!$C$21</f>
        <v>280.00825000000003</v>
      </c>
      <c r="F92" s="297"/>
      <c r="G92" s="276">
        <v>930.1</v>
      </c>
    </row>
    <row r="93" spans="1:7">
      <c r="A93" s="26">
        <v>79</v>
      </c>
      <c r="B93" s="276" t="s">
        <v>2129</v>
      </c>
      <c r="C93" s="276" t="s">
        <v>2130</v>
      </c>
      <c r="D93" s="297">
        <v>149</v>
      </c>
      <c r="E93" s="297">
        <f>+D93*'State Allocation Formulas'!$C$21</f>
        <v>112.00330000000001</v>
      </c>
      <c r="F93" s="297"/>
      <c r="G93" s="276">
        <v>930.1</v>
      </c>
    </row>
    <row r="94" spans="1:7">
      <c r="A94" s="26">
        <v>80</v>
      </c>
      <c r="B94" s="276" t="s">
        <v>2131</v>
      </c>
      <c r="C94" s="276" t="s">
        <v>2132</v>
      </c>
      <c r="D94" s="297">
        <v>149</v>
      </c>
      <c r="E94" s="297">
        <f>+D94*'State Allocation Formulas'!$C$21</f>
        <v>112.00330000000001</v>
      </c>
      <c r="F94" s="297"/>
      <c r="G94" s="276">
        <v>930.1</v>
      </c>
    </row>
    <row r="95" spans="1:7">
      <c r="A95" s="26">
        <v>81</v>
      </c>
      <c r="B95" s="276" t="s">
        <v>2133</v>
      </c>
      <c r="C95" s="276" t="s">
        <v>2091</v>
      </c>
      <c r="D95" s="297">
        <v>161.66999999999999</v>
      </c>
      <c r="E95" s="297">
        <f>+D95*'State Allocation Formulas'!$C$21</f>
        <v>121.527339</v>
      </c>
      <c r="F95" s="297"/>
      <c r="G95" s="276">
        <v>930.1</v>
      </c>
    </row>
    <row r="96" spans="1:7">
      <c r="A96" s="26">
        <v>82</v>
      </c>
      <c r="B96" s="276" t="s">
        <v>2134</v>
      </c>
      <c r="C96" s="276" t="s">
        <v>2101</v>
      </c>
      <c r="D96" s="297">
        <v>47.68</v>
      </c>
      <c r="E96" s="297">
        <f>+D96*'State Allocation Formulas'!$C$21</f>
        <v>35.841056000000002</v>
      </c>
      <c r="F96" s="297"/>
      <c r="G96" s="276">
        <v>930.1</v>
      </c>
    </row>
    <row r="97" spans="1:7">
      <c r="A97" s="26">
        <v>83</v>
      </c>
      <c r="B97" s="276" t="s">
        <v>2134</v>
      </c>
      <c r="C97" s="276" t="s">
        <v>2135</v>
      </c>
      <c r="D97" s="297">
        <v>73</v>
      </c>
      <c r="E97" s="297">
        <f>+D97*'State Allocation Formulas'!$C$21</f>
        <v>54.874100000000006</v>
      </c>
      <c r="F97" s="297"/>
      <c r="G97" s="276">
        <v>930.1</v>
      </c>
    </row>
    <row r="98" spans="1:7">
      <c r="A98" s="26">
        <v>84</v>
      </c>
      <c r="B98" s="276" t="s">
        <v>2134</v>
      </c>
      <c r="C98" s="276" t="s">
        <v>2136</v>
      </c>
      <c r="D98" s="297">
        <v>219</v>
      </c>
      <c r="E98" s="297">
        <f>+D98*'State Allocation Formulas'!$C$21</f>
        <v>164.6223</v>
      </c>
      <c r="F98" s="297"/>
      <c r="G98" s="276">
        <v>930.1</v>
      </c>
    </row>
    <row r="99" spans="1:7">
      <c r="A99" s="26">
        <v>85</v>
      </c>
      <c r="B99" s="276" t="s">
        <v>2137</v>
      </c>
      <c r="C99" s="276" t="s">
        <v>2137</v>
      </c>
      <c r="D99" s="297">
        <v>745</v>
      </c>
      <c r="E99" s="297">
        <f>+D99*'State Allocation Formulas'!$C$21</f>
        <v>560.01650000000006</v>
      </c>
      <c r="F99" s="297"/>
      <c r="G99" s="276">
        <v>930.1</v>
      </c>
    </row>
    <row r="100" spans="1:7">
      <c r="A100" s="26">
        <v>86</v>
      </c>
      <c r="B100" s="276" t="s">
        <v>2138</v>
      </c>
      <c r="C100" s="276" t="s">
        <v>2099</v>
      </c>
      <c r="D100" s="297">
        <v>164.21</v>
      </c>
      <c r="E100" s="297">
        <f>+D100*'State Allocation Formulas'!$C$21</f>
        <v>123.43665700000001</v>
      </c>
      <c r="F100" s="297"/>
      <c r="G100" s="276">
        <v>930.1</v>
      </c>
    </row>
    <row r="101" spans="1:7">
      <c r="A101" s="26">
        <v>87</v>
      </c>
      <c r="B101" s="276" t="s">
        <v>2139</v>
      </c>
      <c r="C101" s="276" t="s">
        <v>2099</v>
      </c>
      <c r="D101" s="297">
        <v>250.59</v>
      </c>
      <c r="E101" s="297">
        <f>+D101*'State Allocation Formulas'!$C$21</f>
        <v>188.368503</v>
      </c>
      <c r="F101" s="297"/>
      <c r="G101" s="276">
        <v>930.1</v>
      </c>
    </row>
    <row r="102" spans="1:7">
      <c r="A102" s="26">
        <v>88</v>
      </c>
      <c r="B102" s="276" t="s">
        <v>2140</v>
      </c>
      <c r="C102" s="276" t="s">
        <v>2099</v>
      </c>
      <c r="D102" s="297">
        <v>348.74</v>
      </c>
      <c r="E102" s="297">
        <f>+D102*'State Allocation Formulas'!$C$21</f>
        <v>262.14785800000004</v>
      </c>
      <c r="F102" s="297"/>
      <c r="G102" s="276">
        <v>930.1</v>
      </c>
    </row>
    <row r="103" spans="1:7">
      <c r="A103" s="26">
        <v>89</v>
      </c>
      <c r="B103" s="276" t="s">
        <v>2141</v>
      </c>
      <c r="C103" s="276" t="s">
        <v>2142</v>
      </c>
      <c r="D103" s="297">
        <v>37.25</v>
      </c>
      <c r="E103" s="297">
        <f>+D103*'State Allocation Formulas'!$C$21</f>
        <v>28.000825000000003</v>
      </c>
      <c r="F103" s="297"/>
      <c r="G103" s="276">
        <v>930.1</v>
      </c>
    </row>
    <row r="104" spans="1:7">
      <c r="A104" s="26">
        <v>90</v>
      </c>
      <c r="B104" s="276" t="s">
        <v>2143</v>
      </c>
      <c r="C104" s="276" t="s">
        <v>2103</v>
      </c>
      <c r="D104" s="297">
        <v>324.44</v>
      </c>
      <c r="E104" s="297">
        <f>+D104*'State Allocation Formulas'!$C$21</f>
        <v>243.88154800000001</v>
      </c>
      <c r="F104" s="297"/>
      <c r="G104" s="276">
        <v>930.1</v>
      </c>
    </row>
    <row r="105" spans="1:7">
      <c r="A105" s="26">
        <v>91</v>
      </c>
      <c r="B105" s="276" t="s">
        <v>2144</v>
      </c>
      <c r="C105" s="276" t="s">
        <v>2145</v>
      </c>
      <c r="D105" s="297">
        <v>43.8</v>
      </c>
      <c r="E105" s="297">
        <f>+D105*'State Allocation Formulas'!$C$21</f>
        <v>32.924459999999996</v>
      </c>
      <c r="F105" s="297"/>
      <c r="G105" s="276">
        <v>930.1</v>
      </c>
    </row>
    <row r="106" spans="1:7">
      <c r="A106" s="26">
        <v>92</v>
      </c>
      <c r="B106" s="276" t="s">
        <v>2146</v>
      </c>
      <c r="C106" s="276" t="s">
        <v>2147</v>
      </c>
      <c r="D106" s="297">
        <v>36.5</v>
      </c>
      <c r="E106" s="297">
        <f>+D106*'State Allocation Formulas'!$C$21</f>
        <v>27.437050000000003</v>
      </c>
      <c r="F106" s="297"/>
      <c r="G106" s="276">
        <v>930.1</v>
      </c>
    </row>
    <row r="107" spans="1:7">
      <c r="A107" s="26">
        <v>93</v>
      </c>
      <c r="B107" s="276" t="s">
        <v>2148</v>
      </c>
      <c r="C107" s="276" t="s">
        <v>2149</v>
      </c>
      <c r="D107" s="297">
        <v>365</v>
      </c>
      <c r="E107" s="297">
        <f>+D107*'State Allocation Formulas'!$C$21</f>
        <v>274.37049999999999</v>
      </c>
      <c r="F107" s="297"/>
      <c r="G107" s="276">
        <v>930.1</v>
      </c>
    </row>
    <row r="108" spans="1:7">
      <c r="A108" s="26">
        <v>94</v>
      </c>
      <c r="B108" s="276" t="s">
        <v>2150</v>
      </c>
      <c r="C108" s="276" t="s">
        <v>2151</v>
      </c>
      <c r="D108" s="297">
        <v>197.1</v>
      </c>
      <c r="E108" s="297">
        <f>+D108*'State Allocation Formulas'!$C$21</f>
        <v>148.16006999999999</v>
      </c>
      <c r="F108" s="297"/>
      <c r="G108" s="276">
        <v>930.1</v>
      </c>
    </row>
    <row r="109" spans="1:7">
      <c r="A109" s="26">
        <v>95</v>
      </c>
      <c r="B109" s="276" t="s">
        <v>2152</v>
      </c>
      <c r="C109" s="276" t="s">
        <v>2099</v>
      </c>
      <c r="D109" s="297">
        <v>328.06</v>
      </c>
      <c r="E109" s="297">
        <f>+D109*'State Allocation Formulas'!$C$21</f>
        <v>246.60270200000002</v>
      </c>
      <c r="F109" s="297"/>
      <c r="G109" s="276">
        <v>930.1</v>
      </c>
    </row>
    <row r="110" spans="1:7">
      <c r="A110" s="26">
        <v>96</v>
      </c>
      <c r="B110" s="276" t="s">
        <v>2153</v>
      </c>
      <c r="C110" s="276" t="s">
        <v>2099</v>
      </c>
      <c r="D110" s="297">
        <v>639.72</v>
      </c>
      <c r="E110" s="297">
        <f>+D110*'State Allocation Formulas'!$C$21</f>
        <v>480.87752400000005</v>
      </c>
      <c r="F110" s="297"/>
      <c r="G110" s="276">
        <v>930.1</v>
      </c>
    </row>
    <row r="111" spans="1:7">
      <c r="A111" s="26">
        <v>97</v>
      </c>
      <c r="B111" s="276" t="s">
        <v>2154</v>
      </c>
      <c r="C111" s="276" t="s">
        <v>2099</v>
      </c>
      <c r="D111" s="297">
        <v>718.61</v>
      </c>
      <c r="E111" s="297">
        <f>+D111*'State Allocation Formulas'!$C$21</f>
        <v>540.17913700000008</v>
      </c>
      <c r="F111" s="297"/>
      <c r="G111" s="276">
        <v>930.1</v>
      </c>
    </row>
    <row r="112" spans="1:7">
      <c r="A112" s="26">
        <v>98</v>
      </c>
      <c r="B112" s="276" t="s">
        <v>2155</v>
      </c>
      <c r="C112" s="276" t="s">
        <v>2119</v>
      </c>
      <c r="D112" s="297">
        <v>292</v>
      </c>
      <c r="E112" s="297">
        <f>+D112*'State Allocation Formulas'!$C$21</f>
        <v>219.49640000000002</v>
      </c>
      <c r="F112" s="297"/>
      <c r="G112" s="276">
        <v>930.1</v>
      </c>
    </row>
    <row r="113" spans="1:7">
      <c r="A113" s="26">
        <v>99</v>
      </c>
      <c r="B113" s="276" t="s">
        <v>2156</v>
      </c>
      <c r="C113" s="276" t="s">
        <v>2157</v>
      </c>
      <c r="D113" s="297">
        <v>73</v>
      </c>
      <c r="E113" s="297">
        <f>+D113*'State Allocation Formulas'!$C$21</f>
        <v>54.874100000000006</v>
      </c>
      <c r="F113" s="297"/>
      <c r="G113" s="276">
        <v>930.1</v>
      </c>
    </row>
    <row r="114" spans="1:7">
      <c r="A114" s="26">
        <v>100</v>
      </c>
      <c r="B114" s="276" t="s">
        <v>2158</v>
      </c>
      <c r="C114" s="276" t="s">
        <v>2159</v>
      </c>
      <c r="D114" s="297">
        <v>2336</v>
      </c>
      <c r="E114" s="297">
        <f>+D114*'State Allocation Formulas'!$C$21</f>
        <v>1755.9712000000002</v>
      </c>
      <c r="F114" s="297"/>
      <c r="G114" s="276">
        <v>930.1</v>
      </c>
    </row>
    <row r="115" spans="1:7">
      <c r="A115" s="26">
        <v>101</v>
      </c>
      <c r="B115" s="276" t="s">
        <v>2160</v>
      </c>
      <c r="C115" s="276" t="s">
        <v>2161</v>
      </c>
      <c r="D115" s="297">
        <v>0</v>
      </c>
      <c r="E115" s="297">
        <f>+D115*'State Allocation Formulas'!$C$21</f>
        <v>0</v>
      </c>
      <c r="F115" s="297"/>
      <c r="G115" s="276">
        <v>930.1</v>
      </c>
    </row>
    <row r="116" spans="1:7">
      <c r="A116" s="26">
        <v>102</v>
      </c>
      <c r="B116" s="276" t="s">
        <v>2162</v>
      </c>
      <c r="C116" s="276" t="s">
        <v>2119</v>
      </c>
      <c r="D116" s="297">
        <v>547.5</v>
      </c>
      <c r="E116" s="297">
        <f>+D116*'State Allocation Formulas'!$C$21</f>
        <v>411.55575000000005</v>
      </c>
      <c r="F116" s="297"/>
      <c r="G116" s="276">
        <v>930.1</v>
      </c>
    </row>
    <row r="117" spans="1:7">
      <c r="A117" s="26">
        <v>103</v>
      </c>
      <c r="B117" s="276" t="s">
        <v>2162</v>
      </c>
      <c r="C117" s="276" t="s">
        <v>2119</v>
      </c>
      <c r="D117" s="297">
        <v>547.5</v>
      </c>
      <c r="E117" s="297">
        <f>+D117*'State Allocation Formulas'!$C$21</f>
        <v>411.55575000000005</v>
      </c>
      <c r="F117" s="297"/>
      <c r="G117" s="276">
        <v>930.1</v>
      </c>
    </row>
    <row r="118" spans="1:7">
      <c r="A118" s="26">
        <v>104</v>
      </c>
      <c r="B118" s="276" t="s">
        <v>2163</v>
      </c>
      <c r="C118" s="276" t="s">
        <v>2164</v>
      </c>
      <c r="D118" s="297">
        <v>-3.49</v>
      </c>
      <c r="E118" s="297">
        <f>+D118*'State Allocation Formulas'!$C$21</f>
        <v>-2.6234330000000003</v>
      </c>
      <c r="F118" s="297"/>
      <c r="G118" s="276">
        <v>930.1</v>
      </c>
    </row>
    <row r="119" spans="1:7">
      <c r="A119" s="26">
        <v>105</v>
      </c>
      <c r="B119" s="276" t="s">
        <v>2165</v>
      </c>
      <c r="C119" s="276" t="s">
        <v>2164</v>
      </c>
      <c r="D119" s="297">
        <v>-4.5999999999999996</v>
      </c>
      <c r="E119" s="297">
        <f>+D119*'State Allocation Formulas'!$C$21</f>
        <v>-3.4578199999999999</v>
      </c>
      <c r="F119" s="297"/>
      <c r="G119" s="276">
        <v>930.1</v>
      </c>
    </row>
    <row r="120" spans="1:7">
      <c r="A120" s="26">
        <v>106</v>
      </c>
      <c r="B120" s="276" t="s">
        <v>2166</v>
      </c>
      <c r="C120" s="276" t="s">
        <v>2159</v>
      </c>
      <c r="D120" s="297">
        <v>95.63</v>
      </c>
      <c r="E120" s="297">
        <f>+D120*'State Allocation Formulas'!$C$21</f>
        <v>71.885070999999996</v>
      </c>
      <c r="F120" s="297"/>
      <c r="G120" s="276">
        <v>930.1</v>
      </c>
    </row>
    <row r="121" spans="1:7">
      <c r="A121" s="26">
        <v>107</v>
      </c>
      <c r="B121" s="276" t="s">
        <v>2167</v>
      </c>
      <c r="C121" s="276" t="s">
        <v>2093</v>
      </c>
      <c r="D121" s="297">
        <v>18.25</v>
      </c>
      <c r="E121" s="297">
        <f>+D121*'State Allocation Formulas'!$C$21</f>
        <v>13.718525000000001</v>
      </c>
      <c r="F121" s="297"/>
      <c r="G121" s="276">
        <v>930.1</v>
      </c>
    </row>
    <row r="122" spans="1:7">
      <c r="A122" s="26">
        <v>108</v>
      </c>
      <c r="B122" s="276" t="s">
        <v>2168</v>
      </c>
      <c r="C122" s="276" t="s">
        <v>2101</v>
      </c>
      <c r="D122" s="297">
        <v>280.32</v>
      </c>
      <c r="E122" s="297">
        <f>+D122*'State Allocation Formulas'!$C$21</f>
        <v>210.716544</v>
      </c>
      <c r="F122" s="297"/>
      <c r="G122" s="276">
        <v>930.1</v>
      </c>
    </row>
    <row r="123" spans="1:7">
      <c r="A123" s="26">
        <v>109</v>
      </c>
      <c r="B123" s="276" t="s">
        <v>2169</v>
      </c>
      <c r="C123" s="276" t="s">
        <v>2170</v>
      </c>
      <c r="D123" s="297">
        <v>37.81</v>
      </c>
      <c r="E123" s="297">
        <f>+D123*'State Allocation Formulas'!$C$21</f>
        <v>28.421777000000002</v>
      </c>
      <c r="F123" s="297"/>
      <c r="G123" s="276">
        <v>930.1</v>
      </c>
    </row>
    <row r="124" spans="1:7">
      <c r="A124" s="26">
        <v>110</v>
      </c>
      <c r="B124" s="276" t="s">
        <v>2171</v>
      </c>
      <c r="C124" s="276" t="s">
        <v>2114</v>
      </c>
      <c r="D124" s="297">
        <v>70.08</v>
      </c>
      <c r="E124" s="297">
        <f>+D124*'State Allocation Formulas'!$C$21</f>
        <v>52.679136</v>
      </c>
      <c r="F124" s="297"/>
      <c r="G124" s="276">
        <v>930.1</v>
      </c>
    </row>
    <row r="125" spans="1:7">
      <c r="A125" s="26">
        <v>111</v>
      </c>
      <c r="B125" s="276" t="s">
        <v>2172</v>
      </c>
      <c r="C125" s="276" t="s">
        <v>2173</v>
      </c>
      <c r="D125" s="297">
        <v>486.62</v>
      </c>
      <c r="E125" s="297">
        <f>+D125*'State Allocation Formulas'!$C$21</f>
        <v>365.79225400000001</v>
      </c>
      <c r="F125" s="297"/>
      <c r="G125" s="276">
        <v>930.1</v>
      </c>
    </row>
    <row r="126" spans="1:7">
      <c r="A126" s="26">
        <v>112</v>
      </c>
      <c r="B126" s="276" t="s">
        <v>2174</v>
      </c>
      <c r="C126" s="276" t="s">
        <v>2175</v>
      </c>
      <c r="D126" s="297">
        <v>36.5</v>
      </c>
      <c r="E126" s="297">
        <f>+D126*'State Allocation Formulas'!$C$21</f>
        <v>27.437050000000003</v>
      </c>
      <c r="F126" s="297"/>
      <c r="G126" s="276">
        <v>930.1</v>
      </c>
    </row>
    <row r="127" spans="1:7">
      <c r="A127" s="26">
        <v>113</v>
      </c>
      <c r="B127" s="276" t="s">
        <v>2176</v>
      </c>
      <c r="C127" s="276" t="s">
        <v>2177</v>
      </c>
      <c r="D127" s="297">
        <v>51.1</v>
      </c>
      <c r="E127" s="297">
        <f>+D127*'State Allocation Formulas'!$C$21</f>
        <v>38.41187</v>
      </c>
      <c r="F127" s="297"/>
      <c r="G127" s="276">
        <v>930.1</v>
      </c>
    </row>
    <row r="128" spans="1:7">
      <c r="A128" s="26">
        <v>114</v>
      </c>
      <c r="B128" s="276" t="s">
        <v>2178</v>
      </c>
      <c r="C128" s="276" t="s">
        <v>2179</v>
      </c>
      <c r="D128" s="297">
        <v>116.8</v>
      </c>
      <c r="E128" s="297">
        <f>+D128*'State Allocation Formulas'!$C$21</f>
        <v>87.798559999999995</v>
      </c>
      <c r="F128" s="297"/>
      <c r="G128" s="276">
        <v>930.1</v>
      </c>
    </row>
    <row r="129" spans="1:7">
      <c r="A129" s="26">
        <v>115</v>
      </c>
      <c r="B129" s="276" t="s">
        <v>2180</v>
      </c>
      <c r="C129" s="276" t="s">
        <v>2181</v>
      </c>
      <c r="D129" s="297">
        <v>146</v>
      </c>
      <c r="E129" s="297">
        <f>+D129*'State Allocation Formulas'!$C$21</f>
        <v>109.74820000000001</v>
      </c>
      <c r="F129" s="297"/>
      <c r="G129" s="276">
        <v>930.1</v>
      </c>
    </row>
    <row r="130" spans="1:7">
      <c r="A130" s="26">
        <v>116</v>
      </c>
      <c r="B130" s="276" t="s">
        <v>2182</v>
      </c>
      <c r="C130" s="276" t="s">
        <v>2183</v>
      </c>
      <c r="D130" s="297">
        <v>43.8</v>
      </c>
      <c r="E130" s="297">
        <f>+D130*'State Allocation Formulas'!$C$21</f>
        <v>32.924459999999996</v>
      </c>
      <c r="F130" s="297"/>
      <c r="G130" s="276">
        <v>930.1</v>
      </c>
    </row>
    <row r="131" spans="1:7">
      <c r="A131" s="26">
        <v>117</v>
      </c>
      <c r="B131" s="276" t="s">
        <v>2184</v>
      </c>
      <c r="C131" s="276" t="s">
        <v>2185</v>
      </c>
      <c r="D131" s="297">
        <v>730</v>
      </c>
      <c r="E131" s="297">
        <f>+D131*'State Allocation Formulas'!$C$21</f>
        <v>548.74099999999999</v>
      </c>
      <c r="F131" s="297"/>
      <c r="G131" s="276">
        <v>930.1</v>
      </c>
    </row>
    <row r="132" spans="1:7">
      <c r="A132" s="26">
        <v>118</v>
      </c>
      <c r="B132" s="276" t="s">
        <v>2186</v>
      </c>
      <c r="C132" s="276" t="s">
        <v>2187</v>
      </c>
      <c r="D132" s="297">
        <v>2.48</v>
      </c>
      <c r="E132" s="297">
        <f>+D132*'State Allocation Formulas'!$C$21</f>
        <v>1.8642160000000001</v>
      </c>
      <c r="F132" s="297"/>
      <c r="G132" s="276">
        <v>930.1</v>
      </c>
    </row>
    <row r="133" spans="1:7">
      <c r="A133" s="26">
        <v>119</v>
      </c>
      <c r="B133" s="276" t="s">
        <v>2186</v>
      </c>
      <c r="C133" s="276" t="s">
        <v>2187</v>
      </c>
      <c r="D133" s="297">
        <v>2.0299999999999998</v>
      </c>
      <c r="E133" s="297">
        <f>+D133*'State Allocation Formulas'!$C$21</f>
        <v>1.5259509999999998</v>
      </c>
      <c r="F133" s="297"/>
      <c r="G133" s="276">
        <v>930.1</v>
      </c>
    </row>
    <row r="134" spans="1:7">
      <c r="A134" s="26">
        <v>120</v>
      </c>
      <c r="B134" s="276" t="s">
        <v>2186</v>
      </c>
      <c r="C134" s="276" t="s">
        <v>2187</v>
      </c>
      <c r="D134" s="297">
        <v>1.87</v>
      </c>
      <c r="E134" s="297">
        <f>+D134*'State Allocation Formulas'!$C$21</f>
        <v>1.4056790000000001</v>
      </c>
      <c r="F134" s="297"/>
      <c r="G134" s="276">
        <v>930.1</v>
      </c>
    </row>
    <row r="135" spans="1:7">
      <c r="A135" s="26">
        <v>121</v>
      </c>
      <c r="B135" s="276" t="s">
        <v>2188</v>
      </c>
      <c r="C135" s="276" t="s">
        <v>2187</v>
      </c>
      <c r="D135" s="297">
        <v>1.97</v>
      </c>
      <c r="E135" s="297">
        <f>+D135*'State Allocation Formulas'!$C$21</f>
        <v>1.4808490000000001</v>
      </c>
      <c r="F135" s="297"/>
      <c r="G135" s="276">
        <v>930.1</v>
      </c>
    </row>
    <row r="136" spans="1:7">
      <c r="A136" s="26">
        <v>122</v>
      </c>
      <c r="B136" s="276" t="s">
        <v>2189</v>
      </c>
      <c r="C136" s="276" t="s">
        <v>2091</v>
      </c>
      <c r="D136" s="297">
        <v>1324.59</v>
      </c>
      <c r="E136" s="297">
        <f>+D136*'State Allocation Formulas'!$C$21</f>
        <v>995.69430299999999</v>
      </c>
      <c r="F136" s="297"/>
      <c r="G136" s="276">
        <v>930.1</v>
      </c>
    </row>
    <row r="137" spans="1:7">
      <c r="A137" s="26">
        <v>123</v>
      </c>
      <c r="B137" s="276" t="s">
        <v>2190</v>
      </c>
      <c r="C137" s="276" t="s">
        <v>2191</v>
      </c>
      <c r="D137" s="297">
        <v>14.6</v>
      </c>
      <c r="E137" s="297">
        <f>+D137*'State Allocation Formulas'!$C$21</f>
        <v>10.974819999999999</v>
      </c>
      <c r="F137" s="297"/>
      <c r="G137" s="276">
        <v>930.1</v>
      </c>
    </row>
    <row r="138" spans="1:7">
      <c r="A138" s="26">
        <v>124</v>
      </c>
      <c r="B138" s="276" t="s">
        <v>2192</v>
      </c>
      <c r="C138" s="276" t="s">
        <v>2193</v>
      </c>
      <c r="D138" s="297">
        <v>16.97</v>
      </c>
      <c r="E138" s="297">
        <f>+D138*'State Allocation Formulas'!$C$21</f>
        <v>12.756349</v>
      </c>
      <c r="F138" s="297"/>
      <c r="G138" s="276">
        <v>930.1</v>
      </c>
    </row>
    <row r="139" spans="1:7">
      <c r="A139" s="26">
        <v>125</v>
      </c>
      <c r="B139" s="276" t="s">
        <v>2192</v>
      </c>
      <c r="C139" s="276" t="s">
        <v>2193</v>
      </c>
      <c r="D139" s="297">
        <v>3.15</v>
      </c>
      <c r="E139" s="297">
        <f>+D139*'State Allocation Formulas'!$C$21</f>
        <v>2.367855</v>
      </c>
      <c r="F139" s="297"/>
      <c r="G139" s="276">
        <v>930.1</v>
      </c>
    </row>
    <row r="140" spans="1:7">
      <c r="A140" s="26">
        <v>126</v>
      </c>
      <c r="B140" s="276" t="s">
        <v>2194</v>
      </c>
      <c r="C140" s="276" t="s">
        <v>2195</v>
      </c>
      <c r="D140" s="297">
        <v>29.2</v>
      </c>
      <c r="E140" s="297">
        <f>+D140*'State Allocation Formulas'!$C$21</f>
        <v>21.949639999999999</v>
      </c>
      <c r="F140" s="297"/>
      <c r="G140" s="276">
        <v>930.1</v>
      </c>
    </row>
    <row r="141" spans="1:7">
      <c r="A141" s="26">
        <v>127</v>
      </c>
      <c r="B141" s="276" t="s">
        <v>2196</v>
      </c>
      <c r="C141" s="276" t="s">
        <v>2197</v>
      </c>
      <c r="D141" s="297">
        <v>245.28</v>
      </c>
      <c r="E141" s="297">
        <f>+D141*'State Allocation Formulas'!$C$21</f>
        <v>184.37697600000001</v>
      </c>
      <c r="F141" s="297"/>
      <c r="G141" s="276">
        <v>930.1</v>
      </c>
    </row>
    <row r="142" spans="1:7">
      <c r="A142" s="26">
        <v>128</v>
      </c>
      <c r="B142" s="276" t="s">
        <v>2198</v>
      </c>
      <c r="C142" s="276" t="s">
        <v>2193</v>
      </c>
      <c r="D142" s="297">
        <v>100.86</v>
      </c>
      <c r="E142" s="297">
        <f>+D142*'State Allocation Formulas'!$C$21</f>
        <v>75.816462000000001</v>
      </c>
      <c r="F142" s="297"/>
      <c r="G142" s="276">
        <v>930.1</v>
      </c>
    </row>
    <row r="143" spans="1:7">
      <c r="A143" s="26">
        <v>129</v>
      </c>
      <c r="B143" s="276" t="s">
        <v>2199</v>
      </c>
      <c r="C143" s="276" t="s">
        <v>2200</v>
      </c>
      <c r="D143" s="297">
        <v>327.04000000000002</v>
      </c>
      <c r="E143" s="297">
        <f>+D143*'State Allocation Formulas'!$C$21</f>
        <v>245.83596800000004</v>
      </c>
      <c r="F143" s="297"/>
      <c r="G143" s="276">
        <v>930.1</v>
      </c>
    </row>
    <row r="144" spans="1:7">
      <c r="A144" s="26">
        <v>130</v>
      </c>
      <c r="B144" s="276" t="s">
        <v>2201</v>
      </c>
      <c r="C144" s="276" t="s">
        <v>2193</v>
      </c>
      <c r="D144" s="297">
        <v>49.46</v>
      </c>
      <c r="E144" s="297">
        <f>+D144*'State Allocation Formulas'!$C$21</f>
        <v>37.179082000000001</v>
      </c>
      <c r="F144" s="297"/>
      <c r="G144" s="276">
        <v>930.1</v>
      </c>
    </row>
    <row r="145" spans="1:7">
      <c r="A145" s="26">
        <v>131</v>
      </c>
      <c r="B145" s="276" t="s">
        <v>2202</v>
      </c>
      <c r="C145" s="276" t="s">
        <v>2203</v>
      </c>
      <c r="D145" s="297">
        <v>146</v>
      </c>
      <c r="E145" s="297">
        <f>+D145*'State Allocation Formulas'!$C$21</f>
        <v>109.74820000000001</v>
      </c>
      <c r="F145" s="297"/>
      <c r="G145" s="276">
        <v>930.1</v>
      </c>
    </row>
    <row r="146" spans="1:7">
      <c r="A146" s="26">
        <v>132</v>
      </c>
      <c r="B146" s="276" t="s">
        <v>2204</v>
      </c>
      <c r="C146" s="276" t="s">
        <v>2205</v>
      </c>
      <c r="D146" s="297">
        <v>730</v>
      </c>
      <c r="E146" s="297">
        <f>+D146*'State Allocation Formulas'!$C$21</f>
        <v>548.74099999999999</v>
      </c>
      <c r="F146" s="297"/>
      <c r="G146" s="276">
        <v>930.1</v>
      </c>
    </row>
    <row r="147" spans="1:7">
      <c r="A147" s="26">
        <v>133</v>
      </c>
      <c r="B147" s="276" t="s">
        <v>2206</v>
      </c>
      <c r="C147" s="276" t="s">
        <v>2207</v>
      </c>
      <c r="D147" s="297">
        <v>378.83</v>
      </c>
      <c r="E147" s="297">
        <f>+D147*'State Allocation Formulas'!$C$21</f>
        <v>284.76651099999998</v>
      </c>
      <c r="F147" s="297"/>
      <c r="G147" s="276">
        <v>930.1</v>
      </c>
    </row>
    <row r="148" spans="1:7">
      <c r="A148" s="26">
        <v>134</v>
      </c>
      <c r="B148" s="276" t="s">
        <v>2208</v>
      </c>
      <c r="C148" s="276" t="s">
        <v>2209</v>
      </c>
      <c r="D148" s="297">
        <v>2920</v>
      </c>
      <c r="E148" s="297">
        <f>+D148*'State Allocation Formulas'!$C$21</f>
        <v>2194.9639999999999</v>
      </c>
      <c r="F148" s="297"/>
      <c r="G148" s="276">
        <v>930.1</v>
      </c>
    </row>
    <row r="149" spans="1:7">
      <c r="A149" s="26">
        <v>135</v>
      </c>
      <c r="B149" s="276" t="s">
        <v>2210</v>
      </c>
      <c r="C149" s="276" t="s">
        <v>2103</v>
      </c>
      <c r="D149" s="297">
        <v>324.44</v>
      </c>
      <c r="E149" s="297">
        <f>+D149*'State Allocation Formulas'!$C$21</f>
        <v>243.88154800000001</v>
      </c>
      <c r="F149" s="297"/>
      <c r="G149" s="276">
        <v>930.1</v>
      </c>
    </row>
    <row r="150" spans="1:7">
      <c r="A150" s="26">
        <v>136</v>
      </c>
      <c r="B150" s="276" t="s">
        <v>2211</v>
      </c>
      <c r="C150" s="276" t="s">
        <v>2099</v>
      </c>
      <c r="D150" s="297">
        <v>410.27</v>
      </c>
      <c r="E150" s="297">
        <f>+D150*'State Allocation Formulas'!$C$21</f>
        <v>308.39995900000002</v>
      </c>
      <c r="F150" s="297"/>
      <c r="G150" s="276">
        <v>930.1</v>
      </c>
    </row>
    <row r="151" spans="1:7">
      <c r="A151" s="26">
        <v>137</v>
      </c>
      <c r="B151" s="276" t="s">
        <v>2211</v>
      </c>
      <c r="C151" s="276" t="s">
        <v>2099</v>
      </c>
      <c r="D151" s="297">
        <v>717.05</v>
      </c>
      <c r="E151" s="297">
        <f>+D151*'State Allocation Formulas'!$C$21</f>
        <v>539.006485</v>
      </c>
      <c r="F151" s="297"/>
      <c r="G151" s="276">
        <v>930.1</v>
      </c>
    </row>
    <row r="152" spans="1:7">
      <c r="A152" s="26">
        <v>138</v>
      </c>
      <c r="B152" s="276" t="s">
        <v>2212</v>
      </c>
      <c r="C152" s="276" t="s">
        <v>2099</v>
      </c>
      <c r="D152" s="297">
        <v>109.35</v>
      </c>
      <c r="E152" s="297">
        <f>+D152*'State Allocation Formulas'!$C$21</f>
        <v>82.198395000000005</v>
      </c>
      <c r="F152" s="297"/>
      <c r="G152" s="276">
        <v>930.1</v>
      </c>
    </row>
    <row r="153" spans="1:7">
      <c r="A153" s="26">
        <v>139</v>
      </c>
      <c r="B153" s="276" t="s">
        <v>2212</v>
      </c>
      <c r="C153" s="276" t="s">
        <v>2099</v>
      </c>
      <c r="D153" s="297">
        <v>416.91</v>
      </c>
      <c r="E153" s="297">
        <f>+D153*'State Allocation Formulas'!$C$21</f>
        <v>313.39124700000002</v>
      </c>
      <c r="F153" s="297"/>
      <c r="G153" s="276">
        <v>930.1</v>
      </c>
    </row>
    <row r="154" spans="1:7">
      <c r="A154" s="26">
        <v>140</v>
      </c>
      <c r="B154" s="276" t="s">
        <v>2213</v>
      </c>
      <c r="C154" s="276" t="s">
        <v>2099</v>
      </c>
      <c r="D154" s="297">
        <v>175.75</v>
      </c>
      <c r="E154" s="297">
        <f>+D154*'State Allocation Formulas'!$C$21</f>
        <v>132.11127500000001</v>
      </c>
      <c r="F154" s="297"/>
      <c r="G154" s="276">
        <v>930.1</v>
      </c>
    </row>
    <row r="155" spans="1:7">
      <c r="A155" s="26">
        <v>141</v>
      </c>
      <c r="B155" s="276" t="s">
        <v>2214</v>
      </c>
      <c r="C155" s="276" t="s">
        <v>2215</v>
      </c>
      <c r="D155" s="297">
        <v>146</v>
      </c>
      <c r="E155" s="297">
        <f>+D155*'State Allocation Formulas'!$C$21</f>
        <v>109.74820000000001</v>
      </c>
      <c r="F155" s="297"/>
      <c r="G155" s="276">
        <v>930.1</v>
      </c>
    </row>
    <row r="156" spans="1:7">
      <c r="A156" s="26">
        <v>142</v>
      </c>
      <c r="B156" s="276" t="s">
        <v>2216</v>
      </c>
      <c r="C156" s="276" t="s">
        <v>2099</v>
      </c>
      <c r="D156" s="297">
        <v>314</v>
      </c>
      <c r="E156" s="297">
        <f>+D156*'State Allocation Formulas'!$C$21</f>
        <v>236.03380000000001</v>
      </c>
      <c r="F156" s="297"/>
      <c r="G156" s="276">
        <v>930.1</v>
      </c>
    </row>
    <row r="157" spans="1:7">
      <c r="A157" s="26">
        <v>143</v>
      </c>
      <c r="B157" s="276" t="s">
        <v>2060</v>
      </c>
      <c r="C157" s="276" t="s">
        <v>2061</v>
      </c>
      <c r="D157" s="297">
        <v>84.71</v>
      </c>
      <c r="E157" s="297">
        <f>+D157*'State Allocation Formulas'!$C$21</f>
        <v>63.676507000000001</v>
      </c>
      <c r="F157" s="297"/>
      <c r="G157" s="276">
        <v>930.1</v>
      </c>
    </row>
    <row r="159" spans="1:7">
      <c r="A159" s="277">
        <v>144</v>
      </c>
      <c r="E159" s="431">
        <f>SUM(E28:E157)</f>
        <v>23274.466148000007</v>
      </c>
      <c r="F159" s="431">
        <f>SUM(F28:F157)</f>
        <v>2440</v>
      </c>
    </row>
    <row r="160" spans="1:7">
      <c r="A160" s="277">
        <v>145</v>
      </c>
      <c r="B160" s="24" t="s">
        <v>674</v>
      </c>
      <c r="F160" s="431">
        <f>+E159+F159</f>
        <v>25714.466148000007</v>
      </c>
    </row>
  </sheetData>
  <mergeCells count="4">
    <mergeCell ref="B1:G1"/>
    <mergeCell ref="B4:G4"/>
    <mergeCell ref="B5:G5"/>
    <mergeCell ref="E8:E9"/>
  </mergeCells>
  <printOptions horizontalCentered="1"/>
  <pageMargins left="0.7" right="0.7" top="0.75" bottom="0.75" header="0.3" footer="0.3"/>
  <pageSetup scale="50" orientation="portrait" r:id="rId1"/>
  <headerFooter scaleWithDoc="0" alignWithMargins="0">
    <oddHeader>&amp;RPage &amp;P of &amp;N</oddHeader>
    <oddFooter>&amp;LElectronic Tab Name:&amp;A</oddFooter>
  </headerFooter>
  <rowBreaks count="1" manualBreakCount="1">
    <brk id="83"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00"/>
  </sheetPr>
  <dimension ref="A1:P34"/>
  <sheetViews>
    <sheetView view="pageBreakPreview" topLeftCell="A5" zoomScale="118" zoomScaleNormal="100" zoomScaleSheetLayoutView="118" workbookViewId="0">
      <selection activeCell="C15" sqref="C15"/>
    </sheetView>
  </sheetViews>
  <sheetFormatPr defaultRowHeight="15"/>
  <cols>
    <col min="1" max="1" width="9.28515625" style="687" bestFit="1" customWidth="1"/>
    <col min="8" max="8" width="19.85546875" bestFit="1" customWidth="1"/>
    <col min="12" max="12" width="14.28515625" bestFit="1" customWidth="1"/>
    <col min="15" max="15" width="10.140625" bestFit="1" customWidth="1"/>
  </cols>
  <sheetData>
    <row r="1" spans="1:16" ht="15.75">
      <c r="B1" s="4"/>
      <c r="C1" s="908"/>
      <c r="D1" s="908"/>
      <c r="E1" s="908"/>
      <c r="F1" s="908"/>
      <c r="G1" s="908"/>
      <c r="H1" s="908"/>
      <c r="I1" s="4"/>
      <c r="J1" s="4"/>
      <c r="K1" s="4"/>
      <c r="L1" s="4"/>
      <c r="M1" s="4"/>
    </row>
    <row r="2" spans="1:16" ht="15.75">
      <c r="A2" s="904" t="s">
        <v>60</v>
      </c>
      <c r="B2" s="904"/>
      <c r="C2" s="904"/>
      <c r="D2" s="904"/>
      <c r="E2" s="904"/>
      <c r="F2" s="904"/>
      <c r="G2" s="904"/>
      <c r="H2" s="904"/>
      <c r="I2" s="904"/>
      <c r="J2" s="3"/>
      <c r="K2" s="3"/>
      <c r="L2" s="3"/>
      <c r="M2" s="3"/>
    </row>
    <row r="3" spans="1:16" ht="15.75">
      <c r="A3" s="904" t="s">
        <v>1865</v>
      </c>
      <c r="B3" s="904"/>
      <c r="C3" s="904"/>
      <c r="D3" s="904"/>
      <c r="E3" s="904"/>
      <c r="F3" s="904"/>
      <c r="G3" s="904"/>
      <c r="H3" s="904"/>
      <c r="I3" s="904"/>
      <c r="J3" s="3"/>
      <c r="K3" s="3"/>
      <c r="L3" s="3"/>
      <c r="M3" s="3"/>
    </row>
    <row r="4" spans="1:16" ht="15.75">
      <c r="A4" s="904" t="s">
        <v>1286</v>
      </c>
      <c r="B4" s="904"/>
      <c r="C4" s="904"/>
      <c r="D4" s="904"/>
      <c r="E4" s="904"/>
      <c r="F4" s="904"/>
      <c r="G4" s="904"/>
      <c r="H4" s="904"/>
      <c r="I4" s="904"/>
      <c r="J4" s="3"/>
      <c r="K4" s="3"/>
      <c r="L4" s="3"/>
      <c r="M4" s="3"/>
    </row>
    <row r="5" spans="1:16" ht="15.75">
      <c r="A5" s="948" t="s">
        <v>1860</v>
      </c>
      <c r="B5" s="948"/>
      <c r="C5" s="948"/>
      <c r="D5" s="948"/>
      <c r="E5" s="948"/>
      <c r="F5" s="948"/>
      <c r="G5" s="948"/>
      <c r="H5" s="948"/>
      <c r="I5" s="948"/>
      <c r="J5" s="686"/>
      <c r="K5" s="686"/>
      <c r="L5" s="686"/>
      <c r="M5" s="686"/>
    </row>
    <row r="6" spans="1:16" ht="15.75">
      <c r="A6" s="904" t="s">
        <v>1864</v>
      </c>
      <c r="B6" s="904"/>
      <c r="C6" s="904"/>
      <c r="D6" s="904"/>
      <c r="E6" s="904"/>
      <c r="F6" s="904"/>
      <c r="G6" s="904"/>
      <c r="H6" s="904"/>
      <c r="I6" s="904"/>
      <c r="J6" s="3"/>
      <c r="K6" s="3"/>
      <c r="L6" s="3"/>
      <c r="M6" s="3"/>
    </row>
    <row r="7" spans="1:16" s="687" customFormat="1" ht="15.75">
      <c r="B7" s="4"/>
      <c r="C7" s="707"/>
      <c r="D7" s="707"/>
      <c r="E7" s="707"/>
      <c r="F7" s="707"/>
      <c r="G7" s="707"/>
      <c r="H7" s="707"/>
      <c r="I7" s="707"/>
      <c r="J7" s="707"/>
      <c r="K7" s="707"/>
      <c r="L7" s="707"/>
      <c r="M7" s="707"/>
    </row>
    <row r="8" spans="1:16">
      <c r="C8" s="711"/>
      <c r="D8" s="711"/>
      <c r="E8" s="711"/>
      <c r="F8" s="711"/>
      <c r="G8" s="687"/>
      <c r="H8" s="687"/>
      <c r="I8" s="687"/>
      <c r="J8" s="687"/>
    </row>
    <row r="9" spans="1:16" ht="15.75">
      <c r="A9" s="495" t="s">
        <v>662</v>
      </c>
      <c r="B9" s="4"/>
      <c r="C9" s="4"/>
      <c r="D9" s="4"/>
      <c r="E9" s="4"/>
      <c r="F9" s="4"/>
      <c r="G9" s="4"/>
      <c r="H9" s="4"/>
      <c r="I9" s="4"/>
      <c r="J9" s="4"/>
      <c r="K9" s="4"/>
      <c r="L9" s="4"/>
      <c r="M9" s="4"/>
      <c r="N9" s="4"/>
      <c r="O9" s="4"/>
      <c r="P9" s="4"/>
    </row>
    <row r="10" spans="1:16" ht="27" customHeight="1">
      <c r="A10" s="26">
        <v>1</v>
      </c>
      <c r="B10" s="952" t="s">
        <v>1862</v>
      </c>
      <c r="C10" s="952"/>
      <c r="D10" s="952"/>
      <c r="E10" s="952"/>
      <c r="F10" s="952"/>
      <c r="G10" s="952"/>
      <c r="H10" s="4"/>
      <c r="I10" s="4"/>
      <c r="J10" s="4"/>
      <c r="K10" s="4"/>
      <c r="L10" s="4"/>
      <c r="M10" s="4"/>
      <c r="N10" s="4"/>
      <c r="O10" s="4"/>
      <c r="P10" s="4"/>
    </row>
    <row r="11" spans="1:16" ht="15.75">
      <c r="A11" s="26">
        <v>2</v>
      </c>
      <c r="B11" s="4"/>
      <c r="C11" s="953" t="s">
        <v>2492</v>
      </c>
      <c r="D11" s="953"/>
      <c r="E11" s="953"/>
      <c r="F11" s="953"/>
      <c r="G11" s="953"/>
      <c r="H11" s="842">
        <v>109752998.33</v>
      </c>
      <c r="I11" s="4"/>
      <c r="J11" s="4"/>
      <c r="K11" s="4"/>
      <c r="M11" s="4"/>
      <c r="N11" s="4"/>
      <c r="O11" s="4"/>
      <c r="P11" s="4"/>
    </row>
    <row r="12" spans="1:16" ht="15.75">
      <c r="A12" s="26">
        <v>3</v>
      </c>
      <c r="B12" s="4"/>
      <c r="C12" s="4"/>
      <c r="D12" s="4"/>
      <c r="E12" s="4"/>
      <c r="F12" s="4"/>
      <c r="G12" s="4"/>
      <c r="H12" s="843"/>
      <c r="I12" s="4"/>
      <c r="J12" s="4"/>
      <c r="K12" s="4"/>
      <c r="M12" s="4"/>
      <c r="N12" s="4"/>
      <c r="O12" s="4"/>
      <c r="P12" s="4"/>
    </row>
    <row r="13" spans="1:16" ht="15.75">
      <c r="A13" s="26">
        <v>4</v>
      </c>
      <c r="B13" s="4" t="s">
        <v>1861</v>
      </c>
      <c r="C13" s="4"/>
      <c r="D13" s="4"/>
      <c r="E13" s="4"/>
      <c r="F13" s="4"/>
      <c r="G13" s="4"/>
      <c r="H13" s="843"/>
      <c r="I13" s="4"/>
      <c r="J13" s="4"/>
      <c r="K13" s="4"/>
      <c r="M13" s="4"/>
      <c r="N13" s="4"/>
      <c r="O13" s="4"/>
      <c r="P13" s="4"/>
    </row>
    <row r="14" spans="1:16" ht="16.5" thickBot="1">
      <c r="A14" s="26">
        <v>5</v>
      </c>
      <c r="B14" s="4"/>
      <c r="C14" s="4" t="s">
        <v>2496</v>
      </c>
      <c r="D14" s="4"/>
      <c r="E14" s="4"/>
      <c r="F14" s="4"/>
      <c r="G14" s="4"/>
      <c r="H14" s="844">
        <v>-98705687.879999995</v>
      </c>
      <c r="I14" s="4"/>
      <c r="J14" s="4"/>
      <c r="K14" s="4"/>
      <c r="M14" s="4"/>
      <c r="N14" s="4"/>
      <c r="O14" s="4"/>
      <c r="P14" s="4"/>
    </row>
    <row r="15" spans="1:16" ht="15.75">
      <c r="A15" s="26">
        <v>6</v>
      </c>
      <c r="B15" s="4"/>
      <c r="C15" s="4"/>
      <c r="D15" s="4"/>
      <c r="E15" s="4"/>
      <c r="F15" s="4"/>
      <c r="G15" s="4"/>
      <c r="H15" s="843"/>
      <c r="I15" s="4"/>
      <c r="J15" s="4"/>
      <c r="K15" s="4"/>
      <c r="M15" s="4"/>
      <c r="N15" s="4"/>
      <c r="O15" s="4"/>
      <c r="P15" s="4"/>
    </row>
    <row r="16" spans="1:16" ht="15.75">
      <c r="A16" s="26">
        <v>7</v>
      </c>
      <c r="B16" s="4" t="s">
        <v>1845</v>
      </c>
      <c r="C16" s="4"/>
      <c r="D16" s="4"/>
      <c r="E16" s="4"/>
      <c r="F16" s="4"/>
      <c r="G16" s="4"/>
      <c r="H16" s="843">
        <f>+H11+H14</f>
        <v>11047310.450000003</v>
      </c>
      <c r="I16" s="4"/>
      <c r="J16" s="4"/>
      <c r="K16" s="4"/>
      <c r="M16" s="4"/>
      <c r="N16" s="4"/>
      <c r="O16" s="4"/>
      <c r="P16" s="4"/>
    </row>
    <row r="17" spans="1:16" ht="15.75">
      <c r="A17" s="26">
        <v>8</v>
      </c>
      <c r="B17" s="4"/>
      <c r="C17" s="4"/>
      <c r="D17" s="4"/>
      <c r="E17" s="4"/>
      <c r="F17" s="4"/>
      <c r="G17" s="4"/>
      <c r="H17" s="843"/>
      <c r="I17" s="4"/>
      <c r="J17" s="4"/>
      <c r="K17" s="4"/>
      <c r="M17" s="4"/>
      <c r="N17" s="4"/>
      <c r="O17" s="4"/>
      <c r="P17" s="4"/>
    </row>
    <row r="18" spans="1:16" ht="15.75">
      <c r="A18" s="26">
        <v>9</v>
      </c>
      <c r="B18" s="4" t="s">
        <v>2395</v>
      </c>
      <c r="C18" s="4"/>
      <c r="D18" s="4"/>
      <c r="E18" s="4"/>
      <c r="F18" s="4"/>
      <c r="G18" s="4"/>
      <c r="H18" s="843"/>
      <c r="I18" s="4"/>
      <c r="J18" s="4"/>
      <c r="K18" s="4"/>
      <c r="M18" s="4"/>
      <c r="N18" s="4"/>
      <c r="O18" s="4"/>
      <c r="P18" s="4"/>
    </row>
    <row r="19" spans="1:16" ht="16.5" thickBot="1">
      <c r="A19" s="26">
        <v>10</v>
      </c>
      <c r="B19" s="4"/>
      <c r="C19" s="4" t="s">
        <v>2493</v>
      </c>
      <c r="D19" s="4"/>
      <c r="E19" s="4"/>
      <c r="F19" s="4"/>
      <c r="G19" s="4"/>
      <c r="H19" s="844">
        <v>4221975.1100000003</v>
      </c>
      <c r="I19" s="4"/>
      <c r="J19" s="4"/>
      <c r="K19" s="4"/>
      <c r="M19" s="4"/>
      <c r="N19" s="4"/>
      <c r="O19" s="4"/>
      <c r="P19" s="4"/>
    </row>
    <row r="20" spans="1:16" ht="15.75">
      <c r="A20" s="26">
        <v>11</v>
      </c>
      <c r="B20" s="4"/>
      <c r="C20" s="4"/>
      <c r="D20" s="4"/>
      <c r="E20" s="4"/>
      <c r="F20" s="4"/>
      <c r="G20" s="4"/>
      <c r="H20" s="843"/>
      <c r="I20" s="4"/>
      <c r="J20" s="4"/>
      <c r="K20" s="4"/>
      <c r="M20" s="4"/>
      <c r="N20" s="4"/>
      <c r="O20" s="4"/>
      <c r="P20" s="4"/>
    </row>
    <row r="21" spans="1:16" ht="15.75">
      <c r="A21" s="26">
        <v>12</v>
      </c>
      <c r="B21" s="4" t="s">
        <v>95</v>
      </c>
      <c r="C21" s="4"/>
      <c r="D21" s="4"/>
      <c r="E21" s="4"/>
      <c r="F21" s="4"/>
      <c r="G21" s="4"/>
      <c r="H21" s="843">
        <f>+H16+H19</f>
        <v>15269285.560000002</v>
      </c>
      <c r="I21" s="4"/>
      <c r="J21" s="4"/>
      <c r="K21" s="4"/>
      <c r="M21" s="4"/>
      <c r="N21" s="4"/>
      <c r="O21" s="4"/>
      <c r="P21" s="4"/>
    </row>
    <row r="22" spans="1:16" ht="15.75">
      <c r="A22" s="26">
        <v>13</v>
      </c>
      <c r="B22" s="4" t="s">
        <v>2396</v>
      </c>
      <c r="C22" s="4"/>
      <c r="D22" s="4"/>
      <c r="E22" s="4"/>
      <c r="F22" s="4"/>
      <c r="G22" s="4"/>
      <c r="H22" s="843"/>
      <c r="I22" s="4"/>
      <c r="J22" s="4"/>
      <c r="K22" s="4"/>
      <c r="M22" s="4"/>
      <c r="N22" s="4"/>
      <c r="O22" s="4"/>
      <c r="P22" s="4"/>
    </row>
    <row r="23" spans="1:16" ht="15.75">
      <c r="A23" s="26">
        <v>14</v>
      </c>
      <c r="C23" s="4" t="s">
        <v>2494</v>
      </c>
      <c r="D23" s="4"/>
      <c r="E23" s="4"/>
      <c r="F23" s="4"/>
      <c r="G23" s="4"/>
      <c r="H23" s="876">
        <v>-338287.4</v>
      </c>
      <c r="I23" s="4"/>
      <c r="J23" s="4"/>
      <c r="K23" s="4"/>
      <c r="M23" s="4"/>
      <c r="N23" s="4"/>
      <c r="O23" s="4"/>
      <c r="P23" s="4"/>
    </row>
    <row r="24" spans="1:16" ht="15.75">
      <c r="A24" s="26">
        <v>15</v>
      </c>
      <c r="B24" s="4" t="s">
        <v>2478</v>
      </c>
      <c r="C24" s="4"/>
      <c r="D24" s="4"/>
      <c r="E24" s="4"/>
      <c r="F24" s="4"/>
      <c r="G24" s="4"/>
      <c r="H24" s="843"/>
      <c r="I24" s="4"/>
      <c r="J24" s="4"/>
      <c r="K24" s="4"/>
      <c r="M24" s="4"/>
      <c r="N24" s="4"/>
      <c r="O24" s="4"/>
      <c r="P24" s="4"/>
    </row>
    <row r="25" spans="1:16" s="687" customFormat="1" ht="16.5" thickBot="1">
      <c r="A25" s="26"/>
      <c r="B25" s="4"/>
      <c r="C25" s="4" t="s">
        <v>2495</v>
      </c>
      <c r="D25" s="4"/>
      <c r="E25" s="4"/>
      <c r="F25" s="4"/>
      <c r="G25" s="4"/>
      <c r="H25" s="877">
        <v>-8222.34</v>
      </c>
      <c r="I25" s="4"/>
      <c r="J25" s="4"/>
      <c r="K25" s="4"/>
      <c r="M25" s="4"/>
      <c r="N25" s="4"/>
      <c r="O25" s="4"/>
      <c r="P25" s="4"/>
    </row>
    <row r="26" spans="1:16" s="687" customFormat="1" ht="15.75">
      <c r="A26" s="26"/>
      <c r="B26" s="4"/>
      <c r="C26" s="4"/>
      <c r="D26" s="4"/>
      <c r="E26" s="4"/>
      <c r="F26" s="4"/>
      <c r="G26" s="4"/>
      <c r="H26" s="843"/>
      <c r="I26" s="4"/>
      <c r="J26" s="4"/>
      <c r="K26" s="4"/>
      <c r="M26" s="4"/>
      <c r="N26" s="4"/>
      <c r="O26" s="4"/>
      <c r="P26" s="4"/>
    </row>
    <row r="27" spans="1:16" ht="16.5" thickBot="1">
      <c r="A27" s="26">
        <v>16</v>
      </c>
      <c r="B27" s="4" t="s">
        <v>2229</v>
      </c>
      <c r="C27" s="4"/>
      <c r="D27" s="4"/>
      <c r="E27" s="4"/>
      <c r="F27" s="4"/>
      <c r="G27" s="4"/>
      <c r="H27" s="878">
        <f>+H21+H23+H25</f>
        <v>14922775.820000002</v>
      </c>
      <c r="I27" s="4"/>
      <c r="J27" s="4"/>
      <c r="K27" s="4"/>
      <c r="M27" s="4"/>
      <c r="N27" s="4"/>
      <c r="O27" s="4"/>
      <c r="P27" s="4"/>
    </row>
    <row r="28" spans="1:16" ht="16.5" thickTop="1">
      <c r="A28" s="26"/>
      <c r="B28" s="4"/>
      <c r="C28" s="4"/>
      <c r="D28" s="4"/>
      <c r="E28" s="4"/>
      <c r="F28" s="4"/>
      <c r="G28" s="4"/>
      <c r="H28" s="4"/>
      <c r="I28" s="4"/>
      <c r="J28" s="4"/>
      <c r="K28" s="4"/>
      <c r="L28" s="193"/>
      <c r="M28" s="4"/>
      <c r="N28" s="4"/>
      <c r="O28" s="4"/>
      <c r="P28" s="4"/>
    </row>
    <row r="29" spans="1:16" ht="15.75">
      <c r="A29" s="4"/>
      <c r="B29" s="4"/>
      <c r="C29" s="4"/>
      <c r="D29" s="4"/>
      <c r="E29" s="4"/>
      <c r="F29" s="4"/>
      <c r="G29" s="4"/>
      <c r="H29" s="4"/>
      <c r="I29" s="4"/>
      <c r="J29" s="4"/>
      <c r="K29" s="4"/>
      <c r="L29" s="193"/>
      <c r="M29" s="4"/>
      <c r="N29" s="4"/>
      <c r="O29" s="4"/>
      <c r="P29" s="4"/>
    </row>
    <row r="30" spans="1:16" ht="15.75">
      <c r="A30" s="4"/>
      <c r="B30" s="4"/>
      <c r="C30" s="4"/>
      <c r="D30" s="4"/>
      <c r="E30" s="4"/>
      <c r="F30" s="4"/>
      <c r="G30" s="4"/>
      <c r="H30" s="4"/>
      <c r="I30" s="4"/>
      <c r="J30" s="4"/>
      <c r="K30" s="4"/>
      <c r="L30" s="4"/>
      <c r="M30" s="4"/>
      <c r="N30" s="4"/>
      <c r="O30" s="4"/>
      <c r="P30" s="4"/>
    </row>
    <row r="31" spans="1:16" ht="15.75">
      <c r="A31" s="4"/>
      <c r="B31" s="4"/>
      <c r="C31" s="4"/>
      <c r="D31" s="4"/>
      <c r="E31" s="4"/>
      <c r="F31" s="4"/>
      <c r="G31" s="4"/>
      <c r="H31" s="4"/>
      <c r="I31" s="4"/>
      <c r="J31" s="4"/>
      <c r="K31" s="4"/>
      <c r="L31" s="4"/>
      <c r="M31" s="4"/>
      <c r="N31" s="4"/>
      <c r="O31" s="4"/>
      <c r="P31" s="4"/>
    </row>
    <row r="32" spans="1:16" ht="15.75">
      <c r="A32" s="4"/>
      <c r="B32" s="4"/>
      <c r="C32" s="4"/>
      <c r="D32" s="4"/>
      <c r="E32" s="4"/>
      <c r="F32" s="4"/>
      <c r="G32" s="4"/>
      <c r="H32" s="4"/>
      <c r="I32" s="4"/>
      <c r="J32" s="4"/>
      <c r="K32" s="4"/>
      <c r="L32" s="4"/>
      <c r="M32" s="4"/>
      <c r="N32" s="4"/>
      <c r="O32" s="4"/>
      <c r="P32" s="4"/>
    </row>
    <row r="33" spans="1:16" ht="15.75">
      <c r="A33" s="4"/>
      <c r="B33" s="4"/>
      <c r="C33" s="4"/>
      <c r="D33" s="4"/>
      <c r="E33" s="4"/>
      <c r="F33" s="4"/>
      <c r="G33" s="4"/>
      <c r="H33" s="4"/>
      <c r="I33" s="4"/>
      <c r="J33" s="4"/>
      <c r="K33" s="4"/>
      <c r="L33" s="4"/>
      <c r="M33" s="4"/>
      <c r="N33" s="4"/>
      <c r="O33" s="4"/>
      <c r="P33" s="4"/>
    </row>
    <row r="34" spans="1:16" ht="15.75">
      <c r="A34" s="4"/>
      <c r="B34" s="4"/>
      <c r="C34" s="4"/>
      <c r="D34" s="4"/>
      <c r="E34" s="4"/>
      <c r="F34" s="4"/>
      <c r="G34" s="4"/>
      <c r="H34" s="4"/>
      <c r="I34" s="4"/>
      <c r="J34" s="4"/>
      <c r="K34" s="4"/>
      <c r="L34" s="4"/>
      <c r="M34" s="4"/>
      <c r="N34" s="4"/>
      <c r="O34" s="4"/>
      <c r="P34" s="4"/>
    </row>
  </sheetData>
  <mergeCells count="8">
    <mergeCell ref="B10:G10"/>
    <mergeCell ref="C11:G11"/>
    <mergeCell ref="C1:H1"/>
    <mergeCell ref="A2:I2"/>
    <mergeCell ref="A3:I3"/>
    <mergeCell ref="A4:I4"/>
    <mergeCell ref="A5:I5"/>
    <mergeCell ref="A6:I6"/>
  </mergeCells>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00"/>
  </sheetPr>
  <dimension ref="A1:M12"/>
  <sheetViews>
    <sheetView view="pageBreakPreview" zoomScale="112" zoomScaleNormal="100" zoomScaleSheetLayoutView="112" workbookViewId="0">
      <selection activeCell="B11" sqref="B11"/>
    </sheetView>
  </sheetViews>
  <sheetFormatPr defaultRowHeight="15"/>
  <cols>
    <col min="4" max="4" width="15" customWidth="1"/>
    <col min="5" max="5" width="2.5703125" style="687" customWidth="1"/>
    <col min="6" max="6" width="14.28515625" bestFit="1" customWidth="1"/>
    <col min="7" max="7" width="1.5703125" style="687" customWidth="1"/>
    <col min="8" max="8" width="12.5703125" bestFit="1" customWidth="1"/>
  </cols>
  <sheetData>
    <row r="1" spans="1:13" ht="15.75">
      <c r="A1" s="904" t="s">
        <v>60</v>
      </c>
      <c r="B1" s="904"/>
      <c r="C1" s="904"/>
      <c r="D1" s="904"/>
      <c r="E1" s="904"/>
      <c r="F1" s="904"/>
      <c r="G1" s="3"/>
      <c r="H1" s="3"/>
      <c r="I1" s="3"/>
      <c r="J1" s="3"/>
      <c r="K1" s="3"/>
      <c r="L1" s="3"/>
      <c r="M1" s="3"/>
    </row>
    <row r="2" spans="1:13" ht="15.75">
      <c r="A2" s="904" t="s">
        <v>1865</v>
      </c>
      <c r="B2" s="904"/>
      <c r="C2" s="904"/>
      <c r="D2" s="904"/>
      <c r="E2" s="904"/>
      <c r="F2" s="904"/>
      <c r="G2" s="3"/>
      <c r="H2" s="3"/>
      <c r="I2" s="3"/>
      <c r="J2" s="3"/>
      <c r="K2" s="3"/>
      <c r="L2" s="3"/>
      <c r="M2" s="3"/>
    </row>
    <row r="3" spans="1:13" ht="15.75">
      <c r="A3" s="904" t="s">
        <v>1287</v>
      </c>
      <c r="B3" s="904"/>
      <c r="C3" s="904"/>
      <c r="D3" s="904"/>
      <c r="E3" s="904"/>
      <c r="F3" s="904"/>
      <c r="G3" s="3"/>
      <c r="H3" s="3"/>
      <c r="I3" s="3"/>
      <c r="J3" s="3"/>
      <c r="K3" s="3"/>
      <c r="L3" s="3"/>
      <c r="M3" s="3"/>
    </row>
    <row r="4" spans="1:13" ht="15.75">
      <c r="A4" s="948" t="s">
        <v>1851</v>
      </c>
      <c r="B4" s="948"/>
      <c r="C4" s="948"/>
      <c r="D4" s="948"/>
      <c r="E4" s="948"/>
      <c r="F4" s="948"/>
      <c r="G4" s="686"/>
      <c r="H4" s="686"/>
      <c r="I4" s="686"/>
      <c r="J4" s="686"/>
      <c r="K4" s="686"/>
      <c r="L4" s="686"/>
      <c r="M4" s="686"/>
    </row>
    <row r="5" spans="1:13" ht="15.75">
      <c r="A5" s="904" t="s">
        <v>1864</v>
      </c>
      <c r="B5" s="904"/>
      <c r="C5" s="904"/>
      <c r="D5" s="904"/>
      <c r="E5" s="904"/>
      <c r="F5" s="904"/>
      <c r="G5" s="3"/>
      <c r="H5" s="3"/>
      <c r="I5" s="3"/>
      <c r="J5" s="3"/>
      <c r="K5" s="3"/>
      <c r="L5" s="3"/>
      <c r="M5" s="3"/>
    </row>
    <row r="8" spans="1:13">
      <c r="A8" s="954" t="s">
        <v>1851</v>
      </c>
      <c r="B8" s="954"/>
      <c r="C8" s="954"/>
      <c r="D8" s="954"/>
    </row>
    <row r="9" spans="1:13" s="687" customFormat="1">
      <c r="A9" s="863"/>
      <c r="B9" s="863" t="s">
        <v>2497</v>
      </c>
      <c r="C9" s="872"/>
      <c r="D9" s="872"/>
      <c r="E9" s="873"/>
      <c r="F9" s="874">
        <v>-134104.12</v>
      </c>
    </row>
    <row r="10" spans="1:13" s="687" customFormat="1">
      <c r="A10" s="863"/>
      <c r="B10" t="s">
        <v>2498</v>
      </c>
      <c r="C10" s="872"/>
      <c r="D10" s="872"/>
      <c r="E10" s="873"/>
      <c r="F10" s="874">
        <v>1057398.73</v>
      </c>
    </row>
    <row r="11" spans="1:13" ht="15.75" thickBot="1">
      <c r="C11" s="873"/>
      <c r="D11" s="873"/>
      <c r="E11" s="872"/>
      <c r="F11" s="875">
        <f>+F9+F10</f>
        <v>923294.61</v>
      </c>
      <c r="G11" s="714"/>
    </row>
    <row r="12" spans="1:13" ht="15.75" thickTop="1"/>
  </sheetData>
  <mergeCells count="6">
    <mergeCell ref="A8:D8"/>
    <mergeCell ref="A1:F1"/>
    <mergeCell ref="A2:F2"/>
    <mergeCell ref="A3:F3"/>
    <mergeCell ref="A4:F4"/>
    <mergeCell ref="A5:F5"/>
  </mergeCells>
  <printOptions horizontalCentered="1"/>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58"/>
  <sheetViews>
    <sheetView view="pageBreakPreview" zoomScale="90" zoomScaleNormal="100" zoomScaleSheetLayoutView="90" workbookViewId="0">
      <selection activeCell="G24" sqref="F24:G24"/>
    </sheetView>
  </sheetViews>
  <sheetFormatPr defaultRowHeight="15"/>
  <cols>
    <col min="1" max="1" width="38.85546875" style="450" bestFit="1" customWidth="1"/>
    <col min="2" max="2" width="16.140625" style="450" bestFit="1" customWidth="1"/>
    <col min="3" max="3" width="16.85546875" style="450" bestFit="1" customWidth="1"/>
    <col min="4" max="4" width="19.28515625" style="656" bestFit="1" customWidth="1"/>
    <col min="5" max="5" width="16.140625" style="450" bestFit="1" customWidth="1"/>
    <col min="6" max="6" width="13.85546875" style="450" bestFit="1" customWidth="1"/>
    <col min="7" max="7" width="12.85546875" style="450" bestFit="1" customWidth="1"/>
    <col min="8" max="8" width="14.5703125" style="450" bestFit="1" customWidth="1"/>
    <col min="9" max="9" width="11.42578125" style="450" bestFit="1" customWidth="1"/>
    <col min="10" max="10" width="12.85546875" style="450" bestFit="1" customWidth="1"/>
    <col min="11" max="11" width="14.5703125" style="450" bestFit="1" customWidth="1"/>
    <col min="12" max="12" width="15" style="450" bestFit="1" customWidth="1"/>
    <col min="13" max="16384" width="9.140625" style="450"/>
  </cols>
  <sheetData>
    <row r="1" spans="1:13" ht="15.75">
      <c r="A1" s="904" t="s">
        <v>60</v>
      </c>
      <c r="B1" s="904"/>
      <c r="C1" s="904"/>
      <c r="D1" s="904"/>
      <c r="E1" s="904"/>
      <c r="F1" s="904"/>
      <c r="G1" s="904"/>
      <c r="H1" s="904"/>
      <c r="I1" s="904"/>
      <c r="J1" s="904"/>
      <c r="K1" s="904"/>
      <c r="L1" s="904"/>
      <c r="M1" s="904"/>
    </row>
    <row r="2" spans="1:13" ht="15.75">
      <c r="A2" s="904" t="s">
        <v>1865</v>
      </c>
      <c r="B2" s="904"/>
      <c r="C2" s="904"/>
      <c r="D2" s="904"/>
      <c r="E2" s="904"/>
      <c r="F2" s="904"/>
      <c r="G2" s="904"/>
      <c r="H2" s="904"/>
      <c r="I2" s="904"/>
      <c r="J2" s="904"/>
      <c r="K2" s="904"/>
      <c r="L2" s="904"/>
      <c r="M2" s="904"/>
    </row>
    <row r="3" spans="1:13" ht="15.75">
      <c r="A3" s="904" t="s">
        <v>1391</v>
      </c>
      <c r="B3" s="904"/>
      <c r="C3" s="904"/>
      <c r="D3" s="904"/>
      <c r="E3" s="904"/>
      <c r="F3" s="904"/>
      <c r="G3" s="904"/>
      <c r="H3" s="904"/>
      <c r="I3" s="904"/>
      <c r="J3" s="904"/>
      <c r="K3" s="904"/>
      <c r="L3" s="904"/>
      <c r="M3" s="904"/>
    </row>
    <row r="4" spans="1:13" ht="15.75">
      <c r="A4" s="948" t="s">
        <v>1859</v>
      </c>
      <c r="B4" s="948"/>
      <c r="C4" s="948"/>
      <c r="D4" s="948"/>
      <c r="E4" s="948"/>
      <c r="F4" s="948"/>
      <c r="G4" s="948"/>
      <c r="H4" s="948"/>
      <c r="I4" s="948"/>
      <c r="J4" s="948"/>
      <c r="K4" s="948"/>
      <c r="L4" s="948"/>
      <c r="M4" s="948"/>
    </row>
    <row r="5" spans="1:13" ht="15.75">
      <c r="A5" s="904" t="s">
        <v>1864</v>
      </c>
      <c r="B5" s="904"/>
      <c r="C5" s="904"/>
      <c r="D5" s="904"/>
      <c r="E5" s="904"/>
      <c r="F5" s="904"/>
      <c r="G5" s="904"/>
      <c r="H5" s="904"/>
      <c r="I5" s="904"/>
      <c r="J5" s="904"/>
      <c r="K5" s="904"/>
      <c r="L5" s="904"/>
      <c r="M5" s="904"/>
    </row>
    <row r="6" spans="1:13">
      <c r="C6" s="804"/>
      <c r="D6" s="450"/>
      <c r="E6" s="804"/>
      <c r="F6" s="804"/>
      <c r="G6" s="805"/>
      <c r="I6" s="656"/>
      <c r="J6" s="656"/>
    </row>
    <row r="7" spans="1:13">
      <c r="A7" s="806" t="s">
        <v>2357</v>
      </c>
      <c r="B7" s="658"/>
      <c r="C7" s="804"/>
      <c r="D7" s="657"/>
      <c r="E7" s="804"/>
      <c r="F7" s="804"/>
      <c r="G7" s="805"/>
      <c r="I7" s="656"/>
      <c r="J7" s="656"/>
    </row>
    <row r="8" spans="1:13">
      <c r="A8" s="806" t="s">
        <v>2358</v>
      </c>
      <c r="B8" s="807"/>
      <c r="C8" s="804"/>
      <c r="D8" s="657"/>
      <c r="E8" s="804"/>
      <c r="F8" s="808" t="s">
        <v>2359</v>
      </c>
      <c r="G8" s="805"/>
      <c r="I8" s="656"/>
      <c r="J8" s="656"/>
    </row>
    <row r="9" spans="1:13">
      <c r="A9" s="806"/>
      <c r="B9" s="809">
        <v>43831</v>
      </c>
      <c r="C9" s="804"/>
      <c r="D9" s="807" t="s">
        <v>2359</v>
      </c>
      <c r="E9" s="804"/>
      <c r="F9" s="808" t="s">
        <v>2360</v>
      </c>
      <c r="G9" s="805"/>
      <c r="I9" s="808" t="s">
        <v>1118</v>
      </c>
      <c r="J9" s="808" t="s">
        <v>2361</v>
      </c>
      <c r="K9" s="808" t="s">
        <v>2362</v>
      </c>
    </row>
    <row r="10" spans="1:13">
      <c r="A10" s="808" t="s">
        <v>2363</v>
      </c>
      <c r="B10" s="807" t="s">
        <v>2364</v>
      </c>
      <c r="C10" s="808" t="s">
        <v>1118</v>
      </c>
      <c r="D10" s="807" t="s">
        <v>2365</v>
      </c>
      <c r="E10" s="808" t="s">
        <v>2361</v>
      </c>
      <c r="F10" s="808" t="s">
        <v>2361</v>
      </c>
      <c r="G10" s="808" t="s">
        <v>2366</v>
      </c>
      <c r="H10" s="808" t="s">
        <v>2367</v>
      </c>
      <c r="I10" s="808" t="s">
        <v>2368</v>
      </c>
      <c r="J10" s="808" t="s">
        <v>2368</v>
      </c>
      <c r="K10" s="808" t="s">
        <v>2369</v>
      </c>
    </row>
    <row r="11" spans="1:13">
      <c r="A11" s="810" t="s">
        <v>77</v>
      </c>
      <c r="B11" s="811" t="s">
        <v>2370</v>
      </c>
      <c r="C11" s="810" t="s">
        <v>2371</v>
      </c>
      <c r="D11" s="811" t="s">
        <v>2363</v>
      </c>
      <c r="E11" s="810" t="s">
        <v>2371</v>
      </c>
      <c r="F11" s="810" t="s">
        <v>2371</v>
      </c>
      <c r="G11" s="810" t="s">
        <v>1845</v>
      </c>
      <c r="H11" s="810" t="s">
        <v>1845</v>
      </c>
      <c r="I11" s="810" t="s">
        <v>2372</v>
      </c>
      <c r="J11" s="810" t="s">
        <v>2373</v>
      </c>
      <c r="K11" s="810" t="s">
        <v>62</v>
      </c>
      <c r="L11" s="810" t="s">
        <v>2374</v>
      </c>
    </row>
    <row r="12" spans="1:13">
      <c r="A12" s="812" t="s">
        <v>2375</v>
      </c>
      <c r="B12" s="813">
        <v>114308.06999999998</v>
      </c>
      <c r="C12" s="814">
        <v>0</v>
      </c>
      <c r="D12" s="813">
        <v>0</v>
      </c>
      <c r="E12" s="814">
        <v>0</v>
      </c>
      <c r="F12" s="815">
        <f>IF(E12=0%, D12, (B12+K12)*E12/12)</f>
        <v>0</v>
      </c>
      <c r="G12" s="816">
        <v>0</v>
      </c>
      <c r="H12" s="659">
        <v>0</v>
      </c>
      <c r="I12" s="656"/>
      <c r="J12" s="656"/>
      <c r="L12" s="817">
        <f>F12*12</f>
        <v>0</v>
      </c>
    </row>
    <row r="13" spans="1:13">
      <c r="A13" s="812" t="s">
        <v>1465</v>
      </c>
      <c r="B13" s="813">
        <v>138157.95000000001</v>
      </c>
      <c r="C13" s="814">
        <v>0</v>
      </c>
      <c r="D13" s="813">
        <v>0</v>
      </c>
      <c r="E13" s="814">
        <v>0</v>
      </c>
      <c r="F13" s="815">
        <f>IF(E13=0%, D13, (B13+K13)*E13/12)</f>
        <v>0</v>
      </c>
      <c r="G13" s="816">
        <v>0</v>
      </c>
      <c r="H13" s="659">
        <v>0</v>
      </c>
      <c r="I13" s="656"/>
      <c r="J13" s="656"/>
      <c r="L13" s="817">
        <f t="shared" ref="L13:L53" si="0">F13*12</f>
        <v>0</v>
      </c>
    </row>
    <row r="14" spans="1:13">
      <c r="A14" s="812" t="s">
        <v>1466</v>
      </c>
      <c r="B14" s="813">
        <v>33240966.090000004</v>
      </c>
      <c r="C14" s="814">
        <v>0</v>
      </c>
      <c r="D14" s="813">
        <v>219439.28</v>
      </c>
      <c r="E14" s="814">
        <v>0</v>
      </c>
      <c r="F14" s="815">
        <f>IF(E14=0%, D14, (B14+K14)*E14/12)</f>
        <v>219439.28</v>
      </c>
      <c r="G14" s="816">
        <f>+F14-D14</f>
        <v>0</v>
      </c>
      <c r="H14" s="659">
        <v>0</v>
      </c>
      <c r="I14" s="656"/>
      <c r="J14" s="656"/>
      <c r="L14" s="817">
        <f t="shared" si="0"/>
        <v>2633271.36</v>
      </c>
    </row>
    <row r="15" spans="1:13">
      <c r="A15" s="812" t="s">
        <v>1467</v>
      </c>
      <c r="B15" s="813">
        <v>211404.97</v>
      </c>
      <c r="C15" s="814">
        <v>0</v>
      </c>
      <c r="D15" s="813">
        <v>0</v>
      </c>
      <c r="E15" s="814">
        <v>0</v>
      </c>
      <c r="F15" s="815">
        <f t="shared" ref="F15:F33" si="1">IF(E15=0%, D15, (B15+K15)*E15/12)</f>
        <v>0</v>
      </c>
      <c r="G15" s="816">
        <f t="shared" ref="G15:G53" si="2">+F15-D15</f>
        <v>0</v>
      </c>
      <c r="H15" s="659">
        <v>0</v>
      </c>
      <c r="I15" s="656"/>
      <c r="J15" s="656"/>
      <c r="L15" s="817">
        <f t="shared" si="0"/>
        <v>0</v>
      </c>
    </row>
    <row r="16" spans="1:13">
      <c r="A16" s="812" t="s">
        <v>1468</v>
      </c>
      <c r="B16" s="813">
        <v>1018396.75</v>
      </c>
      <c r="C16" s="814">
        <v>1.5800000000000002E-2</v>
      </c>
      <c r="D16" s="813">
        <v>1340.8899999999999</v>
      </c>
      <c r="E16" s="814">
        <v>6.4999999999999997E-3</v>
      </c>
      <c r="F16" s="815">
        <f t="shared" si="1"/>
        <v>551.63157291666664</v>
      </c>
      <c r="G16" s="816">
        <f t="shared" si="2"/>
        <v>-789.25842708333323</v>
      </c>
      <c r="H16" s="659">
        <f>+G16*12</f>
        <v>-9471.1011249999992</v>
      </c>
      <c r="I16" s="656"/>
      <c r="J16" s="656"/>
      <c r="L16" s="817">
        <f t="shared" si="0"/>
        <v>6619.5788749999992</v>
      </c>
    </row>
    <row r="17" spans="1:12">
      <c r="A17" s="812" t="s">
        <v>1469</v>
      </c>
      <c r="B17" s="813">
        <v>15900055.620000001</v>
      </c>
      <c r="C17" s="814">
        <v>1.8200000000000001E-2</v>
      </c>
      <c r="D17" s="813">
        <v>24115.08</v>
      </c>
      <c r="E17" s="814">
        <v>1.4999999999999999E-2</v>
      </c>
      <c r="F17" s="815">
        <f t="shared" si="1"/>
        <v>19875.069525000003</v>
      </c>
      <c r="G17" s="816">
        <f t="shared" si="2"/>
        <v>-4240.0104749999991</v>
      </c>
      <c r="H17" s="659">
        <f t="shared" ref="H17:H53" si="3">+G17*12</f>
        <v>-50880.12569999999</v>
      </c>
      <c r="I17" s="656"/>
      <c r="J17" s="656"/>
      <c r="L17" s="817">
        <f t="shared" si="0"/>
        <v>238500.83430000005</v>
      </c>
    </row>
    <row r="18" spans="1:12">
      <c r="A18" s="812" t="s">
        <v>1470</v>
      </c>
      <c r="B18" s="813">
        <v>144661.09999999998</v>
      </c>
      <c r="C18" s="814">
        <v>4.1000000000000003E-3</v>
      </c>
      <c r="D18" s="813">
        <v>49.43</v>
      </c>
      <c r="E18" s="814">
        <v>4.5999999999999999E-2</v>
      </c>
      <c r="F18" s="815">
        <f t="shared" si="1"/>
        <v>554.53421666666657</v>
      </c>
      <c r="G18" s="816">
        <f t="shared" si="2"/>
        <v>505.10421666666656</v>
      </c>
      <c r="H18" s="659">
        <f t="shared" si="3"/>
        <v>6061.2505999999985</v>
      </c>
      <c r="I18" s="656"/>
      <c r="J18" s="656"/>
      <c r="L18" s="817">
        <f t="shared" si="0"/>
        <v>6654.4105999999992</v>
      </c>
    </row>
    <row r="19" spans="1:12">
      <c r="A19" s="812" t="s">
        <v>1472</v>
      </c>
      <c r="B19" s="813">
        <v>388301.94999999995</v>
      </c>
      <c r="C19" s="814">
        <v>0</v>
      </c>
      <c r="D19" s="813">
        <v>0</v>
      </c>
      <c r="E19" s="814">
        <v>0</v>
      </c>
      <c r="F19" s="815"/>
      <c r="G19" s="816">
        <f t="shared" si="2"/>
        <v>0</v>
      </c>
      <c r="H19" s="659">
        <f t="shared" si="3"/>
        <v>0</v>
      </c>
      <c r="I19" s="656"/>
      <c r="J19" s="656"/>
      <c r="K19" s="656"/>
      <c r="L19" s="817">
        <f t="shared" si="0"/>
        <v>0</v>
      </c>
    </row>
    <row r="20" spans="1:12">
      <c r="A20" s="812" t="s">
        <v>1471</v>
      </c>
      <c r="B20" s="813">
        <v>1922322.92</v>
      </c>
      <c r="C20" s="814">
        <v>1.8800000000000001E-2</v>
      </c>
      <c r="D20" s="813">
        <v>3011.6400000000003</v>
      </c>
      <c r="E20" s="814">
        <v>1.6400000000000001E-2</v>
      </c>
      <c r="F20" s="815">
        <f t="shared" si="1"/>
        <v>2627.1746573333335</v>
      </c>
      <c r="G20" s="816">
        <f t="shared" si="2"/>
        <v>-384.46534266666686</v>
      </c>
      <c r="H20" s="659">
        <f t="shared" si="3"/>
        <v>-4613.5841120000023</v>
      </c>
      <c r="I20" s="656"/>
      <c r="J20" s="656"/>
      <c r="K20" s="818"/>
      <c r="L20" s="817">
        <f t="shared" si="0"/>
        <v>31526.095888000003</v>
      </c>
    </row>
    <row r="21" spans="1:12">
      <c r="A21" s="812" t="s">
        <v>1473</v>
      </c>
      <c r="B21" s="813">
        <v>1019863.1399999999</v>
      </c>
      <c r="C21" s="814">
        <v>1.2200000000000001E-2</v>
      </c>
      <c r="D21" s="813">
        <v>1036.3500000000001</v>
      </c>
      <c r="E21" s="814">
        <v>7.1999999999999998E-3</v>
      </c>
      <c r="F21" s="815">
        <f t="shared" si="1"/>
        <v>611.91788399999996</v>
      </c>
      <c r="G21" s="816">
        <f t="shared" si="2"/>
        <v>-424.43211600000018</v>
      </c>
      <c r="H21" s="659">
        <f t="shared" si="3"/>
        <v>-5093.1853920000021</v>
      </c>
      <c r="I21" s="656"/>
      <c r="J21" s="656"/>
      <c r="K21" s="656"/>
      <c r="L21" s="817">
        <f t="shared" si="0"/>
        <v>7343.0146079999995</v>
      </c>
    </row>
    <row r="22" spans="1:12">
      <c r="A22" s="812" t="s">
        <v>1474</v>
      </c>
      <c r="B22" s="813">
        <v>159069534.16</v>
      </c>
      <c r="C22" s="814">
        <v>1.2500000000000001E-2</v>
      </c>
      <c r="D22" s="813">
        <v>165697.43</v>
      </c>
      <c r="E22" s="814">
        <v>1.3899999999999999E-2</v>
      </c>
      <c r="F22" s="815">
        <f t="shared" si="1"/>
        <v>184255.54373533334</v>
      </c>
      <c r="G22" s="816">
        <f t="shared" si="2"/>
        <v>18558.113735333347</v>
      </c>
      <c r="H22" s="659">
        <f t="shared" si="3"/>
        <v>222697.36482400016</v>
      </c>
      <c r="I22" s="656"/>
      <c r="J22" s="656"/>
      <c r="K22" s="656"/>
      <c r="L22" s="817">
        <f t="shared" si="0"/>
        <v>2211066.524824</v>
      </c>
    </row>
    <row r="23" spans="1:12">
      <c r="A23" s="812" t="s">
        <v>1475</v>
      </c>
      <c r="B23" s="813">
        <v>151836907.29000002</v>
      </c>
      <c r="C23" s="814">
        <v>4.1300000000000003E-2</v>
      </c>
      <c r="D23" s="813">
        <v>522572.02</v>
      </c>
      <c r="E23" s="814">
        <v>3.15E-2</v>
      </c>
      <c r="F23" s="815">
        <f t="shared" si="1"/>
        <v>398571.88163625007</v>
      </c>
      <c r="G23" s="816">
        <f t="shared" si="2"/>
        <v>-124000.13836374995</v>
      </c>
      <c r="H23" s="659">
        <f t="shared" si="3"/>
        <v>-1488001.6603649994</v>
      </c>
      <c r="I23" s="656"/>
      <c r="J23" s="656"/>
      <c r="K23" s="656"/>
      <c r="L23" s="817">
        <f t="shared" si="0"/>
        <v>4782862.5796350008</v>
      </c>
    </row>
    <row r="24" spans="1:12">
      <c r="A24" s="812" t="s">
        <v>1476</v>
      </c>
      <c r="B24" s="813">
        <v>118986847.07000001</v>
      </c>
      <c r="C24" s="814">
        <v>2.1999999999999999E-2</v>
      </c>
      <c r="D24" s="813">
        <v>218142.55000000002</v>
      </c>
      <c r="E24" s="814">
        <v>2.9499999999999998E-2</v>
      </c>
      <c r="F24" s="815">
        <f t="shared" si="1"/>
        <v>292509.33238041669</v>
      </c>
      <c r="G24" s="816">
        <f t="shared" si="2"/>
        <v>74366.782380416669</v>
      </c>
      <c r="H24" s="659">
        <f t="shared" si="3"/>
        <v>892401.38856500003</v>
      </c>
      <c r="I24" s="656"/>
      <c r="J24" s="656"/>
      <c r="K24" s="656"/>
      <c r="L24" s="817">
        <f t="shared" si="0"/>
        <v>3510111.9885650002</v>
      </c>
    </row>
    <row r="25" spans="1:12">
      <c r="A25" s="812" t="s">
        <v>1499</v>
      </c>
      <c r="B25" s="813">
        <v>2097766.77</v>
      </c>
      <c r="C25" s="814">
        <v>1.78E-2</v>
      </c>
      <c r="D25" s="813">
        <v>3111.69</v>
      </c>
      <c r="E25" s="814">
        <v>1.72E-2</v>
      </c>
      <c r="F25" s="815">
        <f t="shared" si="1"/>
        <v>3006.7990370000002</v>
      </c>
      <c r="G25" s="816">
        <f t="shared" si="2"/>
        <v>-104.89096299999983</v>
      </c>
      <c r="H25" s="659">
        <f t="shared" si="3"/>
        <v>-1258.6915559999979</v>
      </c>
      <c r="I25" s="656"/>
      <c r="J25" s="656"/>
      <c r="K25" s="656"/>
      <c r="L25" s="817">
        <f t="shared" si="0"/>
        <v>36081.588444000001</v>
      </c>
    </row>
    <row r="26" spans="1:12">
      <c r="A26" s="812" t="s">
        <v>2376</v>
      </c>
      <c r="B26" s="813">
        <v>25599862.800000001</v>
      </c>
      <c r="C26" s="814">
        <v>1.9199999999999998E-2</v>
      </c>
      <c r="D26" s="813">
        <v>40959.78</v>
      </c>
      <c r="E26" s="814">
        <v>1.9699999999999999E-2</v>
      </c>
      <c r="F26" s="815">
        <f t="shared" si="1"/>
        <v>42026.441429999999</v>
      </c>
      <c r="G26" s="816">
        <f t="shared" si="2"/>
        <v>1066.6614300000001</v>
      </c>
      <c r="H26" s="659">
        <f t="shared" si="3"/>
        <v>12799.937160000001</v>
      </c>
      <c r="I26" s="656"/>
      <c r="J26" s="656"/>
      <c r="K26" s="656"/>
      <c r="L26" s="817">
        <f t="shared" si="0"/>
        <v>504317.29715999996</v>
      </c>
    </row>
    <row r="27" spans="1:12">
      <c r="A27" s="812" t="s">
        <v>1477</v>
      </c>
      <c r="B27" s="813">
        <v>146616703.03999999</v>
      </c>
      <c r="C27" s="814">
        <v>3.8800000000000001E-2</v>
      </c>
      <c r="D27" s="813">
        <v>474060.68</v>
      </c>
      <c r="E27" s="814">
        <v>4.2599999999999999E-2</v>
      </c>
      <c r="F27" s="815">
        <f t="shared" si="1"/>
        <v>520489.29579199996</v>
      </c>
      <c r="G27" s="816">
        <f t="shared" si="2"/>
        <v>46428.615791999968</v>
      </c>
      <c r="H27" s="659">
        <f t="shared" si="3"/>
        <v>557143.38950399961</v>
      </c>
      <c r="I27" s="656"/>
      <c r="J27" s="656"/>
      <c r="K27" s="656"/>
      <c r="L27" s="817">
        <f t="shared" si="0"/>
        <v>6245871.5495039998</v>
      </c>
    </row>
    <row r="28" spans="1:12">
      <c r="A28" s="812" t="s">
        <v>1478</v>
      </c>
      <c r="B28" s="813">
        <v>62126401.860000007</v>
      </c>
      <c r="C28" s="814">
        <v>3.3299999999999996E-2</v>
      </c>
      <c r="D28" s="813">
        <v>172400.76</v>
      </c>
      <c r="E28" s="814">
        <v>3.4700000000000002E-2</v>
      </c>
      <c r="F28" s="815">
        <f t="shared" si="1"/>
        <v>179648.84537850003</v>
      </c>
      <c r="G28" s="816">
        <f t="shared" si="2"/>
        <v>7248.0853785000218</v>
      </c>
      <c r="H28" s="659">
        <f t="shared" si="3"/>
        <v>86977.024542000261</v>
      </c>
      <c r="I28" s="656"/>
      <c r="J28" s="656"/>
      <c r="L28" s="817">
        <f t="shared" si="0"/>
        <v>2155786.1445420003</v>
      </c>
    </row>
    <row r="29" spans="1:12">
      <c r="A29" s="812" t="s">
        <v>1479</v>
      </c>
      <c r="B29" s="813">
        <v>16022598.870000001</v>
      </c>
      <c r="C29" s="814">
        <v>6.8900000000000003E-2</v>
      </c>
      <c r="D29" s="813">
        <v>91835.459999999992</v>
      </c>
      <c r="E29" s="814">
        <v>2.7199999999999998E-2</v>
      </c>
      <c r="F29" s="815">
        <f t="shared" si="1"/>
        <v>36317.890771999999</v>
      </c>
      <c r="G29" s="816">
        <f t="shared" si="2"/>
        <v>-55517.569227999993</v>
      </c>
      <c r="H29" s="659">
        <f t="shared" si="3"/>
        <v>-666210.83073599986</v>
      </c>
      <c r="I29" s="656"/>
      <c r="J29" s="656"/>
      <c r="L29" s="817">
        <f t="shared" si="0"/>
        <v>435814.68926399999</v>
      </c>
    </row>
    <row r="30" spans="1:12">
      <c r="A30" s="812" t="s">
        <v>1480</v>
      </c>
      <c r="B30" s="813">
        <v>32273846.380000003</v>
      </c>
      <c r="C30" s="814">
        <v>2.2700000000000001E-2</v>
      </c>
      <c r="D30" s="813">
        <v>60944.54</v>
      </c>
      <c r="E30" s="814">
        <v>2.7199999999999998E-2</v>
      </c>
      <c r="F30" s="815">
        <f t="shared" si="1"/>
        <v>73154.051794666666</v>
      </c>
      <c r="G30" s="816">
        <f t="shared" si="2"/>
        <v>12209.511794666665</v>
      </c>
      <c r="H30" s="659">
        <f t="shared" si="3"/>
        <v>146514.14153599998</v>
      </c>
      <c r="I30" s="656"/>
      <c r="J30" s="656"/>
      <c r="L30" s="817">
        <f t="shared" si="0"/>
        <v>877848.62153599993</v>
      </c>
    </row>
    <row r="31" spans="1:12">
      <c r="A31" s="812" t="s">
        <v>1481</v>
      </c>
      <c r="B31" s="813">
        <v>24129820.09</v>
      </c>
      <c r="C31" s="814">
        <v>1.8599999999999998E-2</v>
      </c>
      <c r="D31" s="813">
        <v>37401.22</v>
      </c>
      <c r="E31" s="814">
        <v>2.7199999999999998E-2</v>
      </c>
      <c r="F31" s="815">
        <f t="shared" si="1"/>
        <v>54694.258870666665</v>
      </c>
      <c r="G31" s="816">
        <f t="shared" si="2"/>
        <v>17293.038870666664</v>
      </c>
      <c r="H31" s="659">
        <f t="shared" si="3"/>
        <v>207516.46644799996</v>
      </c>
      <c r="I31" s="656"/>
      <c r="J31" s="656"/>
      <c r="L31" s="817">
        <f t="shared" si="0"/>
        <v>656331.10644799995</v>
      </c>
    </row>
    <row r="32" spans="1:12">
      <c r="A32" s="812" t="s">
        <v>1482</v>
      </c>
      <c r="B32" s="813">
        <v>8559185.1400000006</v>
      </c>
      <c r="C32" s="814">
        <v>2.3199999999999998E-2</v>
      </c>
      <c r="D32" s="813">
        <v>16518.809999999998</v>
      </c>
      <c r="E32" s="814">
        <v>2.4199999999999999E-2</v>
      </c>
      <c r="F32" s="815">
        <f t="shared" si="1"/>
        <v>17261.023365666668</v>
      </c>
      <c r="G32" s="816">
        <f t="shared" si="2"/>
        <v>742.21336566667014</v>
      </c>
      <c r="H32" s="659">
        <f t="shared" si="3"/>
        <v>8906.5603880000417</v>
      </c>
      <c r="I32" s="656"/>
      <c r="J32" s="656"/>
      <c r="L32" s="817">
        <f t="shared" si="0"/>
        <v>207132.28038800001</v>
      </c>
    </row>
    <row r="33" spans="1:12">
      <c r="A33" s="812" t="s">
        <v>1483</v>
      </c>
      <c r="B33" s="813">
        <v>9718288.5999999996</v>
      </c>
      <c r="C33" s="814">
        <v>2.18E-2</v>
      </c>
      <c r="D33" s="813">
        <v>17654.89</v>
      </c>
      <c r="E33" s="814">
        <v>1.8700000000000001E-2</v>
      </c>
      <c r="F33" s="815">
        <f t="shared" si="1"/>
        <v>15144.333068333333</v>
      </c>
      <c r="G33" s="816">
        <f t="shared" si="2"/>
        <v>-2510.5569316666661</v>
      </c>
      <c r="H33" s="659">
        <f t="shared" si="3"/>
        <v>-30126.683179999993</v>
      </c>
      <c r="I33" s="656"/>
      <c r="J33" s="656"/>
      <c r="L33" s="817">
        <f t="shared" si="0"/>
        <v>181731.99682</v>
      </c>
    </row>
    <row r="34" spans="1:12">
      <c r="A34" s="812" t="s">
        <v>1484</v>
      </c>
      <c r="B34" s="813">
        <v>3267535.24</v>
      </c>
      <c r="C34" s="814">
        <v>0</v>
      </c>
      <c r="D34" s="813">
        <v>0</v>
      </c>
      <c r="E34" s="814">
        <v>0</v>
      </c>
      <c r="F34" s="815"/>
      <c r="G34" s="816">
        <f t="shared" si="2"/>
        <v>0</v>
      </c>
      <c r="H34" s="659">
        <f t="shared" si="3"/>
        <v>0</v>
      </c>
      <c r="I34" s="656"/>
      <c r="J34" s="656"/>
      <c r="L34" s="817">
        <f t="shared" si="0"/>
        <v>0</v>
      </c>
    </row>
    <row r="35" spans="1:12">
      <c r="A35" s="812" t="s">
        <v>1485</v>
      </c>
      <c r="B35" s="813">
        <v>7933.28</v>
      </c>
      <c r="C35" s="814">
        <v>0</v>
      </c>
      <c r="D35" s="813">
        <v>0</v>
      </c>
      <c r="E35" s="814">
        <v>0</v>
      </c>
      <c r="F35" s="815"/>
      <c r="G35" s="816">
        <f t="shared" si="2"/>
        <v>0</v>
      </c>
      <c r="H35" s="659">
        <f t="shared" si="3"/>
        <v>0</v>
      </c>
      <c r="L35" s="817">
        <f t="shared" si="0"/>
        <v>0</v>
      </c>
    </row>
    <row r="36" spans="1:12">
      <c r="A36" s="812" t="s">
        <v>1486</v>
      </c>
      <c r="B36" s="813">
        <v>16960355.690000001</v>
      </c>
      <c r="C36" s="814">
        <v>1.24E-2</v>
      </c>
      <c r="D36" s="813">
        <v>17518.289999999997</v>
      </c>
      <c r="E36" s="814">
        <v>1.44E-2</v>
      </c>
      <c r="F36" s="815">
        <f>IF(E36=0%, D36, (B36+K38)*E36/12)</f>
        <v>20352.426828</v>
      </c>
      <c r="G36" s="816">
        <f t="shared" si="2"/>
        <v>2834.1368280000024</v>
      </c>
      <c r="H36" s="659">
        <f t="shared" si="3"/>
        <v>34009.641936000029</v>
      </c>
      <c r="L36" s="817">
        <f t="shared" si="0"/>
        <v>244229.12193600001</v>
      </c>
    </row>
    <row r="37" spans="1:12">
      <c r="A37" s="812" t="s">
        <v>1489</v>
      </c>
      <c r="B37" s="813">
        <v>2626882.3000000003</v>
      </c>
      <c r="C37" s="814">
        <v>0.16239999999999999</v>
      </c>
      <c r="D37" s="813">
        <v>35493.72</v>
      </c>
      <c r="E37" s="814">
        <v>0.44019999999999998</v>
      </c>
      <c r="F37" s="815">
        <f>(B37+K37)*(E37/12)</f>
        <v>52243.020371666673</v>
      </c>
      <c r="G37" s="816">
        <f t="shared" si="2"/>
        <v>16749.300371666672</v>
      </c>
      <c r="H37" s="659">
        <f t="shared" si="3"/>
        <v>200991.60446000006</v>
      </c>
      <c r="I37" s="656">
        <v>11</v>
      </c>
      <c r="J37" s="656">
        <v>5</v>
      </c>
      <c r="K37" s="813">
        <v>-1202720</v>
      </c>
      <c r="L37" s="817">
        <f t="shared" si="0"/>
        <v>626916.24446000007</v>
      </c>
    </row>
    <row r="38" spans="1:12">
      <c r="A38" s="812" t="s">
        <v>1487</v>
      </c>
      <c r="B38" s="813">
        <v>233771.36000000004</v>
      </c>
      <c r="C38" s="814">
        <v>0.17369999999999999</v>
      </c>
      <c r="D38" s="813">
        <v>3381.09</v>
      </c>
      <c r="E38" s="814">
        <v>0.26369999999999999</v>
      </c>
      <c r="F38" s="815">
        <f>(B38+K38)*(E38/12)</f>
        <v>5137.1256360000007</v>
      </c>
      <c r="G38" s="816">
        <f t="shared" si="2"/>
        <v>1756.0356360000005</v>
      </c>
      <c r="H38" s="659">
        <f t="shared" si="3"/>
        <v>21072.427632000006</v>
      </c>
      <c r="I38" s="656">
        <v>15</v>
      </c>
      <c r="J38" s="656">
        <v>15</v>
      </c>
      <c r="K38" s="813">
        <v>0</v>
      </c>
      <c r="L38" s="817">
        <f t="shared" si="0"/>
        <v>61645.507632000008</v>
      </c>
    </row>
    <row r="39" spans="1:12">
      <c r="A39" s="812" t="s">
        <v>1488</v>
      </c>
      <c r="B39" s="813">
        <v>1410564.77</v>
      </c>
      <c r="C39" s="814">
        <v>4.9799999999999997E-2</v>
      </c>
      <c r="D39" s="813">
        <v>5847.45</v>
      </c>
      <c r="E39" s="814">
        <v>0.19</v>
      </c>
      <c r="F39" s="815">
        <f t="shared" ref="F39:F49" si="4">(B39+K39)*(E39/12)</f>
        <v>19900.232508333334</v>
      </c>
      <c r="G39" s="816">
        <f t="shared" si="2"/>
        <v>14052.782508333334</v>
      </c>
      <c r="H39" s="659">
        <f t="shared" si="3"/>
        <v>168633.39010000002</v>
      </c>
      <c r="I39" s="656">
        <v>25</v>
      </c>
      <c r="J39" s="656">
        <v>15</v>
      </c>
      <c r="K39" s="813">
        <v>-153707.98000000001</v>
      </c>
      <c r="L39" s="817">
        <f t="shared" si="0"/>
        <v>238802.79010000001</v>
      </c>
    </row>
    <row r="40" spans="1:12">
      <c r="A40" s="812" t="s">
        <v>2377</v>
      </c>
      <c r="B40" s="813">
        <v>2250897.6999999997</v>
      </c>
      <c r="C40" s="814">
        <v>0</v>
      </c>
      <c r="D40" s="813">
        <v>0</v>
      </c>
      <c r="E40" s="814">
        <v>0</v>
      </c>
      <c r="F40" s="815">
        <f t="shared" si="4"/>
        <v>0</v>
      </c>
      <c r="G40" s="816">
        <f t="shared" si="2"/>
        <v>0</v>
      </c>
      <c r="H40" s="659">
        <f t="shared" si="3"/>
        <v>0</v>
      </c>
      <c r="I40" s="656"/>
      <c r="J40" s="656"/>
      <c r="K40" s="813"/>
      <c r="L40" s="817">
        <f t="shared" si="0"/>
        <v>0</v>
      </c>
    </row>
    <row r="41" spans="1:12">
      <c r="A41" s="812" t="s">
        <v>2378</v>
      </c>
      <c r="B41" s="813">
        <v>209355.96000000002</v>
      </c>
      <c r="C41" s="814">
        <v>3.15E-2</v>
      </c>
      <c r="D41" s="813">
        <v>549.54</v>
      </c>
      <c r="E41" s="814">
        <v>2.69E-2</v>
      </c>
      <c r="F41" s="815">
        <f t="shared" si="4"/>
        <v>469.30627700000002</v>
      </c>
      <c r="G41" s="816">
        <f t="shared" si="2"/>
        <v>-80.233722999999941</v>
      </c>
      <c r="H41" s="659">
        <f t="shared" si="3"/>
        <v>-962.80467599999929</v>
      </c>
      <c r="L41" s="817">
        <f t="shared" si="0"/>
        <v>5631.6753239999998</v>
      </c>
    </row>
    <row r="42" spans="1:12">
      <c r="A42" s="812" t="s">
        <v>2379</v>
      </c>
      <c r="B42" s="813">
        <v>13232526.48</v>
      </c>
      <c r="C42" s="814">
        <v>6.1499999999999999E-2</v>
      </c>
      <c r="D42" s="813">
        <v>67803.55</v>
      </c>
      <c r="E42" s="814">
        <v>5.8900000000000001E-2</v>
      </c>
      <c r="F42" s="815">
        <f t="shared" si="4"/>
        <v>64949.650805999998</v>
      </c>
      <c r="G42" s="816">
        <f t="shared" si="2"/>
        <v>-2853.8991940000051</v>
      </c>
      <c r="H42" s="659">
        <f t="shared" si="3"/>
        <v>-34246.790328000061</v>
      </c>
      <c r="L42" s="817">
        <f t="shared" si="0"/>
        <v>779395.809672</v>
      </c>
    </row>
    <row r="43" spans="1:12">
      <c r="A43" s="812" t="s">
        <v>1490</v>
      </c>
      <c r="B43" s="813">
        <v>63199.69</v>
      </c>
      <c r="C43" s="814">
        <v>5.3400000000000003E-2</v>
      </c>
      <c r="D43" s="813">
        <v>280.95</v>
      </c>
      <c r="E43" s="814">
        <v>8.4000000000000005E-2</v>
      </c>
      <c r="F43" s="815">
        <f t="shared" si="4"/>
        <v>442.39783</v>
      </c>
      <c r="G43" s="816">
        <f t="shared" si="2"/>
        <v>161.44783000000001</v>
      </c>
      <c r="H43" s="659">
        <f t="shared" si="3"/>
        <v>1937.3739600000001</v>
      </c>
      <c r="I43" s="656">
        <v>33</v>
      </c>
      <c r="J43" s="656">
        <v>30</v>
      </c>
      <c r="K43" s="813">
        <v>0</v>
      </c>
      <c r="L43" s="817">
        <f t="shared" si="0"/>
        <v>5308.7739600000004</v>
      </c>
    </row>
    <row r="44" spans="1:12">
      <c r="A44" s="812" t="s">
        <v>1491</v>
      </c>
      <c r="B44" s="813">
        <v>7034460.8100000005</v>
      </c>
      <c r="C44" s="814">
        <v>3.56E-2</v>
      </c>
      <c r="D44" s="813">
        <v>20859.3</v>
      </c>
      <c r="E44" s="814">
        <v>0.1066</v>
      </c>
      <c r="F44" s="815">
        <f t="shared" si="4"/>
        <v>53716.40855966667</v>
      </c>
      <c r="G44" s="816">
        <f t="shared" si="2"/>
        <v>32857.108559666667</v>
      </c>
      <c r="H44" s="659">
        <f t="shared" si="3"/>
        <v>394285.30271600001</v>
      </c>
      <c r="I44" s="656">
        <v>31</v>
      </c>
      <c r="J44" s="656">
        <v>20</v>
      </c>
      <c r="K44" s="813">
        <v>-987585.55</v>
      </c>
      <c r="L44" s="817">
        <f t="shared" si="0"/>
        <v>644596.9027160001</v>
      </c>
    </row>
    <row r="45" spans="1:12">
      <c r="A45" s="812" t="s">
        <v>1500</v>
      </c>
      <c r="B45" s="813">
        <v>131231.01999999999</v>
      </c>
      <c r="C45" s="814">
        <v>1.84E-2</v>
      </c>
      <c r="D45" s="813">
        <v>201.22</v>
      </c>
      <c r="E45" s="814">
        <v>1.52E-2</v>
      </c>
      <c r="F45" s="815">
        <f t="shared" si="4"/>
        <v>166.22595866666666</v>
      </c>
      <c r="G45" s="816">
        <f t="shared" si="2"/>
        <v>-34.994041333333342</v>
      </c>
      <c r="H45" s="659">
        <f t="shared" si="3"/>
        <v>-419.92849600000011</v>
      </c>
      <c r="I45" s="656"/>
      <c r="J45" s="656"/>
      <c r="K45" s="813"/>
      <c r="L45" s="817">
        <f t="shared" si="0"/>
        <v>1994.7115039999999</v>
      </c>
    </row>
    <row r="46" spans="1:12">
      <c r="A46" s="812" t="s">
        <v>1492</v>
      </c>
      <c r="B46" s="813">
        <v>68747.38</v>
      </c>
      <c r="C46" s="814">
        <v>4.5999999999999999E-2</v>
      </c>
      <c r="D46" s="813">
        <v>263.14</v>
      </c>
      <c r="E46" s="814">
        <v>0.14549999999999999</v>
      </c>
      <c r="F46" s="815">
        <f t="shared" si="4"/>
        <v>461.94176625000006</v>
      </c>
      <c r="G46" s="816">
        <f t="shared" si="2"/>
        <v>198.80176625000007</v>
      </c>
      <c r="H46" s="659">
        <f t="shared" si="3"/>
        <v>2385.6211950000006</v>
      </c>
      <c r="I46" s="656">
        <v>25</v>
      </c>
      <c r="J46" s="656">
        <v>20</v>
      </c>
      <c r="K46" s="813">
        <v>-30649.09</v>
      </c>
      <c r="L46" s="817">
        <f t="shared" si="0"/>
        <v>5543.3011950000009</v>
      </c>
    </row>
    <row r="47" spans="1:12">
      <c r="A47" s="812" t="s">
        <v>2380</v>
      </c>
      <c r="B47" s="813">
        <v>2028370.8599999999</v>
      </c>
      <c r="C47" s="814">
        <v>5.1799999999999999E-2</v>
      </c>
      <c r="D47" s="813">
        <v>8756.2900000000009</v>
      </c>
      <c r="E47" s="814">
        <v>9.6299999999999997E-2</v>
      </c>
      <c r="F47" s="815">
        <f t="shared" si="4"/>
        <v>16277.676151499998</v>
      </c>
      <c r="G47" s="816">
        <f t="shared" si="2"/>
        <v>7521.3861514999971</v>
      </c>
      <c r="H47" s="659">
        <f t="shared" si="3"/>
        <v>90256.633817999973</v>
      </c>
      <c r="L47" s="817">
        <f t="shared" si="0"/>
        <v>195332.11381799998</v>
      </c>
    </row>
    <row r="48" spans="1:12">
      <c r="A48" s="812" t="s">
        <v>2381</v>
      </c>
      <c r="B48" s="813">
        <v>553326.53</v>
      </c>
      <c r="C48" s="814">
        <v>3.1199999999999999E-2</v>
      </c>
      <c r="D48" s="813">
        <v>1438.65</v>
      </c>
      <c r="E48" s="814">
        <v>2.9700000000000001E-2</v>
      </c>
      <c r="F48" s="815">
        <f t="shared" si="4"/>
        <v>1369.4831617500001</v>
      </c>
      <c r="G48" s="816">
        <f t="shared" si="2"/>
        <v>-69.166838249999955</v>
      </c>
      <c r="H48" s="659">
        <f t="shared" si="3"/>
        <v>-830.00205899999946</v>
      </c>
      <c r="L48" s="817">
        <f t="shared" si="0"/>
        <v>16433.797941000001</v>
      </c>
    </row>
    <row r="49" spans="1:12">
      <c r="A49" s="812" t="s">
        <v>1493</v>
      </c>
      <c r="B49" s="813">
        <v>194717.3</v>
      </c>
      <c r="C49" s="814">
        <v>4.5600000000000002E-2</v>
      </c>
      <c r="D49" s="813">
        <v>739.93</v>
      </c>
      <c r="E49" s="814">
        <v>5.3499999999999999E-2</v>
      </c>
      <c r="F49" s="815">
        <f t="shared" si="4"/>
        <v>543.53106541666659</v>
      </c>
      <c r="G49" s="816">
        <f t="shared" si="2"/>
        <v>-196.39893458333336</v>
      </c>
      <c r="H49" s="659">
        <f t="shared" si="3"/>
        <v>-2356.7872150000003</v>
      </c>
      <c r="I49" s="656" t="s">
        <v>2382</v>
      </c>
      <c r="J49" s="656">
        <v>15</v>
      </c>
      <c r="K49" s="813">
        <v>-72803.789999999994</v>
      </c>
      <c r="L49" s="817">
        <f t="shared" si="0"/>
        <v>6522.3727849999996</v>
      </c>
    </row>
    <row r="50" spans="1:12">
      <c r="A50" s="812" t="s">
        <v>1494</v>
      </c>
      <c r="B50" s="813">
        <v>939552.66999999993</v>
      </c>
      <c r="C50" s="814">
        <v>9.3700000000000006E-2</v>
      </c>
      <c r="D50" s="813">
        <v>7336.1600000000008</v>
      </c>
      <c r="E50" s="814">
        <v>6.9900000000000004E-2</v>
      </c>
      <c r="F50" s="815">
        <f>(B50+K50)*(E50/12)</f>
        <v>5472.89430275</v>
      </c>
      <c r="G50" s="816">
        <f t="shared" si="2"/>
        <v>-1863.2656972500008</v>
      </c>
      <c r="H50" s="659">
        <f t="shared" si="3"/>
        <v>-22359.18836700001</v>
      </c>
      <c r="I50" s="656">
        <v>12</v>
      </c>
      <c r="J50" s="656">
        <v>15</v>
      </c>
      <c r="K50" s="813">
        <v>0</v>
      </c>
      <c r="L50" s="817">
        <f t="shared" si="0"/>
        <v>65674.731633000003</v>
      </c>
    </row>
    <row r="51" spans="1:12">
      <c r="A51" s="812" t="s">
        <v>1495</v>
      </c>
      <c r="B51" s="813">
        <v>4114182.71</v>
      </c>
      <c r="C51" s="814">
        <v>1.2999999999999999E-3</v>
      </c>
      <c r="D51" s="813">
        <v>445.54999999999995</v>
      </c>
      <c r="E51" s="814">
        <v>5.5300000000000002E-2</v>
      </c>
      <c r="F51" s="815">
        <f>(B51+K51)*(E51/12)</f>
        <v>10602.882227583334</v>
      </c>
      <c r="G51" s="816">
        <f t="shared" si="2"/>
        <v>10157.332227583334</v>
      </c>
      <c r="H51" s="659">
        <f t="shared" si="3"/>
        <v>121887.98673100001</v>
      </c>
      <c r="I51" s="656" t="s">
        <v>2382</v>
      </c>
      <c r="J51" s="656">
        <v>15</v>
      </c>
      <c r="K51" s="813">
        <v>-1813376.44</v>
      </c>
      <c r="L51" s="817">
        <f t="shared" si="0"/>
        <v>127234.586731</v>
      </c>
    </row>
    <row r="52" spans="1:12">
      <c r="A52" s="812" t="s">
        <v>1496</v>
      </c>
      <c r="B52" s="813">
        <v>422419.49999999994</v>
      </c>
      <c r="C52" s="814">
        <v>9.1800000000000007E-2</v>
      </c>
      <c r="D52" s="813">
        <v>3230.27</v>
      </c>
      <c r="E52" s="814">
        <v>0.2162</v>
      </c>
      <c r="F52" s="815">
        <f>(B52+K52)*(E52/12)</f>
        <v>7610.5913249999994</v>
      </c>
      <c r="G52" s="816">
        <f t="shared" si="2"/>
        <v>4380.321324999999</v>
      </c>
      <c r="H52" s="659">
        <f t="shared" si="3"/>
        <v>52563.855899999988</v>
      </c>
      <c r="I52" s="656" t="s">
        <v>2382</v>
      </c>
      <c r="J52" s="656">
        <v>15</v>
      </c>
      <c r="K52" s="813">
        <v>0</v>
      </c>
      <c r="L52" s="817">
        <f t="shared" si="0"/>
        <v>91327.095899999986</v>
      </c>
    </row>
    <row r="53" spans="1:12">
      <c r="A53" s="812" t="s">
        <v>1497</v>
      </c>
      <c r="B53" s="813">
        <v>58988.85</v>
      </c>
      <c r="C53" s="814">
        <v>0.1051</v>
      </c>
      <c r="D53" s="813">
        <v>516.02</v>
      </c>
      <c r="E53" s="814">
        <v>4.3499999999999997E-2</v>
      </c>
      <c r="F53" s="815">
        <f>(B53+K53)*(E53/12)</f>
        <v>213.83458124999999</v>
      </c>
      <c r="G53" s="816">
        <f t="shared" si="2"/>
        <v>-302.18541875</v>
      </c>
      <c r="H53" s="659">
        <f t="shared" si="3"/>
        <v>-3626.2250249999997</v>
      </c>
      <c r="L53" s="817">
        <f t="shared" si="0"/>
        <v>2566.014975</v>
      </c>
    </row>
    <row r="54" spans="1:12">
      <c r="A54" s="806" t="s">
        <v>2383</v>
      </c>
      <c r="B54" s="819">
        <f>SUM(B12:B53)</f>
        <v>866945220.73000002</v>
      </c>
      <c r="C54" s="820"/>
      <c r="D54" s="821">
        <f>SUM(D12:D53)</f>
        <v>2244953.62</v>
      </c>
      <c r="E54" s="821"/>
      <c r="F54" s="821">
        <f>SUM(F12:F53)</f>
        <v>2320668.9344735825</v>
      </c>
      <c r="G54" s="821">
        <f>SUM(G12:G53)</f>
        <v>75715.314473583392</v>
      </c>
      <c r="H54" s="821">
        <f>SUM(H12:H53)</f>
        <v>908583.77368300094</v>
      </c>
      <c r="I54" s="656"/>
      <c r="J54" s="656"/>
      <c r="L54" s="821">
        <f>F54*12</f>
        <v>27848027.213682991</v>
      </c>
    </row>
    <row r="55" spans="1:12">
      <c r="A55" s="822"/>
      <c r="B55" s="813"/>
      <c r="C55" s="804"/>
      <c r="D55" s="660" t="s">
        <v>2384</v>
      </c>
      <c r="E55" s="823">
        <f>+(D54+G54)</f>
        <v>2320668.9344735835</v>
      </c>
      <c r="F55" s="804"/>
      <c r="G55" s="805"/>
      <c r="I55" s="656"/>
      <c r="J55" s="656"/>
    </row>
    <row r="56" spans="1:12">
      <c r="C56" s="804"/>
      <c r="D56" s="656" t="s">
        <v>2374</v>
      </c>
      <c r="E56" s="823">
        <f>+E55*12</f>
        <v>27848027.213683002</v>
      </c>
      <c r="F56" s="804"/>
      <c r="G56" s="805"/>
      <c r="I56" s="656"/>
      <c r="J56" s="656"/>
      <c r="L56" s="659"/>
    </row>
    <row r="57" spans="1:12">
      <c r="C57" s="804"/>
      <c r="D57" s="656" t="s">
        <v>2385</v>
      </c>
      <c r="E57" s="824">
        <f>+'Exh MCP-8 - ROO Summary Sheet'!E27</f>
        <v>24915117.609999999</v>
      </c>
      <c r="F57" s="804"/>
      <c r="G57" s="805"/>
      <c r="I57" s="656"/>
      <c r="J57" s="656"/>
    </row>
    <row r="58" spans="1:12">
      <c r="C58" s="804"/>
      <c r="D58" s="656" t="s">
        <v>2386</v>
      </c>
      <c r="E58" s="825">
        <f>+E56-E57</f>
        <v>2932909.6036830023</v>
      </c>
      <c r="F58" s="804"/>
      <c r="G58" s="805"/>
      <c r="I58" s="656"/>
      <c r="J58" s="656"/>
    </row>
  </sheetData>
  <mergeCells count="5">
    <mergeCell ref="A1:M1"/>
    <mergeCell ref="A2:M2"/>
    <mergeCell ref="A3:M3"/>
    <mergeCell ref="A4:M4"/>
    <mergeCell ref="A5:M5"/>
  </mergeCells>
  <printOptions horizontalCentered="1"/>
  <pageMargins left="0.7" right="0.7" top="0.75" bottom="0.75" header="0.3" footer="0.3"/>
  <pageSetup scale="40" orientation="portrait" r:id="rId1"/>
  <headerFooter scaleWithDoc="0" alignWithMargins="0">
    <oddHeader>&amp;R&amp;P of &amp;N</oddHeader>
    <oddFooter>&amp;LElectronic Tab Name: &amp;A</oddFooter>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Q121"/>
  <sheetViews>
    <sheetView view="pageBreakPreview" zoomScale="80" zoomScaleNormal="100" zoomScaleSheetLayoutView="80" workbookViewId="0">
      <pane xSplit="3" topLeftCell="D1" activePane="topRight" state="frozen"/>
      <selection activeCell="G24" sqref="F24:G24"/>
      <selection pane="topRight" activeCell="G24" sqref="F24:G24"/>
    </sheetView>
  </sheetViews>
  <sheetFormatPr defaultRowHeight="15.75"/>
  <cols>
    <col min="1" max="1" width="10.140625" style="6" customWidth="1"/>
    <col min="2" max="2" width="43.7109375" style="4" bestFit="1" customWidth="1"/>
    <col min="3" max="3" width="9.5703125" style="4" bestFit="1" customWidth="1"/>
    <col min="4" max="4" width="16.140625" style="4" bestFit="1" customWidth="1"/>
    <col min="5" max="5" width="12.7109375" style="4" bestFit="1" customWidth="1"/>
    <col min="6" max="6" width="19" style="4" bestFit="1" customWidth="1"/>
    <col min="7" max="7" width="8.140625" style="4" bestFit="1" customWidth="1"/>
    <col min="8" max="8" width="17.5703125" style="4" customWidth="1"/>
    <col min="9" max="9" width="19" style="4" customWidth="1"/>
    <col min="10" max="10" width="13.28515625" style="4" customWidth="1"/>
    <col min="11" max="11" width="19.5703125" style="4" customWidth="1"/>
    <col min="12" max="12" width="18.42578125" style="4" customWidth="1"/>
    <col min="13" max="13" width="8.85546875" style="4" bestFit="1" customWidth="1"/>
    <col min="14" max="14" width="19" style="4" bestFit="1" customWidth="1"/>
    <col min="15" max="15" width="17.85546875" style="4" bestFit="1" customWidth="1"/>
    <col min="16" max="16" width="17.85546875" style="4" customWidth="1"/>
    <col min="17" max="17" width="22.140625" style="4" bestFit="1" customWidth="1"/>
    <col min="18" max="16384" width="9.140625" style="4"/>
  </cols>
  <sheetData>
    <row r="1" spans="1:17">
      <c r="C1" s="246"/>
      <c r="D1" s="246"/>
      <c r="E1" s="904" t="s">
        <v>60</v>
      </c>
      <c r="F1" s="904"/>
      <c r="G1" s="904"/>
      <c r="H1" s="904"/>
      <c r="I1" s="904"/>
      <c r="J1" s="904"/>
      <c r="K1" s="904"/>
      <c r="L1" s="904"/>
      <c r="N1" s="246"/>
      <c r="O1" s="246"/>
      <c r="P1" s="246"/>
      <c r="Q1" s="246"/>
    </row>
    <row r="2" spans="1:17">
      <c r="C2" s="287"/>
      <c r="D2" s="287"/>
      <c r="E2" s="904" t="s">
        <v>1865</v>
      </c>
      <c r="F2" s="904"/>
      <c r="G2" s="904"/>
      <c r="H2" s="904"/>
      <c r="I2" s="904"/>
      <c r="J2" s="904"/>
      <c r="K2" s="904"/>
      <c r="L2" s="904"/>
      <c r="N2" s="287"/>
      <c r="O2" s="287"/>
      <c r="P2" s="287"/>
      <c r="Q2" s="287"/>
    </row>
    <row r="3" spans="1:17">
      <c r="C3" s="287"/>
      <c r="D3" s="287"/>
      <c r="E3" s="904" t="s">
        <v>1304</v>
      </c>
      <c r="F3" s="904"/>
      <c r="G3" s="904"/>
      <c r="H3" s="904"/>
      <c r="I3" s="904"/>
      <c r="J3" s="904"/>
      <c r="K3" s="904"/>
      <c r="L3" s="904"/>
      <c r="N3" s="287"/>
      <c r="O3" s="287"/>
      <c r="P3" s="287"/>
      <c r="Q3" s="287"/>
    </row>
    <row r="4" spans="1:17">
      <c r="C4" s="287"/>
      <c r="D4" s="287"/>
      <c r="E4" s="904" t="s">
        <v>1857</v>
      </c>
      <c r="F4" s="904"/>
      <c r="G4" s="904"/>
      <c r="H4" s="904"/>
      <c r="I4" s="904"/>
      <c r="J4" s="904"/>
      <c r="K4" s="904"/>
      <c r="L4" s="904"/>
      <c r="N4" s="287"/>
      <c r="O4" s="287"/>
      <c r="P4" s="287"/>
      <c r="Q4" s="287"/>
    </row>
    <row r="5" spans="1:17">
      <c r="C5" s="288"/>
      <c r="D5" s="288"/>
      <c r="E5" s="904" t="s">
        <v>1864</v>
      </c>
      <c r="F5" s="904"/>
      <c r="G5" s="904"/>
      <c r="H5" s="904"/>
      <c r="I5" s="904"/>
      <c r="J5" s="904"/>
      <c r="K5" s="904"/>
      <c r="L5" s="904"/>
      <c r="N5" s="289"/>
      <c r="O5" s="289"/>
      <c r="P5" s="289"/>
      <c r="Q5" s="289"/>
    </row>
    <row r="6" spans="1:17">
      <c r="C6" s="288"/>
      <c r="D6" s="288"/>
      <c r="E6" s="288"/>
      <c r="F6" s="505"/>
      <c r="G6" s="505"/>
      <c r="H6" s="505"/>
      <c r="I6" s="505"/>
      <c r="J6" s="505"/>
      <c r="K6" s="505"/>
      <c r="L6" s="505"/>
      <c r="M6" s="30"/>
      <c r="N6" s="289"/>
      <c r="O6" s="289"/>
      <c r="P6" s="289"/>
      <c r="Q6" s="289"/>
    </row>
    <row r="7" spans="1:17" s="6" customFormat="1">
      <c r="B7" s="26" t="s">
        <v>803</v>
      </c>
      <c r="C7" s="26" t="s">
        <v>801</v>
      </c>
      <c r="D7" s="26" t="s">
        <v>802</v>
      </c>
      <c r="E7" s="26" t="s">
        <v>805</v>
      </c>
      <c r="F7" s="26" t="s">
        <v>806</v>
      </c>
      <c r="G7" s="26" t="s">
        <v>807</v>
      </c>
      <c r="H7" s="26" t="s">
        <v>808</v>
      </c>
      <c r="I7" s="290" t="s">
        <v>809</v>
      </c>
      <c r="J7" s="290" t="s">
        <v>810</v>
      </c>
      <c r="K7" s="290" t="s">
        <v>811</v>
      </c>
      <c r="L7" s="290" t="s">
        <v>812</v>
      </c>
      <c r="M7" s="290" t="s">
        <v>813</v>
      </c>
      <c r="N7" s="290" t="s">
        <v>814</v>
      </c>
      <c r="O7" s="290" t="s">
        <v>815</v>
      </c>
      <c r="P7" s="290" t="s">
        <v>816</v>
      </c>
      <c r="Q7" s="290" t="s">
        <v>1281</v>
      </c>
    </row>
    <row r="8" spans="1:17">
      <c r="B8" s="24"/>
      <c r="C8" s="24"/>
      <c r="D8" s="24" t="s">
        <v>684</v>
      </c>
      <c r="E8" s="24" t="s">
        <v>685</v>
      </c>
      <c r="F8" s="24" t="s">
        <v>686</v>
      </c>
      <c r="G8" s="26"/>
      <c r="H8" s="24" t="s">
        <v>687</v>
      </c>
      <c r="I8" s="24"/>
      <c r="J8" s="24"/>
      <c r="K8" s="24"/>
      <c r="L8" s="24"/>
      <c r="M8" s="24"/>
      <c r="N8" s="24"/>
      <c r="O8" s="24"/>
      <c r="P8" s="24" t="s">
        <v>58</v>
      </c>
      <c r="Q8" s="24" t="s">
        <v>58</v>
      </c>
    </row>
    <row r="9" spans="1:17">
      <c r="B9" s="24"/>
      <c r="C9" s="24" t="s">
        <v>82</v>
      </c>
      <c r="D9" s="26" t="s">
        <v>2217</v>
      </c>
      <c r="E9" s="24" t="s">
        <v>70</v>
      </c>
      <c r="F9" s="24" t="s">
        <v>1102</v>
      </c>
      <c r="G9" s="26" t="s">
        <v>1103</v>
      </c>
      <c r="H9" s="24" t="s">
        <v>2224</v>
      </c>
      <c r="I9" s="24" t="s">
        <v>105</v>
      </c>
      <c r="J9" s="24" t="s">
        <v>1283</v>
      </c>
      <c r="K9" s="24" t="s">
        <v>1283</v>
      </c>
      <c r="L9" s="24" t="s">
        <v>2218</v>
      </c>
      <c r="M9" s="24"/>
      <c r="N9" s="24" t="s">
        <v>2219</v>
      </c>
      <c r="O9" s="24" t="s">
        <v>2219</v>
      </c>
      <c r="P9" s="24" t="s">
        <v>1282</v>
      </c>
      <c r="Q9" s="24" t="s">
        <v>1281</v>
      </c>
    </row>
    <row r="10" spans="1:17">
      <c r="A10" s="10" t="s">
        <v>799</v>
      </c>
      <c r="B10" s="24"/>
      <c r="C10" s="24" t="s">
        <v>688</v>
      </c>
      <c r="D10" s="24" t="s">
        <v>689</v>
      </c>
      <c r="E10" s="24" t="s">
        <v>690</v>
      </c>
      <c r="F10" s="24" t="s">
        <v>691</v>
      </c>
      <c r="G10" s="24"/>
      <c r="H10" s="24" t="s">
        <v>692</v>
      </c>
      <c r="I10" s="24"/>
      <c r="J10" s="24" t="s">
        <v>1104</v>
      </c>
      <c r="K10" s="24" t="s">
        <v>70</v>
      </c>
      <c r="L10" s="24" t="s">
        <v>108</v>
      </c>
      <c r="M10" s="24"/>
      <c r="N10" s="24" t="s">
        <v>70</v>
      </c>
      <c r="O10" s="24" t="s">
        <v>108</v>
      </c>
      <c r="P10" s="24" t="s">
        <v>62</v>
      </c>
      <c r="Q10" s="24" t="s">
        <v>62</v>
      </c>
    </row>
    <row r="11" spans="1:17">
      <c r="A11" s="6">
        <v>1</v>
      </c>
      <c r="B11" s="24" t="s">
        <v>693</v>
      </c>
      <c r="C11" s="24"/>
      <c r="D11" s="423">
        <v>9796448.2300000004</v>
      </c>
      <c r="E11" s="24" t="s">
        <v>2220</v>
      </c>
      <c r="F11" s="423">
        <v>0</v>
      </c>
      <c r="G11" s="291">
        <v>0.04</v>
      </c>
      <c r="H11" s="423">
        <f>+F11*G11</f>
        <v>0</v>
      </c>
      <c r="I11" s="423">
        <f>+D11+H11</f>
        <v>9796448.2300000004</v>
      </c>
      <c r="J11" s="291">
        <f>K42/I42</f>
        <v>4.0000000000000015E-2</v>
      </c>
      <c r="K11" s="423">
        <f>+I11*J11</f>
        <v>391857.92920000019</v>
      </c>
      <c r="L11" s="423">
        <f>+I11+K11</f>
        <v>10188306.159200002</v>
      </c>
      <c r="M11" s="291">
        <f>N42/L42</f>
        <v>0.04</v>
      </c>
      <c r="N11" s="424">
        <f>+L11*M11</f>
        <v>407532.24636800005</v>
      </c>
      <c r="O11" s="424">
        <f>+L11+N11</f>
        <v>10595838.405568002</v>
      </c>
      <c r="P11" s="424">
        <f>+H11</f>
        <v>0</v>
      </c>
      <c r="Q11" s="423">
        <f>+N11+K11</f>
        <v>799390.17556800018</v>
      </c>
    </row>
    <row r="12" spans="1:17">
      <c r="A12" s="6">
        <v>2</v>
      </c>
      <c r="B12" s="24"/>
      <c r="C12" s="24"/>
      <c r="D12" s="423"/>
      <c r="E12" s="24"/>
      <c r="F12" s="423"/>
      <c r="G12" s="291"/>
      <c r="H12" s="423"/>
      <c r="I12" s="423"/>
      <c r="J12" s="291"/>
      <c r="K12" s="423"/>
      <c r="L12" s="423"/>
      <c r="M12" s="291"/>
      <c r="N12" s="424"/>
      <c r="O12" s="24"/>
      <c r="P12" s="24"/>
      <c r="Q12" s="24"/>
    </row>
    <row r="13" spans="1:17" ht="16.5" thickBot="1">
      <c r="A13" s="6">
        <v>3</v>
      </c>
      <c r="B13" s="24" t="s">
        <v>694</v>
      </c>
      <c r="C13" s="24"/>
      <c r="D13" s="425">
        <v>10155364.93</v>
      </c>
      <c r="E13" s="798" t="s">
        <v>2221</v>
      </c>
      <c r="F13" s="425">
        <f>+F66</f>
        <v>2685444.8200000008</v>
      </c>
      <c r="G13" s="426">
        <v>0.03</v>
      </c>
      <c r="H13" s="425">
        <f>+F13*G13</f>
        <v>80563.344600000026</v>
      </c>
      <c r="I13" s="425">
        <f>+D13+H13</f>
        <v>10235928.274599999</v>
      </c>
      <c r="J13" s="426">
        <v>0.03</v>
      </c>
      <c r="K13" s="425">
        <f>+I13*J13</f>
        <v>307077.84823799995</v>
      </c>
      <c r="L13" s="425">
        <f>+I13+K13</f>
        <v>10543006.122838</v>
      </c>
      <c r="M13" s="426">
        <v>0.03</v>
      </c>
      <c r="N13" s="427">
        <f>+L13*M13</f>
        <v>316290.18368513999</v>
      </c>
      <c r="O13" s="427">
        <f>+L13+N13</f>
        <v>10859296.306523141</v>
      </c>
      <c r="P13" s="427">
        <f>+H13</f>
        <v>80563.344600000026</v>
      </c>
      <c r="Q13" s="425">
        <f>+N13+K13</f>
        <v>623368.03192313993</v>
      </c>
    </row>
    <row r="14" spans="1:17">
      <c r="A14" s="6">
        <v>4</v>
      </c>
      <c r="B14" s="24"/>
      <c r="C14" s="24"/>
      <c r="D14" s="423"/>
      <c r="E14" s="24"/>
      <c r="F14" s="423"/>
      <c r="G14" s="291"/>
      <c r="H14" s="423"/>
      <c r="I14" s="423"/>
      <c r="J14" s="291"/>
      <c r="K14" s="423"/>
      <c r="L14" s="423"/>
      <c r="M14" s="291"/>
      <c r="N14" s="424"/>
      <c r="O14" s="24"/>
      <c r="P14" s="24"/>
      <c r="Q14" s="24"/>
    </row>
    <row r="15" spans="1:17" ht="16.5" thickBot="1">
      <c r="A15" s="6">
        <v>5</v>
      </c>
      <c r="B15" s="24"/>
      <c r="C15" s="24"/>
      <c r="D15" s="423">
        <f>+D13+D11</f>
        <v>19951813.16</v>
      </c>
      <c r="E15" s="24"/>
      <c r="F15" s="423">
        <f>+F13+F11</f>
        <v>2685444.8200000008</v>
      </c>
      <c r="G15" s="291"/>
      <c r="H15" s="428">
        <f>+H11+H13</f>
        <v>80563.344600000026</v>
      </c>
      <c r="I15" s="423">
        <f>+I11+I13</f>
        <v>20032376.5046</v>
      </c>
      <c r="J15" s="291"/>
      <c r="K15" s="428">
        <f>+K11+K13</f>
        <v>698935.77743800008</v>
      </c>
      <c r="L15" s="423">
        <f>+L11+L13</f>
        <v>20731312.282038003</v>
      </c>
      <c r="M15" s="24"/>
      <c r="N15" s="428">
        <f>+N11+N13</f>
        <v>723822.43005314004</v>
      </c>
      <c r="O15" s="24"/>
      <c r="P15" s="429">
        <f>+P11+P13</f>
        <v>80563.344600000026</v>
      </c>
      <c r="Q15" s="429">
        <f>+Q11+Q13</f>
        <v>1422758.2074911401</v>
      </c>
    </row>
    <row r="16" spans="1:17" ht="16.5" thickTop="1">
      <c r="A16" s="6">
        <v>6</v>
      </c>
      <c r="B16" s="24"/>
      <c r="C16" s="24"/>
      <c r="D16" s="423"/>
      <c r="E16" s="24"/>
      <c r="F16" s="423"/>
      <c r="G16" s="291"/>
      <c r="H16" s="428"/>
      <c r="I16" s="423"/>
      <c r="J16" s="291"/>
      <c r="K16" s="428"/>
      <c r="L16" s="423"/>
      <c r="M16" s="24"/>
      <c r="N16" s="428"/>
      <c r="O16" s="24"/>
      <c r="P16" s="24"/>
      <c r="Q16" s="430"/>
    </row>
    <row r="17" spans="1:17">
      <c r="A17" s="6">
        <v>7</v>
      </c>
      <c r="B17" s="24" t="s">
        <v>716</v>
      </c>
      <c r="C17" s="24"/>
      <c r="D17" s="423"/>
      <c r="E17" s="24"/>
      <c r="F17" s="423"/>
      <c r="G17" s="291"/>
      <c r="H17" s="428"/>
      <c r="I17" s="423"/>
      <c r="J17" s="291"/>
      <c r="K17" s="428"/>
      <c r="L17" s="423"/>
      <c r="M17" s="24"/>
      <c r="N17" s="428"/>
      <c r="O17" s="291">
        <v>7.6499999999999999E-2</v>
      </c>
      <c r="P17" s="430">
        <f>+P15*O17</f>
        <v>6163.0958619000021</v>
      </c>
      <c r="Q17" s="430">
        <f>+Q15*O17</f>
        <v>108841.00287307221</v>
      </c>
    </row>
    <row r="18" spans="1:17">
      <c r="A18" s="6">
        <v>8</v>
      </c>
      <c r="B18" s="24"/>
      <c r="C18" s="24"/>
      <c r="D18" s="423"/>
      <c r="E18" s="24"/>
      <c r="F18" s="24"/>
      <c r="G18" s="291"/>
      <c r="H18" s="24"/>
      <c r="I18" s="24"/>
      <c r="J18" s="24"/>
      <c r="K18" s="423"/>
      <c r="L18" s="423"/>
      <c r="M18" s="24"/>
      <c r="N18" s="424"/>
      <c r="O18" s="24"/>
      <c r="P18" s="24"/>
      <c r="Q18" s="24"/>
    </row>
    <row r="19" spans="1:17">
      <c r="A19" s="6">
        <v>9</v>
      </c>
      <c r="B19" s="24" t="s">
        <v>693</v>
      </c>
      <c r="C19" s="24"/>
      <c r="D19" s="24"/>
      <c r="E19" s="24"/>
      <c r="F19" s="24"/>
      <c r="G19" s="24"/>
      <c r="H19" s="24"/>
      <c r="I19" s="24"/>
      <c r="J19" s="24"/>
      <c r="K19" s="24"/>
      <c r="L19" s="24"/>
      <c r="M19" s="24"/>
      <c r="N19" s="24"/>
      <c r="O19" s="24"/>
      <c r="P19" s="24"/>
      <c r="Q19" s="24"/>
    </row>
    <row r="20" spans="1:17" s="24" customFormat="1">
      <c r="A20" s="26">
        <v>10</v>
      </c>
      <c r="B20" s="24" t="s">
        <v>1321</v>
      </c>
      <c r="C20" s="799" t="s">
        <v>695</v>
      </c>
      <c r="D20" s="431">
        <v>162147.76999999999</v>
      </c>
      <c r="G20" s="291"/>
      <c r="H20" s="423">
        <f t="shared" ref="H20:H41" si="0">+F20*G20</f>
        <v>0</v>
      </c>
      <c r="I20" s="423">
        <f t="shared" ref="I20:I41" si="1">+D20+H20</f>
        <v>162147.76999999999</v>
      </c>
      <c r="J20" s="291">
        <v>0.04</v>
      </c>
      <c r="K20" s="423">
        <f>+I20*J20</f>
        <v>6485.9107999999997</v>
      </c>
      <c r="L20" s="423">
        <f>+I20+K20</f>
        <v>168633.6808</v>
      </c>
      <c r="M20" s="291">
        <v>0.04</v>
      </c>
      <c r="N20" s="424">
        <f t="shared" ref="N20:N41" si="2">+L20*M20</f>
        <v>6745.3472320000001</v>
      </c>
      <c r="O20" s="423">
        <f>+N20+L20</f>
        <v>175379.028032</v>
      </c>
      <c r="P20" s="423">
        <f>+H20</f>
        <v>0</v>
      </c>
      <c r="Q20" s="423">
        <f>+N20+K20</f>
        <v>13231.258032</v>
      </c>
    </row>
    <row r="21" spans="1:17" s="24" customFormat="1">
      <c r="A21" s="6">
        <v>11</v>
      </c>
      <c r="B21" s="24" t="s">
        <v>2228</v>
      </c>
      <c r="C21" s="799">
        <v>28410</v>
      </c>
      <c r="D21" s="431">
        <v>631.48</v>
      </c>
      <c r="G21" s="291"/>
      <c r="H21" s="423">
        <f t="shared" si="0"/>
        <v>0</v>
      </c>
      <c r="I21" s="423">
        <f t="shared" si="1"/>
        <v>631.48</v>
      </c>
      <c r="J21" s="291">
        <v>0.04</v>
      </c>
      <c r="K21" s="423">
        <f>+I21*J21</f>
        <v>25.2592</v>
      </c>
      <c r="L21" s="423">
        <f t="shared" ref="L21:L41" si="3">+I21+K21</f>
        <v>656.73919999999998</v>
      </c>
      <c r="M21" s="291">
        <v>0.04</v>
      </c>
      <c r="N21" s="424">
        <f t="shared" si="2"/>
        <v>26.269568</v>
      </c>
      <c r="O21" s="423">
        <f t="shared" ref="O21:O41" si="4">+N21+L21</f>
        <v>683.00876800000003</v>
      </c>
      <c r="P21" s="423">
        <f t="shared" ref="P21:P41" si="5">+H21</f>
        <v>0</v>
      </c>
      <c r="Q21" s="423">
        <f t="shared" ref="Q21:Q41" si="6">+N21+K21</f>
        <v>51.528767999999999</v>
      </c>
    </row>
    <row r="22" spans="1:17" s="24" customFormat="1">
      <c r="A22" s="6">
        <v>12</v>
      </c>
      <c r="B22" s="24" t="s">
        <v>1320</v>
      </c>
      <c r="C22" s="799" t="s">
        <v>696</v>
      </c>
      <c r="D22" s="431">
        <v>1680934.36</v>
      </c>
      <c r="G22" s="291"/>
      <c r="H22" s="423">
        <f t="shared" si="0"/>
        <v>0</v>
      </c>
      <c r="I22" s="423">
        <f t="shared" si="1"/>
        <v>1680934.36</v>
      </c>
      <c r="J22" s="291">
        <v>0.04</v>
      </c>
      <c r="K22" s="423">
        <f t="shared" ref="K22:K24" si="7">+I22*J22</f>
        <v>67237.374400000001</v>
      </c>
      <c r="L22" s="423">
        <f t="shared" si="3"/>
        <v>1748171.7344000002</v>
      </c>
      <c r="M22" s="291">
        <v>0.04</v>
      </c>
      <c r="N22" s="424">
        <f t="shared" si="2"/>
        <v>69926.869376000002</v>
      </c>
      <c r="O22" s="423">
        <f t="shared" si="4"/>
        <v>1818098.6037760002</v>
      </c>
      <c r="P22" s="423">
        <f t="shared" si="5"/>
        <v>0</v>
      </c>
      <c r="Q22" s="423">
        <f t="shared" si="6"/>
        <v>137164.24377599999</v>
      </c>
    </row>
    <row r="23" spans="1:17" s="24" customFormat="1">
      <c r="A23" s="26">
        <v>13</v>
      </c>
      <c r="B23" s="24" t="s">
        <v>195</v>
      </c>
      <c r="C23" s="799" t="s">
        <v>697</v>
      </c>
      <c r="D23" s="431">
        <v>206774.76</v>
      </c>
      <c r="G23" s="291"/>
      <c r="H23" s="423">
        <f t="shared" si="0"/>
        <v>0</v>
      </c>
      <c r="I23" s="423">
        <f t="shared" si="1"/>
        <v>206774.76</v>
      </c>
      <c r="J23" s="291">
        <v>0.04</v>
      </c>
      <c r="K23" s="423">
        <f t="shared" si="7"/>
        <v>8270.9904000000006</v>
      </c>
      <c r="L23" s="423">
        <f t="shared" si="3"/>
        <v>215045.75040000002</v>
      </c>
      <c r="M23" s="291">
        <v>0.04</v>
      </c>
      <c r="N23" s="424">
        <f t="shared" si="2"/>
        <v>8601.8300160000017</v>
      </c>
      <c r="O23" s="423">
        <f t="shared" si="4"/>
        <v>223647.58041600001</v>
      </c>
      <c r="P23" s="423">
        <f t="shared" si="5"/>
        <v>0</v>
      </c>
      <c r="Q23" s="423">
        <f t="shared" si="6"/>
        <v>16872.820416000002</v>
      </c>
    </row>
    <row r="24" spans="1:17" s="24" customFormat="1">
      <c r="A24" s="6">
        <v>14</v>
      </c>
      <c r="B24" s="24" t="s">
        <v>1313</v>
      </c>
      <c r="C24" s="799" t="s">
        <v>698</v>
      </c>
      <c r="D24" s="431">
        <v>353792.99</v>
      </c>
      <c r="G24" s="291"/>
      <c r="H24" s="423">
        <f t="shared" si="0"/>
        <v>0</v>
      </c>
      <c r="I24" s="423">
        <f t="shared" si="1"/>
        <v>353792.99</v>
      </c>
      <c r="J24" s="291">
        <v>0.04</v>
      </c>
      <c r="K24" s="423">
        <f t="shared" si="7"/>
        <v>14151.7196</v>
      </c>
      <c r="L24" s="423">
        <f t="shared" si="3"/>
        <v>367944.7096</v>
      </c>
      <c r="M24" s="291">
        <v>0.04</v>
      </c>
      <c r="N24" s="424">
        <f t="shared" si="2"/>
        <v>14717.788383999999</v>
      </c>
      <c r="O24" s="423">
        <f t="shared" si="4"/>
        <v>382662.49798400002</v>
      </c>
      <c r="P24" s="423">
        <f t="shared" si="5"/>
        <v>0</v>
      </c>
      <c r="Q24" s="423">
        <f t="shared" si="6"/>
        <v>28869.507984</v>
      </c>
    </row>
    <row r="25" spans="1:17" s="24" customFormat="1">
      <c r="A25" s="6">
        <v>15</v>
      </c>
      <c r="B25" s="24" t="s">
        <v>1326</v>
      </c>
      <c r="C25" s="799">
        <v>28750</v>
      </c>
      <c r="D25" s="431">
        <v>367.8</v>
      </c>
      <c r="G25" s="291"/>
      <c r="H25" s="423">
        <f t="shared" si="0"/>
        <v>0</v>
      </c>
      <c r="I25" s="423">
        <f t="shared" si="1"/>
        <v>367.8</v>
      </c>
      <c r="J25" s="291">
        <v>0.04</v>
      </c>
      <c r="K25" s="423">
        <f>+I25*J25</f>
        <v>14.712000000000002</v>
      </c>
      <c r="L25" s="423">
        <f t="shared" si="3"/>
        <v>382.512</v>
      </c>
      <c r="M25" s="291">
        <v>0.04</v>
      </c>
      <c r="N25" s="424">
        <f t="shared" si="2"/>
        <v>15.30048</v>
      </c>
      <c r="O25" s="423">
        <f t="shared" si="4"/>
        <v>397.81247999999999</v>
      </c>
      <c r="P25" s="423">
        <f t="shared" si="5"/>
        <v>0</v>
      </c>
      <c r="Q25" s="423">
        <f t="shared" si="6"/>
        <v>30.012480000000004</v>
      </c>
    </row>
    <row r="26" spans="1:17" s="24" customFormat="1">
      <c r="A26" s="26">
        <v>16</v>
      </c>
      <c r="B26" s="24" t="s">
        <v>1314</v>
      </c>
      <c r="C26" s="799" t="s">
        <v>701</v>
      </c>
      <c r="D26" s="431">
        <v>415608.43</v>
      </c>
      <c r="G26" s="291"/>
      <c r="H26" s="423">
        <f t="shared" si="0"/>
        <v>0</v>
      </c>
      <c r="I26" s="423">
        <f t="shared" si="1"/>
        <v>415608.43</v>
      </c>
      <c r="J26" s="291">
        <v>0.04</v>
      </c>
      <c r="K26" s="423">
        <f t="shared" ref="K26:K41" si="8">+I26*J26</f>
        <v>16624.337200000002</v>
      </c>
      <c r="L26" s="423">
        <f t="shared" si="3"/>
        <v>432232.7672</v>
      </c>
      <c r="M26" s="291">
        <v>0.04</v>
      </c>
      <c r="N26" s="424">
        <f t="shared" si="2"/>
        <v>17289.310688000001</v>
      </c>
      <c r="O26" s="423">
        <f t="shared" si="4"/>
        <v>449522.077888</v>
      </c>
      <c r="P26" s="423">
        <f t="shared" si="5"/>
        <v>0</v>
      </c>
      <c r="Q26" s="423">
        <f t="shared" si="6"/>
        <v>33913.647888000007</v>
      </c>
    </row>
    <row r="27" spans="1:17" s="24" customFormat="1">
      <c r="A27" s="6">
        <v>17</v>
      </c>
      <c r="B27" s="24" t="s">
        <v>1322</v>
      </c>
      <c r="C27" s="799">
        <v>28850</v>
      </c>
      <c r="D27" s="431">
        <v>899501.76</v>
      </c>
      <c r="G27" s="291"/>
      <c r="H27" s="423">
        <f t="shared" si="0"/>
        <v>0</v>
      </c>
      <c r="I27" s="423">
        <f t="shared" si="1"/>
        <v>899501.76</v>
      </c>
      <c r="J27" s="291">
        <v>0.04</v>
      </c>
      <c r="K27" s="423">
        <f t="shared" si="8"/>
        <v>35980.070400000004</v>
      </c>
      <c r="L27" s="423">
        <f t="shared" si="3"/>
        <v>935481.83039999998</v>
      </c>
      <c r="M27" s="291">
        <v>0.04</v>
      </c>
      <c r="N27" s="424">
        <f t="shared" si="2"/>
        <v>37419.273216000001</v>
      </c>
      <c r="O27" s="423">
        <f t="shared" si="4"/>
        <v>972901.10361599992</v>
      </c>
      <c r="P27" s="423">
        <f t="shared" si="5"/>
        <v>0</v>
      </c>
      <c r="Q27" s="423">
        <f t="shared" si="6"/>
        <v>73399.343615999998</v>
      </c>
    </row>
    <row r="28" spans="1:17" s="24" customFormat="1">
      <c r="A28" s="6">
        <v>18</v>
      </c>
      <c r="B28" s="24" t="s">
        <v>1315</v>
      </c>
      <c r="C28" s="799" t="s">
        <v>702</v>
      </c>
      <c r="D28" s="431">
        <v>4395.5</v>
      </c>
      <c r="G28" s="291"/>
      <c r="H28" s="423">
        <f t="shared" si="0"/>
        <v>0</v>
      </c>
      <c r="I28" s="423">
        <f t="shared" si="1"/>
        <v>4395.5</v>
      </c>
      <c r="J28" s="291">
        <v>0.04</v>
      </c>
      <c r="K28" s="423">
        <f t="shared" si="8"/>
        <v>175.82</v>
      </c>
      <c r="L28" s="423">
        <f t="shared" si="3"/>
        <v>4571.32</v>
      </c>
      <c r="M28" s="291">
        <v>0.04</v>
      </c>
      <c r="N28" s="424">
        <f t="shared" si="2"/>
        <v>182.8528</v>
      </c>
      <c r="O28" s="423">
        <f t="shared" si="4"/>
        <v>4754.1727999999994</v>
      </c>
      <c r="P28" s="423">
        <f t="shared" si="5"/>
        <v>0</v>
      </c>
      <c r="Q28" s="423">
        <f t="shared" si="6"/>
        <v>358.6728</v>
      </c>
    </row>
    <row r="29" spans="1:17" s="24" customFormat="1">
      <c r="A29" s="26">
        <v>19</v>
      </c>
      <c r="B29" s="24" t="s">
        <v>2227</v>
      </c>
      <c r="C29" s="799" t="s">
        <v>2222</v>
      </c>
      <c r="D29" s="431">
        <v>3604.92</v>
      </c>
      <c r="G29" s="291"/>
      <c r="H29" s="423">
        <f t="shared" si="0"/>
        <v>0</v>
      </c>
      <c r="I29" s="423">
        <f t="shared" si="1"/>
        <v>3604.92</v>
      </c>
      <c r="J29" s="291">
        <v>0.04</v>
      </c>
      <c r="K29" s="423">
        <f t="shared" si="8"/>
        <v>144.1968</v>
      </c>
      <c r="L29" s="423">
        <f t="shared" si="3"/>
        <v>3749.1168000000002</v>
      </c>
      <c r="M29" s="291">
        <v>0.04</v>
      </c>
      <c r="N29" s="424">
        <f t="shared" si="2"/>
        <v>149.96467200000001</v>
      </c>
      <c r="O29" s="423">
        <f t="shared" si="4"/>
        <v>3899.0814720000003</v>
      </c>
      <c r="P29" s="423">
        <f t="shared" si="5"/>
        <v>0</v>
      </c>
      <c r="Q29" s="423">
        <f t="shared" si="6"/>
        <v>294.161472</v>
      </c>
    </row>
    <row r="30" spans="1:17" s="24" customFormat="1">
      <c r="A30" s="6">
        <v>20</v>
      </c>
      <c r="B30" s="24" t="s">
        <v>1316</v>
      </c>
      <c r="C30" s="799">
        <v>28890</v>
      </c>
      <c r="D30" s="431">
        <v>1386.53</v>
      </c>
      <c r="G30" s="291"/>
      <c r="H30" s="423">
        <f t="shared" si="0"/>
        <v>0</v>
      </c>
      <c r="I30" s="423">
        <f t="shared" si="1"/>
        <v>1386.53</v>
      </c>
      <c r="J30" s="291">
        <v>0.04</v>
      </c>
      <c r="K30" s="423">
        <f t="shared" si="8"/>
        <v>55.461199999999998</v>
      </c>
      <c r="L30" s="423">
        <f t="shared" si="3"/>
        <v>1441.9911999999999</v>
      </c>
      <c r="M30" s="291">
        <v>0.04</v>
      </c>
      <c r="N30" s="424">
        <f t="shared" si="2"/>
        <v>57.679648</v>
      </c>
      <c r="O30" s="423">
        <f t="shared" si="4"/>
        <v>1499.670848</v>
      </c>
      <c r="P30" s="423">
        <f t="shared" si="5"/>
        <v>0</v>
      </c>
      <c r="Q30" s="423">
        <f t="shared" si="6"/>
        <v>113.14084800000001</v>
      </c>
    </row>
    <row r="31" spans="1:17" s="24" customFormat="1">
      <c r="A31" s="6">
        <v>21</v>
      </c>
      <c r="B31" s="24" t="s">
        <v>1330</v>
      </c>
      <c r="C31" s="799" t="s">
        <v>705</v>
      </c>
      <c r="D31" s="431">
        <v>51071.97</v>
      </c>
      <c r="G31" s="291"/>
      <c r="H31" s="423">
        <f t="shared" si="0"/>
        <v>0</v>
      </c>
      <c r="I31" s="423">
        <f t="shared" si="1"/>
        <v>51071.97</v>
      </c>
      <c r="J31" s="291">
        <v>0.04</v>
      </c>
      <c r="K31" s="423">
        <f t="shared" si="8"/>
        <v>2042.8788000000002</v>
      </c>
      <c r="L31" s="423">
        <f t="shared" si="3"/>
        <v>53114.8488</v>
      </c>
      <c r="M31" s="291">
        <v>0.04</v>
      </c>
      <c r="N31" s="424">
        <f t="shared" si="2"/>
        <v>2124.5939520000002</v>
      </c>
      <c r="O31" s="423">
        <f t="shared" si="4"/>
        <v>55239.442752000003</v>
      </c>
      <c r="P31" s="423">
        <f t="shared" si="5"/>
        <v>0</v>
      </c>
      <c r="Q31" s="423">
        <f t="shared" si="6"/>
        <v>4167.4727520000006</v>
      </c>
    </row>
    <row r="32" spans="1:17" s="24" customFormat="1">
      <c r="A32" s="26">
        <v>22</v>
      </c>
      <c r="B32" s="24" t="s">
        <v>1325</v>
      </c>
      <c r="C32" s="799">
        <v>28940</v>
      </c>
      <c r="D32" s="431">
        <v>18930.04</v>
      </c>
      <c r="G32" s="291"/>
      <c r="H32" s="423">
        <f t="shared" si="0"/>
        <v>0</v>
      </c>
      <c r="I32" s="423">
        <f t="shared" si="1"/>
        <v>18930.04</v>
      </c>
      <c r="J32" s="291">
        <v>0.04</v>
      </c>
      <c r="K32" s="423">
        <f t="shared" si="8"/>
        <v>757.2016000000001</v>
      </c>
      <c r="L32" s="423">
        <f t="shared" si="3"/>
        <v>19687.241600000001</v>
      </c>
      <c r="M32" s="291">
        <v>0.04</v>
      </c>
      <c r="N32" s="424">
        <f t="shared" si="2"/>
        <v>787.48966400000006</v>
      </c>
      <c r="O32" s="423">
        <f t="shared" si="4"/>
        <v>20474.731264000002</v>
      </c>
      <c r="P32" s="423">
        <f t="shared" si="5"/>
        <v>0</v>
      </c>
      <c r="Q32" s="423">
        <f t="shared" si="6"/>
        <v>1544.691264</v>
      </c>
    </row>
    <row r="33" spans="1:17" s="24" customFormat="1">
      <c r="A33" s="6">
        <v>23</v>
      </c>
      <c r="B33" s="24" t="s">
        <v>1323</v>
      </c>
      <c r="C33" s="799">
        <v>29010</v>
      </c>
      <c r="D33" s="431">
        <v>93952.320000000007</v>
      </c>
      <c r="G33" s="291"/>
      <c r="H33" s="423">
        <f t="shared" si="0"/>
        <v>0</v>
      </c>
      <c r="I33" s="423">
        <f t="shared" si="1"/>
        <v>93952.320000000007</v>
      </c>
      <c r="J33" s="291">
        <v>0.04</v>
      </c>
      <c r="K33" s="423">
        <f t="shared" si="8"/>
        <v>3758.0928000000004</v>
      </c>
      <c r="L33" s="423">
        <f t="shared" si="3"/>
        <v>97710.412800000006</v>
      </c>
      <c r="M33" s="291">
        <v>0.04</v>
      </c>
      <c r="N33" s="424">
        <f t="shared" si="2"/>
        <v>3908.4165120000002</v>
      </c>
      <c r="O33" s="423">
        <f t="shared" si="4"/>
        <v>101618.829312</v>
      </c>
      <c r="P33" s="423">
        <f t="shared" si="5"/>
        <v>0</v>
      </c>
      <c r="Q33" s="423">
        <f t="shared" si="6"/>
        <v>7666.5093120000001</v>
      </c>
    </row>
    <row r="34" spans="1:17" s="24" customFormat="1">
      <c r="A34" s="6">
        <v>24</v>
      </c>
      <c r="B34" s="24" t="s">
        <v>1317</v>
      </c>
      <c r="C34" s="799">
        <v>29020</v>
      </c>
      <c r="D34" s="431">
        <v>91331.83</v>
      </c>
      <c r="G34" s="291"/>
      <c r="H34" s="423">
        <f t="shared" si="0"/>
        <v>0</v>
      </c>
      <c r="I34" s="423">
        <f t="shared" si="1"/>
        <v>91331.83</v>
      </c>
      <c r="J34" s="291">
        <v>0.04</v>
      </c>
      <c r="K34" s="423">
        <f t="shared" si="8"/>
        <v>3653.2732000000001</v>
      </c>
      <c r="L34" s="423">
        <f t="shared" si="3"/>
        <v>94985.103199999998</v>
      </c>
      <c r="M34" s="291">
        <v>0.04</v>
      </c>
      <c r="N34" s="424">
        <f t="shared" si="2"/>
        <v>3799.4041280000001</v>
      </c>
      <c r="O34" s="423">
        <f t="shared" si="4"/>
        <v>98784.507327999992</v>
      </c>
      <c r="P34" s="423">
        <f t="shared" si="5"/>
        <v>0</v>
      </c>
      <c r="Q34" s="423">
        <f t="shared" si="6"/>
        <v>7452.6773279999998</v>
      </c>
    </row>
    <row r="35" spans="1:17" s="24" customFormat="1">
      <c r="A35" s="26">
        <v>25</v>
      </c>
      <c r="B35" s="24" t="s">
        <v>1318</v>
      </c>
      <c r="C35" s="799" t="s">
        <v>708</v>
      </c>
      <c r="D35" s="800">
        <v>2313680.7000000002</v>
      </c>
      <c r="G35" s="291"/>
      <c r="H35" s="423">
        <f t="shared" si="0"/>
        <v>0</v>
      </c>
      <c r="I35" s="423">
        <f t="shared" si="1"/>
        <v>2313680.7000000002</v>
      </c>
      <c r="J35" s="291">
        <v>0.04</v>
      </c>
      <c r="K35" s="423">
        <f t="shared" si="8"/>
        <v>92547.228000000003</v>
      </c>
      <c r="L35" s="423">
        <f t="shared" si="3"/>
        <v>2406227.9280000003</v>
      </c>
      <c r="M35" s="291">
        <v>0.04</v>
      </c>
      <c r="N35" s="424">
        <f t="shared" si="2"/>
        <v>96249.11712000001</v>
      </c>
      <c r="O35" s="423">
        <f t="shared" si="4"/>
        <v>2502477.0451200004</v>
      </c>
      <c r="P35" s="423">
        <f t="shared" si="5"/>
        <v>0</v>
      </c>
      <c r="Q35" s="423">
        <f t="shared" si="6"/>
        <v>188796.34512000001</v>
      </c>
    </row>
    <row r="36" spans="1:17" s="24" customFormat="1">
      <c r="A36" s="6">
        <v>26</v>
      </c>
      <c r="B36" s="24" t="s">
        <v>1333</v>
      </c>
      <c r="C36" s="799">
        <v>29080</v>
      </c>
      <c r="D36" s="800">
        <v>461845.34</v>
      </c>
      <c r="G36" s="291"/>
      <c r="H36" s="423">
        <f t="shared" si="0"/>
        <v>0</v>
      </c>
      <c r="I36" s="423">
        <f t="shared" si="1"/>
        <v>461845.34</v>
      </c>
      <c r="J36" s="291">
        <v>0.04</v>
      </c>
      <c r="K36" s="423">
        <f t="shared" si="8"/>
        <v>18473.813600000001</v>
      </c>
      <c r="L36" s="423">
        <f t="shared" si="3"/>
        <v>480319.15360000002</v>
      </c>
      <c r="M36" s="291">
        <v>0.04</v>
      </c>
      <c r="N36" s="424">
        <f t="shared" si="2"/>
        <v>19212.766144000001</v>
      </c>
      <c r="O36" s="423">
        <f t="shared" si="4"/>
        <v>499531.91974400001</v>
      </c>
      <c r="P36" s="423">
        <f t="shared" si="5"/>
        <v>0</v>
      </c>
      <c r="Q36" s="423">
        <f t="shared" si="6"/>
        <v>37686.579744000002</v>
      </c>
    </row>
    <row r="37" spans="1:17" s="24" customFormat="1">
      <c r="A37" s="6">
        <v>27</v>
      </c>
      <c r="B37" s="24" t="s">
        <v>1331</v>
      </c>
      <c r="C37" s="799">
        <v>29100</v>
      </c>
      <c r="D37" s="800">
        <v>237878.66</v>
      </c>
      <c r="G37" s="291"/>
      <c r="H37" s="423">
        <f t="shared" si="0"/>
        <v>0</v>
      </c>
      <c r="I37" s="423">
        <f t="shared" si="1"/>
        <v>237878.66</v>
      </c>
      <c r="J37" s="291">
        <v>0.04</v>
      </c>
      <c r="K37" s="423">
        <f t="shared" si="8"/>
        <v>9515.1463999999996</v>
      </c>
      <c r="L37" s="423">
        <f t="shared" si="3"/>
        <v>247393.8064</v>
      </c>
      <c r="M37" s="291">
        <v>0.04</v>
      </c>
      <c r="N37" s="424">
        <f t="shared" si="2"/>
        <v>9895.7522559999998</v>
      </c>
      <c r="O37" s="423">
        <f t="shared" si="4"/>
        <v>257289.55865600001</v>
      </c>
      <c r="P37" s="423">
        <f t="shared" si="5"/>
        <v>0</v>
      </c>
      <c r="Q37" s="423">
        <f t="shared" si="6"/>
        <v>19410.898655999998</v>
      </c>
    </row>
    <row r="38" spans="1:17" s="24" customFormat="1">
      <c r="A38" s="26">
        <v>28</v>
      </c>
      <c r="B38" s="24" t="s">
        <v>2226</v>
      </c>
      <c r="C38" s="799">
        <v>29120</v>
      </c>
      <c r="D38" s="800">
        <v>2672</v>
      </c>
      <c r="G38" s="291"/>
      <c r="H38" s="423">
        <f t="shared" si="0"/>
        <v>0</v>
      </c>
      <c r="I38" s="423">
        <f t="shared" si="1"/>
        <v>2672</v>
      </c>
      <c r="J38" s="291">
        <v>0.04</v>
      </c>
      <c r="K38" s="423">
        <f t="shared" si="8"/>
        <v>106.88</v>
      </c>
      <c r="L38" s="423">
        <f t="shared" si="3"/>
        <v>2778.88</v>
      </c>
      <c r="M38" s="291">
        <v>0.04</v>
      </c>
      <c r="N38" s="424">
        <f t="shared" si="2"/>
        <v>111.15520000000001</v>
      </c>
      <c r="O38" s="423">
        <f t="shared" si="4"/>
        <v>2890.0352000000003</v>
      </c>
      <c r="P38" s="423">
        <f t="shared" si="5"/>
        <v>0</v>
      </c>
      <c r="Q38" s="423">
        <f t="shared" si="6"/>
        <v>218.0352</v>
      </c>
    </row>
    <row r="39" spans="1:17" s="24" customFormat="1">
      <c r="A39" s="6">
        <v>29</v>
      </c>
      <c r="B39" s="24" t="s">
        <v>1319</v>
      </c>
      <c r="C39" s="799" t="s">
        <v>709</v>
      </c>
      <c r="D39" s="800">
        <v>2791420.733</v>
      </c>
      <c r="G39" s="291"/>
      <c r="H39" s="423">
        <f t="shared" si="0"/>
        <v>0</v>
      </c>
      <c r="I39" s="423">
        <f t="shared" si="1"/>
        <v>2791420.733</v>
      </c>
      <c r="J39" s="291">
        <v>0.04</v>
      </c>
      <c r="K39" s="423">
        <f t="shared" si="8"/>
        <v>111656.82932</v>
      </c>
      <c r="L39" s="423">
        <f t="shared" si="3"/>
        <v>2903077.56232</v>
      </c>
      <c r="M39" s="291">
        <v>0.04</v>
      </c>
      <c r="N39" s="424">
        <f t="shared" si="2"/>
        <v>116123.1024928</v>
      </c>
      <c r="O39" s="423">
        <f t="shared" si="4"/>
        <v>3019200.6648128</v>
      </c>
      <c r="P39" s="423">
        <f t="shared" si="5"/>
        <v>0</v>
      </c>
      <c r="Q39" s="423">
        <f t="shared" si="6"/>
        <v>227779.9318128</v>
      </c>
    </row>
    <row r="40" spans="1:17" s="24" customFormat="1">
      <c r="A40" s="6">
        <v>30</v>
      </c>
      <c r="B40" s="24" t="s">
        <v>2225</v>
      </c>
      <c r="C40" s="799">
        <v>29210</v>
      </c>
      <c r="D40" s="800">
        <v>371.45</v>
      </c>
      <c r="G40" s="291"/>
      <c r="H40" s="423">
        <f t="shared" si="0"/>
        <v>0</v>
      </c>
      <c r="I40" s="423">
        <f t="shared" si="1"/>
        <v>371.45</v>
      </c>
      <c r="J40" s="291">
        <v>0.04</v>
      </c>
      <c r="K40" s="423">
        <f t="shared" si="8"/>
        <v>14.858000000000001</v>
      </c>
      <c r="L40" s="423">
        <f t="shared" si="3"/>
        <v>386.30799999999999</v>
      </c>
      <c r="M40" s="291">
        <v>0.04</v>
      </c>
      <c r="N40" s="424">
        <f t="shared" si="2"/>
        <v>15.45232</v>
      </c>
      <c r="O40" s="423">
        <f t="shared" si="4"/>
        <v>401.76031999999998</v>
      </c>
      <c r="P40" s="423">
        <f t="shared" si="5"/>
        <v>0</v>
      </c>
      <c r="Q40" s="423">
        <f t="shared" si="6"/>
        <v>30.310320000000001</v>
      </c>
    </row>
    <row r="41" spans="1:17">
      <c r="A41" s="26">
        <v>31</v>
      </c>
      <c r="B41" s="24" t="s">
        <v>1334</v>
      </c>
      <c r="C41" s="799">
        <v>29260</v>
      </c>
      <c r="D41" s="466">
        <v>4146.87</v>
      </c>
      <c r="E41" s="24"/>
      <c r="F41" s="24"/>
      <c r="G41" s="291"/>
      <c r="H41" s="423">
        <f t="shared" si="0"/>
        <v>0</v>
      </c>
      <c r="I41" s="434">
        <f t="shared" si="1"/>
        <v>4146.87</v>
      </c>
      <c r="J41" s="291">
        <v>0.04</v>
      </c>
      <c r="K41" s="423">
        <f t="shared" si="8"/>
        <v>165.87479999999999</v>
      </c>
      <c r="L41" s="423">
        <f t="shared" si="3"/>
        <v>4312.7447999999995</v>
      </c>
      <c r="M41" s="291">
        <v>0.04</v>
      </c>
      <c r="N41" s="424">
        <f t="shared" si="2"/>
        <v>172.50979199999998</v>
      </c>
      <c r="O41" s="423">
        <f t="shared" si="4"/>
        <v>4485.2545919999993</v>
      </c>
      <c r="P41" s="423">
        <f t="shared" si="5"/>
        <v>0</v>
      </c>
      <c r="Q41" s="423">
        <f t="shared" si="6"/>
        <v>338.384592</v>
      </c>
    </row>
    <row r="42" spans="1:17">
      <c r="A42" s="6">
        <v>32</v>
      </c>
      <c r="B42" s="24"/>
      <c r="C42" s="24"/>
      <c r="D42" s="432">
        <f>SUM(D20:D41)</f>
        <v>9796448.2129999977</v>
      </c>
      <c r="E42" s="24"/>
      <c r="F42" s="432">
        <f>SUM(F20:F41)</f>
        <v>0</v>
      </c>
      <c r="G42" s="24"/>
      <c r="H42" s="432">
        <f>SUM(H20:H41)</f>
        <v>0</v>
      </c>
      <c r="I42" s="432">
        <f>SUM(I20:I41)</f>
        <v>9796448.2129999977</v>
      </c>
      <c r="J42" s="24"/>
      <c r="K42" s="432">
        <f>SUM(K20:K41)</f>
        <v>391857.92852000007</v>
      </c>
      <c r="L42" s="432">
        <f>SUM(L20:L41)</f>
        <v>10188306.141519999</v>
      </c>
      <c r="M42" s="24"/>
      <c r="N42" s="432">
        <f>SUM(N20:N41)</f>
        <v>407532.24566079996</v>
      </c>
      <c r="O42" s="432">
        <f>SUM(O20:O41)</f>
        <v>10595838.3871808</v>
      </c>
      <c r="P42" s="432">
        <f>SUM(P20:P41)</f>
        <v>0</v>
      </c>
      <c r="Q42" s="432">
        <f>SUM(Q20:Q41)</f>
        <v>799390.17418080021</v>
      </c>
    </row>
    <row r="43" spans="1:17">
      <c r="A43" s="6" t="s">
        <v>799</v>
      </c>
      <c r="B43" s="24" t="s">
        <v>694</v>
      </c>
      <c r="C43" s="24"/>
      <c r="D43" s="24"/>
      <c r="E43" s="24"/>
      <c r="F43" s="24"/>
      <c r="G43" s="24"/>
      <c r="H43" s="24"/>
      <c r="I43" s="24"/>
      <c r="J43" s="24"/>
      <c r="K43" s="24"/>
      <c r="L43" s="24"/>
      <c r="M43" s="24"/>
      <c r="N43" s="24"/>
      <c r="O43" s="24"/>
      <c r="P43" s="24"/>
      <c r="Q43" s="24"/>
    </row>
    <row r="44" spans="1:17" s="24" customFormat="1">
      <c r="A44" s="26">
        <v>33</v>
      </c>
      <c r="B44" s="24" t="s">
        <v>1320</v>
      </c>
      <c r="C44" s="801">
        <v>28700</v>
      </c>
      <c r="D44" s="432">
        <v>1287.03</v>
      </c>
      <c r="F44" s="24">
        <v>0</v>
      </c>
      <c r="G44" s="291">
        <v>0.03</v>
      </c>
      <c r="H44" s="423">
        <f t="shared" ref="H44:H49" si="9">+F44*G44</f>
        <v>0</v>
      </c>
      <c r="I44" s="423">
        <f t="shared" ref="I44" si="10">+D44+H44</f>
        <v>1287.03</v>
      </c>
      <c r="J44" s="291">
        <v>0.03</v>
      </c>
      <c r="K44" s="423">
        <f t="shared" ref="K44" si="11">+I44*J44</f>
        <v>38.610900000000001</v>
      </c>
      <c r="L44" s="423">
        <f t="shared" ref="L44" si="12">+I44+K44</f>
        <v>1325.6408999999999</v>
      </c>
      <c r="M44" s="291">
        <v>0.03</v>
      </c>
      <c r="N44" s="424">
        <f t="shared" ref="N44" si="13">+L44*M44</f>
        <v>39.769226999999994</v>
      </c>
      <c r="O44" s="424">
        <f>+L44+N44</f>
        <v>1365.4101269999999</v>
      </c>
      <c r="P44" s="423">
        <f t="shared" ref="P44" si="14">+H44</f>
        <v>0</v>
      </c>
      <c r="Q44" s="423">
        <f>+N44+K44</f>
        <v>78.380126999999987</v>
      </c>
    </row>
    <row r="45" spans="1:17" s="24" customFormat="1">
      <c r="A45" s="26">
        <v>34</v>
      </c>
      <c r="B45" s="24" t="s">
        <v>195</v>
      </c>
      <c r="C45" s="801" t="s">
        <v>697</v>
      </c>
      <c r="D45" s="431">
        <v>48252.92</v>
      </c>
      <c r="F45" s="301">
        <v>19377.68</v>
      </c>
      <c r="G45" s="291">
        <v>0.03</v>
      </c>
      <c r="H45" s="423">
        <f t="shared" si="9"/>
        <v>581.33039999999994</v>
      </c>
      <c r="I45" s="423">
        <f t="shared" ref="I45:I65" si="15">+D45+H45</f>
        <v>48834.250399999997</v>
      </c>
      <c r="J45" s="291">
        <v>0.03</v>
      </c>
      <c r="K45" s="423">
        <f t="shared" ref="K45:K65" si="16">+I45*J45</f>
        <v>1465.0275119999999</v>
      </c>
      <c r="L45" s="423">
        <f t="shared" ref="L45:L64" si="17">+I45+K45</f>
        <v>50299.277911999998</v>
      </c>
      <c r="M45" s="291">
        <v>0.03</v>
      </c>
      <c r="N45" s="424">
        <f t="shared" ref="N45:N64" si="18">+L45*M45</f>
        <v>1508.9783373599998</v>
      </c>
      <c r="O45" s="424">
        <f>+L45+N45</f>
        <v>51808.256249359998</v>
      </c>
      <c r="P45" s="423">
        <f t="shared" ref="P45:P65" si="19">+H45</f>
        <v>581.33039999999994</v>
      </c>
      <c r="Q45" s="423">
        <f>+N45+K45</f>
        <v>2974.00584936</v>
      </c>
    </row>
    <row r="46" spans="1:17" s="24" customFormat="1">
      <c r="A46" s="26">
        <v>35</v>
      </c>
      <c r="B46" s="24" t="s">
        <v>1336</v>
      </c>
      <c r="C46" s="801" t="s">
        <v>710</v>
      </c>
      <c r="D46" s="431">
        <v>21804.45</v>
      </c>
      <c r="F46" s="301">
        <v>4790.26</v>
      </c>
      <c r="G46" s="291">
        <v>0.03</v>
      </c>
      <c r="H46" s="423">
        <f t="shared" si="9"/>
        <v>143.70779999999999</v>
      </c>
      <c r="I46" s="423">
        <f t="shared" si="15"/>
        <v>21948.157800000001</v>
      </c>
      <c r="J46" s="291">
        <v>0.03</v>
      </c>
      <c r="K46" s="423">
        <f t="shared" si="16"/>
        <v>658.44473400000004</v>
      </c>
      <c r="L46" s="423">
        <f t="shared" si="17"/>
        <v>22606.602534000001</v>
      </c>
      <c r="M46" s="291">
        <v>0.03</v>
      </c>
      <c r="N46" s="424">
        <f t="shared" si="18"/>
        <v>678.19807602000003</v>
      </c>
      <c r="O46" s="424">
        <f t="shared" ref="O46:O61" si="20">+L46+N46</f>
        <v>23284.80061002</v>
      </c>
      <c r="P46" s="423">
        <f t="shared" si="19"/>
        <v>143.70779999999999</v>
      </c>
      <c r="Q46" s="423">
        <f t="shared" ref="Q46:Q65" si="21">+N46+K46</f>
        <v>1336.6428100200001</v>
      </c>
    </row>
    <row r="47" spans="1:17" s="24" customFormat="1">
      <c r="A47" s="26">
        <v>36</v>
      </c>
      <c r="B47" s="24" t="str">
        <f>+B24</f>
        <v>Routine Main/Service Operation</v>
      </c>
      <c r="C47" s="801" t="s">
        <v>698</v>
      </c>
      <c r="D47" s="431">
        <v>2108300.17</v>
      </c>
      <c r="F47" s="301">
        <v>519275.66</v>
      </c>
      <c r="G47" s="291">
        <v>0.03</v>
      </c>
      <c r="H47" s="423">
        <f t="shared" si="9"/>
        <v>15578.269799999998</v>
      </c>
      <c r="I47" s="423">
        <f t="shared" si="15"/>
        <v>2123878.4397999998</v>
      </c>
      <c r="J47" s="291">
        <v>0.03</v>
      </c>
      <c r="K47" s="423">
        <f t="shared" si="16"/>
        <v>63716.353193999996</v>
      </c>
      <c r="L47" s="423">
        <f t="shared" si="17"/>
        <v>2187594.792994</v>
      </c>
      <c r="M47" s="291">
        <v>0.03</v>
      </c>
      <c r="N47" s="424">
        <f t="shared" si="18"/>
        <v>65627.843789819992</v>
      </c>
      <c r="O47" s="424">
        <f t="shared" si="20"/>
        <v>2253222.6367838201</v>
      </c>
      <c r="P47" s="423">
        <f t="shared" si="19"/>
        <v>15578.269799999998</v>
      </c>
      <c r="Q47" s="423">
        <f t="shared" si="21"/>
        <v>129344.19698381999</v>
      </c>
    </row>
    <row r="48" spans="1:17" s="24" customFormat="1">
      <c r="A48" s="26">
        <v>37</v>
      </c>
      <c r="B48" s="24" t="s">
        <v>1326</v>
      </c>
      <c r="C48" s="801" t="s">
        <v>711</v>
      </c>
      <c r="D48" s="431">
        <v>166198.94</v>
      </c>
      <c r="F48" s="301">
        <v>50169.81</v>
      </c>
      <c r="G48" s="291">
        <v>0.03</v>
      </c>
      <c r="H48" s="423">
        <f t="shared" si="9"/>
        <v>1505.0943</v>
      </c>
      <c r="I48" s="423">
        <f t="shared" si="15"/>
        <v>167704.0343</v>
      </c>
      <c r="J48" s="291">
        <v>0.03</v>
      </c>
      <c r="K48" s="423">
        <f t="shared" si="16"/>
        <v>5031.1210289999999</v>
      </c>
      <c r="L48" s="423">
        <f t="shared" si="17"/>
        <v>172735.155329</v>
      </c>
      <c r="M48" s="291">
        <v>0.03</v>
      </c>
      <c r="N48" s="424">
        <f t="shared" si="18"/>
        <v>5182.0546598700003</v>
      </c>
      <c r="O48" s="424">
        <f t="shared" si="20"/>
        <v>177917.20998886999</v>
      </c>
      <c r="P48" s="423">
        <f t="shared" si="19"/>
        <v>1505.0943</v>
      </c>
      <c r="Q48" s="423">
        <f t="shared" si="21"/>
        <v>10213.17568887</v>
      </c>
    </row>
    <row r="49" spans="1:17" s="24" customFormat="1">
      <c r="A49" s="26">
        <v>38</v>
      </c>
      <c r="B49" s="24" t="s">
        <v>1327</v>
      </c>
      <c r="C49" s="801" t="s">
        <v>712</v>
      </c>
      <c r="D49" s="431">
        <v>87276.54</v>
      </c>
      <c r="F49" s="301">
        <v>23467.43</v>
      </c>
      <c r="G49" s="291">
        <v>0.03</v>
      </c>
      <c r="H49" s="423">
        <f t="shared" si="9"/>
        <v>704.02289999999994</v>
      </c>
      <c r="I49" s="423">
        <f t="shared" si="15"/>
        <v>87980.56289999999</v>
      </c>
      <c r="J49" s="291">
        <v>0.03</v>
      </c>
      <c r="K49" s="423">
        <f t="shared" si="16"/>
        <v>2639.4168869999994</v>
      </c>
      <c r="L49" s="423">
        <f t="shared" si="17"/>
        <v>90619.979786999989</v>
      </c>
      <c r="M49" s="291">
        <v>0.03</v>
      </c>
      <c r="N49" s="424">
        <f t="shared" si="18"/>
        <v>2718.5993936099994</v>
      </c>
      <c r="O49" s="424">
        <f t="shared" si="20"/>
        <v>93338.579180609988</v>
      </c>
      <c r="P49" s="423">
        <f t="shared" si="19"/>
        <v>704.02289999999994</v>
      </c>
      <c r="Q49" s="423">
        <f t="shared" si="21"/>
        <v>5358.0162806099988</v>
      </c>
    </row>
    <row r="50" spans="1:17" s="24" customFormat="1">
      <c r="A50" s="26">
        <v>39</v>
      </c>
      <c r="B50" s="24" t="s">
        <v>1328</v>
      </c>
      <c r="C50" s="801" t="s">
        <v>699</v>
      </c>
      <c r="D50" s="431">
        <v>915293.16</v>
      </c>
      <c r="F50" s="301">
        <v>229776.52</v>
      </c>
      <c r="G50" s="291">
        <v>0.03</v>
      </c>
      <c r="H50" s="423">
        <f t="shared" ref="H50:H65" si="22">+F50*G50</f>
        <v>6893.2955999999995</v>
      </c>
      <c r="I50" s="423">
        <f t="shared" si="15"/>
        <v>922186.45559999999</v>
      </c>
      <c r="J50" s="291">
        <v>0.03</v>
      </c>
      <c r="K50" s="423">
        <f t="shared" si="16"/>
        <v>27665.593667999998</v>
      </c>
      <c r="L50" s="423">
        <f t="shared" si="17"/>
        <v>949852.04926799994</v>
      </c>
      <c r="M50" s="291">
        <v>0.03</v>
      </c>
      <c r="N50" s="424">
        <f t="shared" si="18"/>
        <v>28495.561478039996</v>
      </c>
      <c r="O50" s="424">
        <f t="shared" si="20"/>
        <v>978347.61074603989</v>
      </c>
      <c r="P50" s="423">
        <f t="shared" si="19"/>
        <v>6893.2955999999995</v>
      </c>
      <c r="Q50" s="423">
        <f t="shared" si="21"/>
        <v>56161.155146039993</v>
      </c>
    </row>
    <row r="51" spans="1:17" s="24" customFormat="1">
      <c r="A51" s="26">
        <v>40</v>
      </c>
      <c r="B51" s="24" t="s">
        <v>1329</v>
      </c>
      <c r="C51" s="801" t="s">
        <v>700</v>
      </c>
      <c r="D51" s="431">
        <v>615370.34</v>
      </c>
      <c r="F51" s="301">
        <v>179612.83</v>
      </c>
      <c r="G51" s="291">
        <v>0.03</v>
      </c>
      <c r="H51" s="423">
        <f t="shared" si="22"/>
        <v>5388.3848999999991</v>
      </c>
      <c r="I51" s="423">
        <f t="shared" si="15"/>
        <v>620758.72489999991</v>
      </c>
      <c r="J51" s="291">
        <v>0.03</v>
      </c>
      <c r="K51" s="423">
        <f t="shared" si="16"/>
        <v>18622.761746999997</v>
      </c>
      <c r="L51" s="423">
        <f t="shared" si="17"/>
        <v>639381.48664699995</v>
      </c>
      <c r="M51" s="291">
        <v>0.03</v>
      </c>
      <c r="N51" s="424">
        <f t="shared" si="18"/>
        <v>19181.444599409999</v>
      </c>
      <c r="O51" s="424">
        <f t="shared" si="20"/>
        <v>658562.93124641001</v>
      </c>
      <c r="P51" s="423">
        <f t="shared" si="19"/>
        <v>5388.3848999999991</v>
      </c>
      <c r="Q51" s="423">
        <f t="shared" si="21"/>
        <v>37804.206346409992</v>
      </c>
    </row>
    <row r="52" spans="1:17" s="24" customFormat="1">
      <c r="A52" s="26">
        <v>41</v>
      </c>
      <c r="B52" s="24" t="s">
        <v>1314</v>
      </c>
      <c r="C52" s="801" t="s">
        <v>701</v>
      </c>
      <c r="D52" s="431">
        <v>2535799.42</v>
      </c>
      <c r="F52" s="301">
        <v>706560.89</v>
      </c>
      <c r="G52" s="291">
        <v>0.03</v>
      </c>
      <c r="H52" s="423">
        <f t="shared" si="22"/>
        <v>21196.826700000001</v>
      </c>
      <c r="I52" s="423">
        <f t="shared" si="15"/>
        <v>2556996.2467</v>
      </c>
      <c r="J52" s="291">
        <v>0.03</v>
      </c>
      <c r="K52" s="423">
        <f t="shared" si="16"/>
        <v>76709.887401</v>
      </c>
      <c r="L52" s="423">
        <f t="shared" si="17"/>
        <v>2633706.1341010001</v>
      </c>
      <c r="M52" s="291">
        <v>0.03</v>
      </c>
      <c r="N52" s="424">
        <f t="shared" si="18"/>
        <v>79011.18402303</v>
      </c>
      <c r="O52" s="424">
        <f t="shared" si="20"/>
        <v>2712717.3181240303</v>
      </c>
      <c r="P52" s="423">
        <f t="shared" si="19"/>
        <v>21196.826700000001</v>
      </c>
      <c r="Q52" s="423">
        <f t="shared" si="21"/>
        <v>155721.07142403</v>
      </c>
    </row>
    <row r="53" spans="1:17" s="24" customFormat="1">
      <c r="A53" s="26">
        <v>42</v>
      </c>
      <c r="B53" s="24" t="str">
        <f>+B28</f>
        <v>Mains-Maintenance</v>
      </c>
      <c r="C53" s="801" t="s">
        <v>702</v>
      </c>
      <c r="D53" s="431">
        <v>525265.23</v>
      </c>
      <c r="F53" s="301">
        <v>126660.95</v>
      </c>
      <c r="G53" s="291">
        <v>0.03</v>
      </c>
      <c r="H53" s="423">
        <f t="shared" si="22"/>
        <v>3799.8284999999996</v>
      </c>
      <c r="I53" s="423">
        <f t="shared" si="15"/>
        <v>529065.05849999993</v>
      </c>
      <c r="J53" s="291">
        <v>0.03</v>
      </c>
      <c r="K53" s="423">
        <f t="shared" si="16"/>
        <v>15871.951754999996</v>
      </c>
      <c r="L53" s="423">
        <f t="shared" si="17"/>
        <v>544937.01025499997</v>
      </c>
      <c r="M53" s="291">
        <v>0.03</v>
      </c>
      <c r="N53" s="424">
        <f t="shared" si="18"/>
        <v>16348.110307649999</v>
      </c>
      <c r="O53" s="424">
        <f t="shared" si="20"/>
        <v>561285.12056264991</v>
      </c>
      <c r="P53" s="423">
        <f t="shared" si="19"/>
        <v>3799.8284999999996</v>
      </c>
      <c r="Q53" s="423">
        <f t="shared" si="21"/>
        <v>32220.062062649995</v>
      </c>
    </row>
    <row r="54" spans="1:17" s="24" customFormat="1">
      <c r="A54" s="26">
        <v>43</v>
      </c>
      <c r="B54" s="24" t="s">
        <v>1335</v>
      </c>
      <c r="C54" s="801" t="s">
        <v>713</v>
      </c>
      <c r="D54" s="431">
        <v>56815.88</v>
      </c>
      <c r="F54" s="301">
        <v>13653.52</v>
      </c>
      <c r="G54" s="291">
        <v>0.03</v>
      </c>
      <c r="H54" s="423">
        <f t="shared" si="22"/>
        <v>409.60559999999998</v>
      </c>
      <c r="I54" s="423">
        <f t="shared" si="15"/>
        <v>57225.4856</v>
      </c>
      <c r="J54" s="291">
        <v>0.03</v>
      </c>
      <c r="K54" s="423">
        <f t="shared" si="16"/>
        <v>1716.7645679999998</v>
      </c>
      <c r="L54" s="423">
        <f t="shared" si="17"/>
        <v>58942.250167999999</v>
      </c>
      <c r="M54" s="291">
        <v>0.03</v>
      </c>
      <c r="N54" s="424">
        <f t="shared" si="18"/>
        <v>1768.2675050399998</v>
      </c>
      <c r="O54" s="424">
        <f t="shared" si="20"/>
        <v>60710.517673039998</v>
      </c>
      <c r="P54" s="423">
        <f t="shared" si="19"/>
        <v>409.60559999999998</v>
      </c>
      <c r="Q54" s="423">
        <f t="shared" si="21"/>
        <v>3485.0320730399999</v>
      </c>
    </row>
    <row r="55" spans="1:17" s="24" customFormat="1">
      <c r="A55" s="26">
        <v>44</v>
      </c>
      <c r="B55" s="24" t="str">
        <f>+B30</f>
        <v>Station &amp; Odorizer Station</v>
      </c>
      <c r="C55" s="801" t="s">
        <v>703</v>
      </c>
      <c r="D55" s="431">
        <v>235823.44</v>
      </c>
      <c r="F55" s="301">
        <v>71401.27</v>
      </c>
      <c r="G55" s="291">
        <v>0.03</v>
      </c>
      <c r="H55" s="423">
        <f t="shared" si="22"/>
        <v>2142.0381000000002</v>
      </c>
      <c r="I55" s="423">
        <f t="shared" si="15"/>
        <v>237965.47810000001</v>
      </c>
      <c r="J55" s="291">
        <v>0.03</v>
      </c>
      <c r="K55" s="423">
        <f t="shared" si="16"/>
        <v>7138.9643429999996</v>
      </c>
      <c r="L55" s="423">
        <f t="shared" si="17"/>
        <v>245104.44244300001</v>
      </c>
      <c r="M55" s="291">
        <v>0.03</v>
      </c>
      <c r="N55" s="424">
        <f t="shared" si="18"/>
        <v>7353.13327329</v>
      </c>
      <c r="O55" s="424">
        <f t="shared" si="20"/>
        <v>252457.57571629001</v>
      </c>
      <c r="P55" s="423">
        <f t="shared" si="19"/>
        <v>2142.0381000000002</v>
      </c>
      <c r="Q55" s="423">
        <f t="shared" si="21"/>
        <v>14492.097616290001</v>
      </c>
    </row>
    <row r="56" spans="1:17" s="24" customFormat="1">
      <c r="A56" s="26">
        <v>45</v>
      </c>
      <c r="B56" s="24" t="s">
        <v>1332</v>
      </c>
      <c r="C56" s="801" t="s">
        <v>704</v>
      </c>
      <c r="D56" s="431">
        <v>25640.68</v>
      </c>
      <c r="F56" s="301">
        <v>3020.59</v>
      </c>
      <c r="G56" s="291">
        <v>0.03</v>
      </c>
      <c r="H56" s="423">
        <f t="shared" si="22"/>
        <v>90.617699999999999</v>
      </c>
      <c r="I56" s="423">
        <f t="shared" si="15"/>
        <v>25731.297699999999</v>
      </c>
      <c r="J56" s="291">
        <v>0.03</v>
      </c>
      <c r="K56" s="423">
        <f t="shared" si="16"/>
        <v>771.93893099999991</v>
      </c>
      <c r="L56" s="423">
        <f t="shared" si="17"/>
        <v>26503.236631</v>
      </c>
      <c r="M56" s="291">
        <v>0.03</v>
      </c>
      <c r="N56" s="424">
        <f t="shared" si="18"/>
        <v>795.09709893000002</v>
      </c>
      <c r="O56" s="424">
        <f t="shared" si="20"/>
        <v>27298.33372993</v>
      </c>
      <c r="P56" s="423">
        <f t="shared" si="19"/>
        <v>90.617699999999999</v>
      </c>
      <c r="Q56" s="423">
        <f t="shared" si="21"/>
        <v>1567.03602993</v>
      </c>
    </row>
    <row r="57" spans="1:17" s="24" customFormat="1">
      <c r="A57" s="26">
        <v>46</v>
      </c>
      <c r="B57" s="24" t="str">
        <f>+B31</f>
        <v>Service</v>
      </c>
      <c r="C57" s="801" t="s">
        <v>705</v>
      </c>
      <c r="D57" s="431">
        <v>793387.64</v>
      </c>
      <c r="F57" s="301">
        <v>204008.03</v>
      </c>
      <c r="G57" s="291">
        <v>0.03</v>
      </c>
      <c r="H57" s="423">
        <f t="shared" si="22"/>
        <v>6120.2408999999998</v>
      </c>
      <c r="I57" s="423">
        <f t="shared" si="15"/>
        <v>799507.88089999999</v>
      </c>
      <c r="J57" s="291">
        <v>0.03</v>
      </c>
      <c r="K57" s="423">
        <f t="shared" si="16"/>
        <v>23985.236427</v>
      </c>
      <c r="L57" s="423">
        <f t="shared" si="17"/>
        <v>823493.11732700001</v>
      </c>
      <c r="M57" s="291">
        <v>0.03</v>
      </c>
      <c r="N57" s="424">
        <f t="shared" si="18"/>
        <v>24704.793519809999</v>
      </c>
      <c r="O57" s="424">
        <f t="shared" si="20"/>
        <v>848197.91084680997</v>
      </c>
      <c r="P57" s="423">
        <f t="shared" si="19"/>
        <v>6120.2408999999998</v>
      </c>
      <c r="Q57" s="423">
        <f t="shared" si="21"/>
        <v>48690.029946809998</v>
      </c>
    </row>
    <row r="58" spans="1:17" s="24" customFormat="1">
      <c r="A58" s="26">
        <v>47</v>
      </c>
      <c r="B58" s="24" t="s">
        <v>1324</v>
      </c>
      <c r="C58" s="801" t="s">
        <v>706</v>
      </c>
      <c r="D58" s="431">
        <v>689855.71</v>
      </c>
      <c r="F58" s="301">
        <v>170799.2</v>
      </c>
      <c r="G58" s="291">
        <v>0.03</v>
      </c>
      <c r="H58" s="423">
        <f t="shared" si="22"/>
        <v>5123.9760000000006</v>
      </c>
      <c r="I58" s="423">
        <f t="shared" si="15"/>
        <v>694979.68599999999</v>
      </c>
      <c r="J58" s="291">
        <v>0.03</v>
      </c>
      <c r="K58" s="423">
        <f t="shared" si="16"/>
        <v>20849.390579999999</v>
      </c>
      <c r="L58" s="423">
        <f t="shared" si="17"/>
        <v>715829.07657999999</v>
      </c>
      <c r="M58" s="291">
        <v>0.03</v>
      </c>
      <c r="N58" s="424">
        <f t="shared" si="18"/>
        <v>21474.872297399997</v>
      </c>
      <c r="O58" s="424">
        <f t="shared" si="20"/>
        <v>737303.94887740002</v>
      </c>
      <c r="P58" s="423">
        <f t="shared" si="19"/>
        <v>5123.9760000000006</v>
      </c>
      <c r="Q58" s="423">
        <f t="shared" si="21"/>
        <v>42324.262877399997</v>
      </c>
    </row>
    <row r="59" spans="1:17" s="24" customFormat="1">
      <c r="A59" s="26">
        <v>48</v>
      </c>
      <c r="B59" s="24" t="str">
        <f>+B32</f>
        <v>Maintenance of Other</v>
      </c>
      <c r="C59" s="801" t="s">
        <v>714</v>
      </c>
      <c r="D59" s="431">
        <v>857430.33</v>
      </c>
      <c r="F59" s="301">
        <v>249586.68</v>
      </c>
      <c r="G59" s="291">
        <v>0.03</v>
      </c>
      <c r="H59" s="423">
        <f t="shared" si="22"/>
        <v>7487.6003999999994</v>
      </c>
      <c r="I59" s="423">
        <f t="shared" si="15"/>
        <v>864917.93039999995</v>
      </c>
      <c r="J59" s="291">
        <v>0.03</v>
      </c>
      <c r="K59" s="423">
        <f t="shared" si="16"/>
        <v>25947.537911999996</v>
      </c>
      <c r="L59" s="423">
        <f t="shared" si="17"/>
        <v>890865.46831199992</v>
      </c>
      <c r="M59" s="291">
        <v>0.03</v>
      </c>
      <c r="N59" s="424">
        <f t="shared" si="18"/>
        <v>26725.964049359998</v>
      </c>
      <c r="O59" s="424">
        <f t="shared" si="20"/>
        <v>917591.43236135994</v>
      </c>
      <c r="P59" s="423">
        <f t="shared" si="19"/>
        <v>7487.6003999999994</v>
      </c>
      <c r="Q59" s="423">
        <f t="shared" si="21"/>
        <v>52673.501961359994</v>
      </c>
    </row>
    <row r="60" spans="1:17" s="24" customFormat="1">
      <c r="A60" s="26">
        <v>49</v>
      </c>
      <c r="B60" s="24" t="str">
        <f>+B34</f>
        <v>Routine Meter Reading</v>
      </c>
      <c r="C60" s="801" t="s">
        <v>707</v>
      </c>
      <c r="D60" s="431">
        <v>346337.29</v>
      </c>
      <c r="F60" s="301">
        <v>89063.33</v>
      </c>
      <c r="G60" s="291">
        <v>0.03</v>
      </c>
      <c r="H60" s="423">
        <f t="shared" si="22"/>
        <v>2671.8998999999999</v>
      </c>
      <c r="I60" s="423">
        <f t="shared" si="15"/>
        <v>349009.1899</v>
      </c>
      <c r="J60" s="291">
        <v>0.03</v>
      </c>
      <c r="K60" s="423">
        <f t="shared" si="16"/>
        <v>10470.275696999999</v>
      </c>
      <c r="L60" s="423">
        <f t="shared" si="17"/>
        <v>359479.46559699997</v>
      </c>
      <c r="M60" s="291">
        <v>0.03</v>
      </c>
      <c r="N60" s="424">
        <f t="shared" si="18"/>
        <v>10784.383967909998</v>
      </c>
      <c r="O60" s="424">
        <f t="shared" si="20"/>
        <v>370263.84956490999</v>
      </c>
      <c r="P60" s="423">
        <f t="shared" si="19"/>
        <v>2671.8998999999999</v>
      </c>
      <c r="Q60" s="423">
        <f t="shared" si="21"/>
        <v>21254.659664909996</v>
      </c>
    </row>
    <row r="61" spans="1:17" s="24" customFormat="1">
      <c r="A61" s="26">
        <v>50</v>
      </c>
      <c r="B61" s="24" t="str">
        <f>+B35</f>
        <v>Customer Collection</v>
      </c>
      <c r="C61" s="801" t="s">
        <v>708</v>
      </c>
      <c r="D61" s="431">
        <v>98505.75</v>
      </c>
      <c r="F61" s="301">
        <v>22918.49</v>
      </c>
      <c r="G61" s="291">
        <v>0.03</v>
      </c>
      <c r="H61" s="423">
        <f>+F61*G61</f>
        <v>687.55470000000003</v>
      </c>
      <c r="I61" s="423">
        <f t="shared" si="15"/>
        <v>99193.304699999993</v>
      </c>
      <c r="J61" s="291">
        <v>0.03</v>
      </c>
      <c r="K61" s="423">
        <f t="shared" si="16"/>
        <v>2975.7991409999995</v>
      </c>
      <c r="L61" s="423">
        <f t="shared" si="17"/>
        <v>102169.10384099999</v>
      </c>
      <c r="M61" s="291">
        <v>0.03</v>
      </c>
      <c r="N61" s="424">
        <f t="shared" si="18"/>
        <v>3065.0731152299995</v>
      </c>
      <c r="O61" s="424">
        <f t="shared" si="20"/>
        <v>105234.17695622999</v>
      </c>
      <c r="P61" s="423">
        <f t="shared" si="19"/>
        <v>687.55470000000003</v>
      </c>
      <c r="Q61" s="423">
        <f t="shared" si="21"/>
        <v>6040.872256229999</v>
      </c>
    </row>
    <row r="62" spans="1:17" s="24" customFormat="1">
      <c r="A62" s="26">
        <v>51</v>
      </c>
      <c r="B62" s="24" t="str">
        <f>+B39</f>
        <v>Administration &amp; General</v>
      </c>
      <c r="C62" s="801" t="s">
        <v>709</v>
      </c>
      <c r="D62" s="431">
        <v>691.57</v>
      </c>
      <c r="F62" s="301">
        <v>0</v>
      </c>
      <c r="G62" s="291">
        <v>0.03</v>
      </c>
      <c r="H62" s="423">
        <f t="shared" si="22"/>
        <v>0</v>
      </c>
      <c r="I62" s="423">
        <f t="shared" si="15"/>
        <v>691.57</v>
      </c>
      <c r="J62" s="291">
        <v>0.03</v>
      </c>
      <c r="K62" s="423">
        <f t="shared" si="16"/>
        <v>20.7471</v>
      </c>
      <c r="L62" s="423">
        <f t="shared" si="17"/>
        <v>712.3171000000001</v>
      </c>
      <c r="M62" s="291">
        <v>0.03</v>
      </c>
      <c r="N62" s="424">
        <f t="shared" si="18"/>
        <v>21.369513000000001</v>
      </c>
      <c r="O62" s="424">
        <f>+L62+N62</f>
        <v>733.68661300000008</v>
      </c>
      <c r="P62" s="423">
        <f>+H62</f>
        <v>0</v>
      </c>
      <c r="Q62" s="423">
        <f t="shared" si="21"/>
        <v>42.116613000000001</v>
      </c>
    </row>
    <row r="63" spans="1:17" s="24" customFormat="1">
      <c r="A63" s="26">
        <v>52</v>
      </c>
      <c r="B63" s="24" t="s">
        <v>2225</v>
      </c>
      <c r="C63" s="801">
        <v>29210</v>
      </c>
      <c r="D63" s="431">
        <v>361.65</v>
      </c>
      <c r="F63" s="301">
        <v>0</v>
      </c>
      <c r="G63" s="291">
        <v>0.03</v>
      </c>
      <c r="H63" s="423">
        <f t="shared" si="22"/>
        <v>0</v>
      </c>
      <c r="I63" s="423">
        <f t="shared" si="15"/>
        <v>361.65</v>
      </c>
      <c r="J63" s="291">
        <v>0.03</v>
      </c>
      <c r="K63" s="423">
        <f t="shared" si="16"/>
        <v>10.849499999999999</v>
      </c>
      <c r="L63" s="423">
        <f t="shared" si="17"/>
        <v>372.49949999999995</v>
      </c>
      <c r="M63" s="291">
        <v>0.03</v>
      </c>
      <c r="N63" s="424">
        <f t="shared" si="18"/>
        <v>11.174984999999998</v>
      </c>
      <c r="O63" s="424">
        <f>+L63+N63</f>
        <v>383.67448499999995</v>
      </c>
      <c r="P63" s="423">
        <f t="shared" si="19"/>
        <v>0</v>
      </c>
      <c r="Q63" s="423">
        <f t="shared" si="21"/>
        <v>22.024484999999999</v>
      </c>
    </row>
    <row r="64" spans="1:17">
      <c r="A64" s="26">
        <v>53</v>
      </c>
      <c r="B64" s="24" t="str">
        <f>+B41</f>
        <v>Employee Pensions and Benefits</v>
      </c>
      <c r="C64" s="801">
        <v>29260</v>
      </c>
      <c r="D64" s="431">
        <v>23110.23</v>
      </c>
      <c r="E64" s="24"/>
      <c r="F64" s="301">
        <v>0</v>
      </c>
      <c r="G64" s="291">
        <v>0.03</v>
      </c>
      <c r="H64" s="423">
        <f t="shared" si="22"/>
        <v>0</v>
      </c>
      <c r="I64" s="423">
        <f t="shared" si="15"/>
        <v>23110.23</v>
      </c>
      <c r="J64" s="291">
        <v>0.03</v>
      </c>
      <c r="K64" s="423">
        <f t="shared" si="16"/>
        <v>693.30689999999993</v>
      </c>
      <c r="L64" s="423">
        <f t="shared" si="17"/>
        <v>23803.536899999999</v>
      </c>
      <c r="M64" s="291">
        <v>0.03</v>
      </c>
      <c r="N64" s="424">
        <f t="shared" si="18"/>
        <v>714.10610699999995</v>
      </c>
      <c r="O64" s="424">
        <f>+L64+N64</f>
        <v>24517.643006999999</v>
      </c>
      <c r="P64" s="423">
        <f t="shared" si="19"/>
        <v>0</v>
      </c>
      <c r="Q64" s="423">
        <f t="shared" si="21"/>
        <v>1407.4130069999999</v>
      </c>
    </row>
    <row r="65" spans="1:17">
      <c r="A65" s="26">
        <v>54</v>
      </c>
      <c r="B65" s="24" t="s">
        <v>283</v>
      </c>
      <c r="C65" s="801" t="s">
        <v>715</v>
      </c>
      <c r="D65" s="466">
        <v>2556.56</v>
      </c>
      <c r="E65" s="296"/>
      <c r="F65" s="433">
        <v>1301.68</v>
      </c>
      <c r="G65" s="291">
        <v>0.03</v>
      </c>
      <c r="H65" s="434">
        <f t="shared" si="22"/>
        <v>39.050400000000003</v>
      </c>
      <c r="I65" s="434">
        <f t="shared" si="15"/>
        <v>2595.6104</v>
      </c>
      <c r="J65" s="291">
        <v>0.03</v>
      </c>
      <c r="K65" s="434">
        <f t="shared" si="16"/>
        <v>77.868312000000003</v>
      </c>
      <c r="L65" s="434">
        <f>+I65+K65</f>
        <v>2673.4787120000001</v>
      </c>
      <c r="M65" s="291">
        <v>0.03</v>
      </c>
      <c r="N65" s="435">
        <f>+L65*M65</f>
        <v>80.204361359999993</v>
      </c>
      <c r="O65" s="435">
        <f>+L65+N65</f>
        <v>2753.68307336</v>
      </c>
      <c r="P65" s="434">
        <f t="shared" si="19"/>
        <v>39.050400000000003</v>
      </c>
      <c r="Q65" s="434">
        <f t="shared" si="21"/>
        <v>158.07267336000001</v>
      </c>
    </row>
    <row r="66" spans="1:17">
      <c r="A66" s="26">
        <v>55</v>
      </c>
      <c r="B66" s="24"/>
      <c r="C66" s="24"/>
      <c r="D66" s="432">
        <f>SUM(D44:D65)</f>
        <v>10155364.93</v>
      </c>
      <c r="E66" s="24"/>
      <c r="F66" s="432">
        <f>SUM(F44:F65)</f>
        <v>2685444.8200000008</v>
      </c>
      <c r="G66" s="24"/>
      <c r="H66" s="432">
        <f>SUM(H44:H65)</f>
        <v>80563.344599999982</v>
      </c>
      <c r="I66" s="432">
        <f>SUM(I44:I65)</f>
        <v>10235928.274600001</v>
      </c>
      <c r="J66" s="24"/>
      <c r="K66" s="432">
        <f>SUM(K44:K65)</f>
        <v>307077.84823800001</v>
      </c>
      <c r="L66" s="432">
        <f>SUM(L44:L65)</f>
        <v>10543006.122838002</v>
      </c>
      <c r="M66" s="24"/>
      <c r="N66" s="432">
        <f>SUM(N44:N65)</f>
        <v>316290.1836851401</v>
      </c>
      <c r="O66" s="432">
        <f>SUM(O44:O65)</f>
        <v>10859296.306523144</v>
      </c>
      <c r="P66" s="432">
        <f>SUM(P44:P65)</f>
        <v>80563.344599999982</v>
      </c>
      <c r="Q66" s="432">
        <f>SUM(Q44:Q65)</f>
        <v>623368.03192313982</v>
      </c>
    </row>
    <row r="67" spans="1:17">
      <c r="C67" s="24"/>
      <c r="D67" s="24"/>
      <c r="E67" s="24"/>
      <c r="F67" s="24"/>
      <c r="G67" s="24"/>
      <c r="H67" s="24"/>
      <c r="I67" s="24"/>
      <c r="J67" s="24"/>
      <c r="K67" s="24"/>
      <c r="L67" s="24"/>
      <c r="M67" s="24"/>
      <c r="N67" s="24"/>
      <c r="O67" s="24"/>
      <c r="P67" s="24"/>
      <c r="Q67" s="24"/>
    </row>
    <row r="69" spans="1:17" ht="16.5" thickBot="1">
      <c r="A69" s="26"/>
      <c r="B69" s="24"/>
      <c r="C69" s="24"/>
      <c r="D69" s="24"/>
      <c r="E69" s="24"/>
      <c r="F69" s="24"/>
      <c r="G69" s="24"/>
      <c r="H69" s="24"/>
    </row>
    <row r="70" spans="1:17">
      <c r="A70" s="26"/>
      <c r="B70" s="955" t="s">
        <v>2223</v>
      </c>
      <c r="C70" s="956"/>
      <c r="D70" s="956"/>
      <c r="E70" s="957"/>
      <c r="F70" s="24"/>
      <c r="G70" s="24"/>
      <c r="H70" s="24"/>
    </row>
    <row r="71" spans="1:17">
      <c r="A71" s="26"/>
      <c r="B71" s="958"/>
      <c r="C71" s="959"/>
      <c r="D71" s="959"/>
      <c r="E71" s="960"/>
      <c r="F71" s="24"/>
      <c r="G71" s="24"/>
      <c r="H71" s="24"/>
    </row>
    <row r="72" spans="1:17">
      <c r="A72" s="26"/>
      <c r="B72" s="958"/>
      <c r="C72" s="959"/>
      <c r="D72" s="959"/>
      <c r="E72" s="960"/>
      <c r="F72" s="24"/>
      <c r="G72" s="24"/>
      <c r="H72" s="24"/>
    </row>
    <row r="73" spans="1:17" ht="16.5" thickBot="1">
      <c r="A73" s="26"/>
      <c r="B73" s="961"/>
      <c r="C73" s="962"/>
      <c r="D73" s="962"/>
      <c r="E73" s="963"/>
      <c r="F73" s="24"/>
      <c r="G73" s="24"/>
      <c r="H73" s="24"/>
    </row>
    <row r="74" spans="1:17">
      <c r="A74" s="495" t="s">
        <v>662</v>
      </c>
      <c r="B74" s="24"/>
      <c r="C74" s="24"/>
      <c r="D74" s="24"/>
      <c r="E74" s="24"/>
      <c r="F74" s="24"/>
      <c r="G74" s="24"/>
      <c r="H74" s="24"/>
    </row>
    <row r="75" spans="1:17">
      <c r="A75" s="26">
        <v>56</v>
      </c>
      <c r="B75" s="797" t="s">
        <v>2230</v>
      </c>
      <c r="C75" s="24"/>
      <c r="D75" s="24"/>
      <c r="E75" s="24"/>
      <c r="F75" s="464">
        <v>87053.82</v>
      </c>
      <c r="G75" s="24"/>
      <c r="H75" s="24"/>
      <c r="J75" s="291">
        <v>0.04</v>
      </c>
      <c r="K75" s="436">
        <f>+F75*J75</f>
        <v>3482.1528000000003</v>
      </c>
      <c r="L75" s="436">
        <f>+F75+K75</f>
        <v>90535.972800000003</v>
      </c>
      <c r="M75" s="291">
        <v>0.04</v>
      </c>
      <c r="N75" s="464">
        <f>+L75*M75</f>
        <v>3621.4389120000001</v>
      </c>
      <c r="O75" s="436">
        <f>+L75+N75</f>
        <v>94157.411712000001</v>
      </c>
      <c r="P75" s="194">
        <f t="shared" ref="P75:P110" si="23">+H75</f>
        <v>0</v>
      </c>
      <c r="Q75" s="194">
        <f t="shared" ref="Q75:Q110" si="24">+N75+K75</f>
        <v>7103.5917120000004</v>
      </c>
    </row>
    <row r="76" spans="1:17">
      <c r="A76" s="26">
        <v>57</v>
      </c>
      <c r="B76" s="797" t="s">
        <v>2231</v>
      </c>
      <c r="C76" s="24"/>
      <c r="D76" s="24"/>
      <c r="E76" s="24"/>
      <c r="F76" s="464">
        <v>17105.599999999999</v>
      </c>
      <c r="G76" s="24"/>
      <c r="H76" s="24"/>
      <c r="J76" s="291">
        <v>0.04</v>
      </c>
      <c r="K76" s="436">
        <f>+F76*J76</f>
        <v>684.22399999999993</v>
      </c>
      <c r="L76" s="436">
        <f t="shared" ref="L76:L110" si="25">+F76+K76</f>
        <v>17789.823999999997</v>
      </c>
      <c r="M76" s="291">
        <v>0.04</v>
      </c>
      <c r="N76" s="464">
        <f t="shared" ref="N76:N110" si="26">+L76*M76</f>
        <v>711.59295999999983</v>
      </c>
      <c r="O76" s="436">
        <f t="shared" ref="O76:O110" si="27">+L76+N76</f>
        <v>18501.416959999995</v>
      </c>
      <c r="P76" s="194">
        <f t="shared" si="23"/>
        <v>0</v>
      </c>
      <c r="Q76" s="194">
        <f t="shared" si="24"/>
        <v>1395.8169599999997</v>
      </c>
    </row>
    <row r="77" spans="1:17">
      <c r="A77" s="26">
        <v>58</v>
      </c>
      <c r="B77" s="797" t="s">
        <v>748</v>
      </c>
      <c r="C77" s="24"/>
      <c r="D77" s="24"/>
      <c r="E77" s="24"/>
      <c r="F77" s="464">
        <v>1790432.89</v>
      </c>
      <c r="G77" s="24"/>
      <c r="H77" s="24"/>
      <c r="J77" s="291">
        <v>0.04</v>
      </c>
      <c r="K77" s="436">
        <f t="shared" ref="K77:K110" si="28">+F77*J77</f>
        <v>71617.315600000002</v>
      </c>
      <c r="L77" s="436">
        <f t="shared" si="25"/>
        <v>1862050.2056</v>
      </c>
      <c r="M77" s="291">
        <v>0.04</v>
      </c>
      <c r="N77" s="464">
        <f t="shared" si="26"/>
        <v>74482.008224000005</v>
      </c>
      <c r="O77" s="436">
        <f t="shared" si="27"/>
        <v>1936532.213824</v>
      </c>
      <c r="P77" s="194">
        <f t="shared" si="23"/>
        <v>0</v>
      </c>
      <c r="Q77" s="194">
        <f t="shared" si="24"/>
        <v>146099.32382400002</v>
      </c>
    </row>
    <row r="78" spans="1:17">
      <c r="A78" s="26">
        <v>59</v>
      </c>
      <c r="B78" s="797" t="s">
        <v>1366</v>
      </c>
      <c r="C78" s="24"/>
      <c r="D78" s="24"/>
      <c r="E78" s="24"/>
      <c r="F78" s="464">
        <v>63503.67</v>
      </c>
      <c r="G78" s="24"/>
      <c r="H78" s="24"/>
      <c r="J78" s="291">
        <v>0.04</v>
      </c>
      <c r="K78" s="436">
        <f t="shared" si="28"/>
        <v>2540.1468</v>
      </c>
      <c r="L78" s="436">
        <f t="shared" si="25"/>
        <v>66043.816800000001</v>
      </c>
      <c r="M78" s="291">
        <v>0.04</v>
      </c>
      <c r="N78" s="464">
        <f t="shared" si="26"/>
        <v>2641.7526720000001</v>
      </c>
      <c r="O78" s="436">
        <f t="shared" si="27"/>
        <v>68685.569472000003</v>
      </c>
      <c r="P78" s="194">
        <f t="shared" si="23"/>
        <v>0</v>
      </c>
      <c r="Q78" s="194">
        <f t="shared" si="24"/>
        <v>5181.8994720000001</v>
      </c>
    </row>
    <row r="79" spans="1:17">
      <c r="A79" s="26">
        <v>60</v>
      </c>
      <c r="B79" s="797" t="s">
        <v>1367</v>
      </c>
      <c r="C79" s="24"/>
      <c r="D79" s="24"/>
      <c r="E79" s="24"/>
      <c r="F79" s="464">
        <v>46296.31</v>
      </c>
      <c r="G79" s="24"/>
      <c r="H79" s="24"/>
      <c r="J79" s="291">
        <v>0.04</v>
      </c>
      <c r="K79" s="436">
        <f t="shared" si="28"/>
        <v>1851.8524</v>
      </c>
      <c r="L79" s="436">
        <f t="shared" si="25"/>
        <v>48148.162400000001</v>
      </c>
      <c r="M79" s="291">
        <v>0.04</v>
      </c>
      <c r="N79" s="464">
        <f t="shared" si="26"/>
        <v>1925.926496</v>
      </c>
      <c r="O79" s="436">
        <f t="shared" si="27"/>
        <v>50074.088896000001</v>
      </c>
      <c r="P79" s="194">
        <f t="shared" si="23"/>
        <v>0</v>
      </c>
      <c r="Q79" s="194">
        <f t="shared" si="24"/>
        <v>3777.7788959999998</v>
      </c>
    </row>
    <row r="80" spans="1:17">
      <c r="A80" s="26">
        <v>61</v>
      </c>
      <c r="B80" s="797" t="s">
        <v>2232</v>
      </c>
      <c r="C80" s="24"/>
      <c r="D80" s="24"/>
      <c r="E80" s="24"/>
      <c r="F80" s="464">
        <v>44262.68</v>
      </c>
      <c r="G80" s="24"/>
      <c r="H80" s="24"/>
      <c r="J80" s="291">
        <v>0.04</v>
      </c>
      <c r="K80" s="436">
        <f t="shared" si="28"/>
        <v>1770.5072</v>
      </c>
      <c r="L80" s="436">
        <f t="shared" si="25"/>
        <v>46033.1872</v>
      </c>
      <c r="M80" s="291">
        <v>0.04</v>
      </c>
      <c r="N80" s="464">
        <f t="shared" si="26"/>
        <v>1841.3274880000001</v>
      </c>
      <c r="O80" s="436">
        <f t="shared" si="27"/>
        <v>47874.514688000003</v>
      </c>
      <c r="P80" s="194">
        <f t="shared" si="23"/>
        <v>0</v>
      </c>
      <c r="Q80" s="194">
        <f t="shared" si="24"/>
        <v>3611.8346879999999</v>
      </c>
    </row>
    <row r="81" spans="1:17">
      <c r="A81" s="26">
        <v>62</v>
      </c>
      <c r="B81" s="797" t="s">
        <v>2233</v>
      </c>
      <c r="C81" s="24"/>
      <c r="D81" s="24"/>
      <c r="E81" s="24"/>
      <c r="F81" s="464">
        <v>178815.01</v>
      </c>
      <c r="G81" s="24"/>
      <c r="H81" s="24"/>
      <c r="J81" s="291">
        <v>0.04</v>
      </c>
      <c r="K81" s="436">
        <f t="shared" si="28"/>
        <v>7152.6004000000003</v>
      </c>
      <c r="L81" s="436">
        <f t="shared" si="25"/>
        <v>185967.61040000001</v>
      </c>
      <c r="M81" s="291">
        <v>0.04</v>
      </c>
      <c r="N81" s="464">
        <f t="shared" si="26"/>
        <v>7438.7044160000005</v>
      </c>
      <c r="O81" s="436">
        <f t="shared" si="27"/>
        <v>193406.314816</v>
      </c>
      <c r="P81" s="194">
        <f t="shared" si="23"/>
        <v>0</v>
      </c>
      <c r="Q81" s="194">
        <f t="shared" si="24"/>
        <v>14591.304816</v>
      </c>
    </row>
    <row r="82" spans="1:17">
      <c r="A82" s="26">
        <v>63</v>
      </c>
      <c r="B82" s="797" t="s">
        <v>2234</v>
      </c>
      <c r="C82" s="24"/>
      <c r="D82" s="24"/>
      <c r="E82" s="24"/>
      <c r="F82" s="464">
        <v>164017.69</v>
      </c>
      <c r="G82" s="24"/>
      <c r="H82" s="24"/>
      <c r="J82" s="291">
        <v>0.04</v>
      </c>
      <c r="K82" s="436">
        <f t="shared" si="28"/>
        <v>6560.7076000000006</v>
      </c>
      <c r="L82" s="436">
        <f t="shared" si="25"/>
        <v>170578.3976</v>
      </c>
      <c r="M82" s="291">
        <v>0.04</v>
      </c>
      <c r="N82" s="464">
        <f t="shared" si="26"/>
        <v>6823.1359039999998</v>
      </c>
      <c r="O82" s="436">
        <f t="shared" si="27"/>
        <v>177401.53350399999</v>
      </c>
      <c r="P82" s="194">
        <f t="shared" si="23"/>
        <v>0</v>
      </c>
      <c r="Q82" s="194">
        <f t="shared" si="24"/>
        <v>13383.843504</v>
      </c>
    </row>
    <row r="83" spans="1:17">
      <c r="A83" s="26">
        <v>64</v>
      </c>
      <c r="B83" s="797" t="s">
        <v>2235</v>
      </c>
      <c r="C83" s="24"/>
      <c r="D83" s="24"/>
      <c r="E83" s="24"/>
      <c r="F83" s="464">
        <v>50438.05</v>
      </c>
      <c r="G83" s="24"/>
      <c r="H83" s="24"/>
      <c r="J83" s="291">
        <v>0.04</v>
      </c>
      <c r="K83" s="436">
        <f t="shared" si="28"/>
        <v>2017.5220000000002</v>
      </c>
      <c r="L83" s="436">
        <f t="shared" si="25"/>
        <v>52455.572</v>
      </c>
      <c r="M83" s="291">
        <v>0.04</v>
      </c>
      <c r="N83" s="464">
        <f t="shared" si="26"/>
        <v>2098.2228800000003</v>
      </c>
      <c r="O83" s="436">
        <f t="shared" si="27"/>
        <v>54553.794880000001</v>
      </c>
      <c r="P83" s="194">
        <f t="shared" si="23"/>
        <v>0</v>
      </c>
      <c r="Q83" s="194">
        <f t="shared" si="24"/>
        <v>4115.7448800000002</v>
      </c>
    </row>
    <row r="84" spans="1:17">
      <c r="A84" s="26">
        <v>65</v>
      </c>
      <c r="B84" s="797" t="s">
        <v>2236</v>
      </c>
      <c r="C84" s="24"/>
      <c r="D84" s="24"/>
      <c r="E84" s="24"/>
      <c r="F84" s="464">
        <v>152593.38</v>
      </c>
      <c r="G84" s="24"/>
      <c r="H84" s="24"/>
      <c r="J84" s="291">
        <v>0.04</v>
      </c>
      <c r="K84" s="436">
        <f t="shared" si="28"/>
        <v>6103.7352000000001</v>
      </c>
      <c r="L84" s="436">
        <f t="shared" si="25"/>
        <v>158697.1152</v>
      </c>
      <c r="M84" s="291">
        <v>0.04</v>
      </c>
      <c r="N84" s="464">
        <f t="shared" si="26"/>
        <v>6347.8846080000003</v>
      </c>
      <c r="O84" s="436">
        <f t="shared" si="27"/>
        <v>165044.99980799999</v>
      </c>
      <c r="P84" s="194">
        <f t="shared" si="23"/>
        <v>0</v>
      </c>
      <c r="Q84" s="194">
        <f t="shared" si="24"/>
        <v>12451.619807999999</v>
      </c>
    </row>
    <row r="85" spans="1:17">
      <c r="A85" s="26">
        <v>66</v>
      </c>
      <c r="B85" s="797" t="s">
        <v>1368</v>
      </c>
      <c r="C85" s="24"/>
      <c r="D85" s="24"/>
      <c r="E85" s="24"/>
      <c r="F85" s="464">
        <v>57821.919999999998</v>
      </c>
      <c r="G85" s="24"/>
      <c r="H85" s="24"/>
      <c r="J85" s="291">
        <v>0.04</v>
      </c>
      <c r="K85" s="436">
        <f t="shared" si="28"/>
        <v>2312.8768</v>
      </c>
      <c r="L85" s="436">
        <f t="shared" si="25"/>
        <v>60134.796799999996</v>
      </c>
      <c r="M85" s="291">
        <v>0.04</v>
      </c>
      <c r="N85" s="464">
        <f t="shared" si="26"/>
        <v>2405.3918719999997</v>
      </c>
      <c r="O85" s="436">
        <f t="shared" si="27"/>
        <v>62540.188671999997</v>
      </c>
      <c r="P85" s="194">
        <f t="shared" si="23"/>
        <v>0</v>
      </c>
      <c r="Q85" s="194">
        <f t="shared" si="24"/>
        <v>4718.2686720000002</v>
      </c>
    </row>
    <row r="86" spans="1:17">
      <c r="A86" s="26">
        <v>67</v>
      </c>
      <c r="B86" s="797" t="s">
        <v>2237</v>
      </c>
      <c r="C86" s="24"/>
      <c r="D86" s="24"/>
      <c r="E86" s="24"/>
      <c r="F86" s="464">
        <v>219071.45</v>
      </c>
      <c r="G86" s="24"/>
      <c r="H86" s="24"/>
      <c r="J86" s="291">
        <v>0.04</v>
      </c>
      <c r="K86" s="436">
        <f t="shared" si="28"/>
        <v>8762.8580000000002</v>
      </c>
      <c r="L86" s="436">
        <f t="shared" si="25"/>
        <v>227834.30800000002</v>
      </c>
      <c r="M86" s="291">
        <v>0.04</v>
      </c>
      <c r="N86" s="464">
        <f t="shared" si="26"/>
        <v>9113.3723200000004</v>
      </c>
      <c r="O86" s="436">
        <f t="shared" si="27"/>
        <v>236947.68032000001</v>
      </c>
      <c r="P86" s="194">
        <f t="shared" si="23"/>
        <v>0</v>
      </c>
      <c r="Q86" s="194">
        <f t="shared" si="24"/>
        <v>17876.230320000002</v>
      </c>
    </row>
    <row r="87" spans="1:17">
      <c r="A87" s="26">
        <v>68</v>
      </c>
      <c r="B87" s="797" t="s">
        <v>2238</v>
      </c>
      <c r="C87" s="24"/>
      <c r="D87" s="24"/>
      <c r="E87" s="24"/>
      <c r="F87" s="464">
        <v>51766.03</v>
      </c>
      <c r="G87" s="24"/>
      <c r="H87" s="24"/>
      <c r="J87" s="291">
        <v>0.04</v>
      </c>
      <c r="K87" s="436">
        <f t="shared" si="28"/>
        <v>2070.6412</v>
      </c>
      <c r="L87" s="436">
        <f t="shared" si="25"/>
        <v>53836.671199999997</v>
      </c>
      <c r="M87" s="291">
        <v>0.04</v>
      </c>
      <c r="N87" s="464">
        <f t="shared" si="26"/>
        <v>2153.466848</v>
      </c>
      <c r="O87" s="436">
        <f t="shared" si="27"/>
        <v>55990.138047999993</v>
      </c>
      <c r="P87" s="194">
        <f t="shared" si="23"/>
        <v>0</v>
      </c>
      <c r="Q87" s="194">
        <f t="shared" si="24"/>
        <v>4224.1080480000001</v>
      </c>
    </row>
    <row r="88" spans="1:17">
      <c r="A88" s="26">
        <v>69</v>
      </c>
      <c r="B88" s="797" t="s">
        <v>1369</v>
      </c>
      <c r="C88" s="24"/>
      <c r="D88" s="24"/>
      <c r="E88" s="24"/>
      <c r="F88" s="464">
        <v>1.13686837721616E-13</v>
      </c>
      <c r="G88" s="24"/>
      <c r="H88" s="24"/>
      <c r="J88" s="291">
        <v>0.04</v>
      </c>
      <c r="K88" s="436">
        <f t="shared" si="28"/>
        <v>4.5474735088646405E-15</v>
      </c>
      <c r="L88" s="436">
        <f t="shared" si="25"/>
        <v>1.1823431123048065E-13</v>
      </c>
      <c r="M88" s="291">
        <v>0.04</v>
      </c>
      <c r="N88" s="464">
        <f t="shared" si="26"/>
        <v>4.7293724492192258E-15</v>
      </c>
      <c r="O88" s="436">
        <f t="shared" si="27"/>
        <v>1.2296368367969989E-13</v>
      </c>
      <c r="P88" s="194">
        <f t="shared" si="23"/>
        <v>0</v>
      </c>
      <c r="Q88" s="194">
        <f t="shared" si="24"/>
        <v>9.2768459580838655E-15</v>
      </c>
    </row>
    <row r="89" spans="1:17">
      <c r="A89" s="26">
        <v>70</v>
      </c>
      <c r="B89" s="797" t="s">
        <v>2239</v>
      </c>
      <c r="C89" s="24"/>
      <c r="D89" s="24"/>
      <c r="E89" s="24"/>
      <c r="F89" s="464">
        <v>186138.97</v>
      </c>
      <c r="G89" s="24"/>
      <c r="H89" s="24"/>
      <c r="J89" s="291">
        <v>0.04</v>
      </c>
      <c r="K89" s="436">
        <f t="shared" si="28"/>
        <v>7445.5587999999998</v>
      </c>
      <c r="L89" s="436">
        <f t="shared" si="25"/>
        <v>193584.5288</v>
      </c>
      <c r="M89" s="291">
        <v>0.04</v>
      </c>
      <c r="N89" s="464">
        <f t="shared" si="26"/>
        <v>7743.3811519999999</v>
      </c>
      <c r="O89" s="436">
        <f t="shared" si="27"/>
        <v>201327.90995199999</v>
      </c>
      <c r="P89" s="194">
        <f t="shared" si="23"/>
        <v>0</v>
      </c>
      <c r="Q89" s="194">
        <f t="shared" si="24"/>
        <v>15188.939952000001</v>
      </c>
    </row>
    <row r="90" spans="1:17">
      <c r="A90" s="26">
        <v>71</v>
      </c>
      <c r="B90" s="797" t="s">
        <v>2240</v>
      </c>
      <c r="C90" s="24"/>
      <c r="D90" s="24"/>
      <c r="E90" s="24"/>
      <c r="F90" s="464">
        <v>3655.78</v>
      </c>
      <c r="G90" s="24"/>
      <c r="H90" s="24"/>
      <c r="J90" s="291">
        <v>0.04</v>
      </c>
      <c r="K90" s="302">
        <f t="shared" si="28"/>
        <v>146.2312</v>
      </c>
      <c r="L90" s="302">
        <f t="shared" si="25"/>
        <v>3802.0112000000004</v>
      </c>
      <c r="M90" s="291">
        <v>0.04</v>
      </c>
      <c r="N90" s="464">
        <f t="shared" si="26"/>
        <v>152.08044800000002</v>
      </c>
      <c r="O90" s="302">
        <f t="shared" si="27"/>
        <v>3954.0916480000005</v>
      </c>
      <c r="P90" s="194">
        <f t="shared" si="23"/>
        <v>0</v>
      </c>
      <c r="Q90" s="465">
        <f t="shared" si="24"/>
        <v>298.31164799999999</v>
      </c>
    </row>
    <row r="91" spans="1:17">
      <c r="A91" s="26">
        <v>72</v>
      </c>
      <c r="B91" s="797" t="s">
        <v>2241</v>
      </c>
      <c r="C91" s="24"/>
      <c r="D91" s="24"/>
      <c r="E91" s="24"/>
      <c r="F91" s="464">
        <v>65210.96</v>
      </c>
      <c r="G91" s="24"/>
      <c r="H91" s="24"/>
      <c r="J91" s="291">
        <v>0.04</v>
      </c>
      <c r="K91" s="436">
        <f t="shared" si="28"/>
        <v>2608.4384</v>
      </c>
      <c r="L91" s="436">
        <f t="shared" si="25"/>
        <v>67819.398400000005</v>
      </c>
      <c r="M91" s="291">
        <v>0.04</v>
      </c>
      <c r="N91" s="464">
        <f t="shared" si="26"/>
        <v>2712.7759360000005</v>
      </c>
      <c r="O91" s="436">
        <f t="shared" si="27"/>
        <v>70532.174336000011</v>
      </c>
      <c r="P91" s="194">
        <f t="shared" si="23"/>
        <v>0</v>
      </c>
      <c r="Q91" s="194">
        <f t="shared" si="24"/>
        <v>5321.2143360000009</v>
      </c>
    </row>
    <row r="92" spans="1:17">
      <c r="A92" s="26">
        <v>73</v>
      </c>
      <c r="B92" s="797" t="s">
        <v>2242</v>
      </c>
      <c r="C92" s="24"/>
      <c r="D92" s="24"/>
      <c r="E92" s="24"/>
      <c r="F92" s="464">
        <v>956.7</v>
      </c>
      <c r="G92" s="24"/>
      <c r="H92" s="24"/>
      <c r="J92" s="291">
        <v>0.04</v>
      </c>
      <c r="K92" s="436">
        <f t="shared" si="28"/>
        <v>38.268000000000001</v>
      </c>
      <c r="L92" s="436">
        <f t="shared" si="25"/>
        <v>994.96800000000007</v>
      </c>
      <c r="M92" s="291">
        <v>0.04</v>
      </c>
      <c r="N92" s="464">
        <f t="shared" si="26"/>
        <v>39.798720000000003</v>
      </c>
      <c r="O92" s="436">
        <f t="shared" si="27"/>
        <v>1034.7667200000001</v>
      </c>
      <c r="P92" s="194">
        <f t="shared" si="23"/>
        <v>0</v>
      </c>
      <c r="Q92" s="194">
        <f t="shared" si="24"/>
        <v>78.066720000000004</v>
      </c>
    </row>
    <row r="93" spans="1:17">
      <c r="A93" s="26">
        <v>74</v>
      </c>
      <c r="B93" s="797" t="s">
        <v>2243</v>
      </c>
      <c r="C93" s="24"/>
      <c r="D93" s="24"/>
      <c r="E93" s="24"/>
      <c r="F93" s="464">
        <v>124549.92</v>
      </c>
      <c r="G93" s="24"/>
      <c r="H93" s="24"/>
      <c r="J93" s="291">
        <v>0.04</v>
      </c>
      <c r="K93" s="436">
        <f t="shared" si="28"/>
        <v>4981.9967999999999</v>
      </c>
      <c r="L93" s="436">
        <f t="shared" si="25"/>
        <v>129531.91679999999</v>
      </c>
      <c r="M93" s="291">
        <v>0.04</v>
      </c>
      <c r="N93" s="464">
        <f t="shared" si="26"/>
        <v>5181.276672</v>
      </c>
      <c r="O93" s="436">
        <f t="shared" si="27"/>
        <v>134713.19347199998</v>
      </c>
      <c r="P93" s="194">
        <f t="shared" si="23"/>
        <v>0</v>
      </c>
      <c r="Q93" s="194">
        <f t="shared" si="24"/>
        <v>10163.273472000001</v>
      </c>
    </row>
    <row r="94" spans="1:17">
      <c r="A94" s="26">
        <v>75</v>
      </c>
      <c r="B94" s="797" t="s">
        <v>2244</v>
      </c>
      <c r="C94" s="24"/>
      <c r="D94" s="24"/>
      <c r="E94" s="24"/>
      <c r="F94" s="464">
        <v>141164.45000000001</v>
      </c>
      <c r="G94" s="24"/>
      <c r="H94" s="24"/>
      <c r="J94" s="291">
        <v>0.04</v>
      </c>
      <c r="K94" s="436">
        <f t="shared" si="28"/>
        <v>5646.5780000000004</v>
      </c>
      <c r="L94" s="436">
        <f t="shared" si="25"/>
        <v>146811.02800000002</v>
      </c>
      <c r="M94" s="291">
        <v>0.04</v>
      </c>
      <c r="N94" s="464">
        <f t="shared" si="26"/>
        <v>5872.4411200000013</v>
      </c>
      <c r="O94" s="436">
        <f t="shared" si="27"/>
        <v>152683.46912000002</v>
      </c>
      <c r="P94" s="194">
        <f t="shared" si="23"/>
        <v>0</v>
      </c>
      <c r="Q94" s="194">
        <f t="shared" si="24"/>
        <v>11519.019120000001</v>
      </c>
    </row>
    <row r="95" spans="1:17">
      <c r="A95" s="26">
        <v>76</v>
      </c>
      <c r="B95" s="797" t="s">
        <v>749</v>
      </c>
      <c r="C95" s="24"/>
      <c r="D95" s="24"/>
      <c r="E95" s="24"/>
      <c r="F95" s="464">
        <v>159195.79999999999</v>
      </c>
      <c r="G95" s="24"/>
      <c r="H95" s="24"/>
      <c r="J95" s="291">
        <v>0.04</v>
      </c>
      <c r="K95" s="436">
        <f t="shared" si="28"/>
        <v>6367.8319999999994</v>
      </c>
      <c r="L95" s="436">
        <f t="shared" si="25"/>
        <v>165563.63199999998</v>
      </c>
      <c r="M95" s="291">
        <v>0.04</v>
      </c>
      <c r="N95" s="464">
        <f t="shared" si="26"/>
        <v>6622.5452799999994</v>
      </c>
      <c r="O95" s="436">
        <f t="shared" si="27"/>
        <v>172186.17727999997</v>
      </c>
      <c r="P95" s="194">
        <f t="shared" si="23"/>
        <v>0</v>
      </c>
      <c r="Q95" s="194">
        <f t="shared" si="24"/>
        <v>12990.377279999999</v>
      </c>
    </row>
    <row r="96" spans="1:17">
      <c r="A96" s="26">
        <v>77</v>
      </c>
      <c r="B96" s="797" t="s">
        <v>2245</v>
      </c>
      <c r="C96" s="24"/>
      <c r="D96" s="24"/>
      <c r="E96" s="24"/>
      <c r="F96" s="464">
        <v>85072.95</v>
      </c>
      <c r="G96" s="24"/>
      <c r="H96" s="24"/>
      <c r="J96" s="291">
        <v>0.04</v>
      </c>
      <c r="K96" s="436">
        <f t="shared" si="28"/>
        <v>3402.9180000000001</v>
      </c>
      <c r="L96" s="436">
        <f t="shared" si="25"/>
        <v>88475.868000000002</v>
      </c>
      <c r="M96" s="291">
        <v>0.04</v>
      </c>
      <c r="N96" s="464">
        <f t="shared" si="26"/>
        <v>3539.0347200000001</v>
      </c>
      <c r="O96" s="436">
        <f t="shared" si="27"/>
        <v>92014.902719999998</v>
      </c>
      <c r="P96" s="194">
        <f t="shared" si="23"/>
        <v>0</v>
      </c>
      <c r="Q96" s="194">
        <f t="shared" si="24"/>
        <v>6941.9527200000002</v>
      </c>
    </row>
    <row r="97" spans="1:17">
      <c r="A97" s="26">
        <v>78</v>
      </c>
      <c r="B97" s="797" t="s">
        <v>2246</v>
      </c>
      <c r="C97" s="24"/>
      <c r="D97" s="24"/>
      <c r="E97" s="24"/>
      <c r="F97" s="464">
        <v>875917.72</v>
      </c>
      <c r="G97" s="24"/>
      <c r="H97" s="24"/>
      <c r="J97" s="291">
        <v>0.04</v>
      </c>
      <c r="K97" s="436">
        <f t="shared" si="28"/>
        <v>35036.7088</v>
      </c>
      <c r="L97" s="436">
        <f t="shared" si="25"/>
        <v>910954.42879999999</v>
      </c>
      <c r="M97" s="291">
        <v>0.04</v>
      </c>
      <c r="N97" s="464">
        <f t="shared" si="26"/>
        <v>36438.177152000004</v>
      </c>
      <c r="O97" s="436">
        <f t="shared" si="27"/>
        <v>947392.60595200001</v>
      </c>
      <c r="P97" s="194">
        <f t="shared" si="23"/>
        <v>0</v>
      </c>
      <c r="Q97" s="194">
        <f t="shared" si="24"/>
        <v>71474.885952000011</v>
      </c>
    </row>
    <row r="98" spans="1:17">
      <c r="A98" s="26">
        <v>79</v>
      </c>
      <c r="B98" s="797" t="s">
        <v>2247</v>
      </c>
      <c r="C98" s="24"/>
      <c r="D98" s="24"/>
      <c r="E98" s="24"/>
      <c r="F98" s="464">
        <v>287512.96999999997</v>
      </c>
      <c r="G98" s="24"/>
      <c r="H98" s="24"/>
      <c r="J98" s="291">
        <v>0.04</v>
      </c>
      <c r="K98" s="436">
        <f t="shared" si="28"/>
        <v>11500.5188</v>
      </c>
      <c r="L98" s="436">
        <f t="shared" si="25"/>
        <v>299013.48879999999</v>
      </c>
      <c r="M98" s="291">
        <v>0.04</v>
      </c>
      <c r="N98" s="464">
        <f t="shared" si="26"/>
        <v>11960.539552</v>
      </c>
      <c r="O98" s="436">
        <f t="shared" si="27"/>
        <v>310974.02835199999</v>
      </c>
      <c r="P98" s="194">
        <f t="shared" si="23"/>
        <v>0</v>
      </c>
      <c r="Q98" s="194">
        <f t="shared" si="24"/>
        <v>23461.058352</v>
      </c>
    </row>
    <row r="99" spans="1:17">
      <c r="A99" s="26">
        <v>80</v>
      </c>
      <c r="B99" s="797" t="s">
        <v>750</v>
      </c>
      <c r="C99" s="24"/>
      <c r="D99" s="24"/>
      <c r="E99" s="24"/>
      <c r="F99" s="464">
        <v>203880.66</v>
      </c>
      <c r="G99" s="24"/>
      <c r="H99" s="24"/>
      <c r="J99" s="291">
        <v>0.04</v>
      </c>
      <c r="K99" s="436">
        <f t="shared" si="28"/>
        <v>8155.2264000000005</v>
      </c>
      <c r="L99" s="436">
        <f t="shared" si="25"/>
        <v>212035.88640000002</v>
      </c>
      <c r="M99" s="291">
        <v>0.04</v>
      </c>
      <c r="N99" s="464">
        <f t="shared" si="26"/>
        <v>8481.4354560000011</v>
      </c>
      <c r="O99" s="436">
        <f t="shared" si="27"/>
        <v>220517.32185600002</v>
      </c>
      <c r="P99" s="194">
        <f t="shared" si="23"/>
        <v>0</v>
      </c>
      <c r="Q99" s="194">
        <f t="shared" si="24"/>
        <v>16636.661856000002</v>
      </c>
    </row>
    <row r="100" spans="1:17">
      <c r="A100" s="26">
        <v>81</v>
      </c>
      <c r="B100" s="797" t="s">
        <v>1370</v>
      </c>
      <c r="C100" s="24"/>
      <c r="D100" s="24"/>
      <c r="E100" s="24"/>
      <c r="F100" s="464">
        <v>17020.080000000002</v>
      </c>
      <c r="G100" s="24"/>
      <c r="H100" s="24"/>
      <c r="J100" s="291">
        <v>0.04</v>
      </c>
      <c r="K100" s="436">
        <f t="shared" si="28"/>
        <v>680.80320000000006</v>
      </c>
      <c r="L100" s="436">
        <f t="shared" si="25"/>
        <v>17700.8832</v>
      </c>
      <c r="M100" s="291">
        <v>0.04</v>
      </c>
      <c r="N100" s="464">
        <f t="shared" si="26"/>
        <v>708.03532800000005</v>
      </c>
      <c r="O100" s="436">
        <f t="shared" si="27"/>
        <v>18408.918528000002</v>
      </c>
      <c r="P100" s="194">
        <f t="shared" si="23"/>
        <v>0</v>
      </c>
      <c r="Q100" s="194">
        <f t="shared" si="24"/>
        <v>1388.8385280000002</v>
      </c>
    </row>
    <row r="101" spans="1:17">
      <c r="A101" s="26">
        <v>82</v>
      </c>
      <c r="B101" s="797" t="s">
        <v>2248</v>
      </c>
      <c r="C101" s="24"/>
      <c r="D101" s="24"/>
      <c r="E101" s="24"/>
      <c r="F101" s="464">
        <v>35070.400000000001</v>
      </c>
      <c r="G101" s="24"/>
      <c r="H101" s="24"/>
      <c r="J101" s="291">
        <v>0.04</v>
      </c>
      <c r="K101" s="436">
        <f t="shared" si="28"/>
        <v>1402.816</v>
      </c>
      <c r="L101" s="436">
        <f t="shared" si="25"/>
        <v>36473.216</v>
      </c>
      <c r="M101" s="291">
        <v>0.04</v>
      </c>
      <c r="N101" s="464">
        <f t="shared" si="26"/>
        <v>1458.9286400000001</v>
      </c>
      <c r="O101" s="436">
        <f t="shared" si="27"/>
        <v>37932.144639999999</v>
      </c>
      <c r="P101" s="194">
        <f t="shared" si="23"/>
        <v>0</v>
      </c>
      <c r="Q101" s="194">
        <f t="shared" si="24"/>
        <v>2861.7446399999999</v>
      </c>
    </row>
    <row r="102" spans="1:17">
      <c r="A102" s="26">
        <v>83</v>
      </c>
      <c r="B102" s="797" t="s">
        <v>751</v>
      </c>
      <c r="C102" s="24"/>
      <c r="D102" s="24"/>
      <c r="E102" s="24"/>
      <c r="F102" s="464">
        <v>787.94</v>
      </c>
      <c r="G102" s="24"/>
      <c r="H102" s="24"/>
      <c r="J102" s="291">
        <v>0.04</v>
      </c>
      <c r="K102" s="436">
        <f t="shared" si="28"/>
        <v>31.517600000000002</v>
      </c>
      <c r="L102" s="436">
        <f t="shared" si="25"/>
        <v>819.45760000000007</v>
      </c>
      <c r="M102" s="291">
        <v>0.04</v>
      </c>
      <c r="N102" s="464">
        <f t="shared" si="26"/>
        <v>32.778304000000006</v>
      </c>
      <c r="O102" s="436">
        <f t="shared" si="27"/>
        <v>852.23590400000012</v>
      </c>
      <c r="P102" s="194">
        <f t="shared" si="23"/>
        <v>0</v>
      </c>
      <c r="Q102" s="194">
        <f t="shared" si="24"/>
        <v>64.295904000000007</v>
      </c>
    </row>
    <row r="103" spans="1:17">
      <c r="A103" s="26">
        <v>84</v>
      </c>
      <c r="B103" s="797" t="s">
        <v>752</v>
      </c>
      <c r="C103" s="24"/>
      <c r="D103" s="24"/>
      <c r="E103" s="24"/>
      <c r="F103" s="464">
        <v>66933.38</v>
      </c>
      <c r="G103" s="24"/>
      <c r="H103" s="24"/>
      <c r="J103" s="291">
        <v>0.04</v>
      </c>
      <c r="K103" s="436">
        <f t="shared" si="28"/>
        <v>2677.3352000000004</v>
      </c>
      <c r="L103" s="436">
        <f t="shared" si="25"/>
        <v>69610.715200000006</v>
      </c>
      <c r="M103" s="291">
        <v>0.04</v>
      </c>
      <c r="N103" s="464">
        <f t="shared" si="26"/>
        <v>2784.4286080000002</v>
      </c>
      <c r="O103" s="436">
        <f t="shared" si="27"/>
        <v>72395.143808000008</v>
      </c>
      <c r="P103" s="194">
        <f t="shared" si="23"/>
        <v>0</v>
      </c>
      <c r="Q103" s="194">
        <f t="shared" si="24"/>
        <v>5461.7638080000006</v>
      </c>
    </row>
    <row r="104" spans="1:17">
      <c r="A104" s="26">
        <v>85</v>
      </c>
      <c r="B104" s="797" t="s">
        <v>2249</v>
      </c>
      <c r="C104" s="24"/>
      <c r="D104" s="24"/>
      <c r="E104" s="24"/>
      <c r="F104" s="464">
        <v>73862.3</v>
      </c>
      <c r="G104" s="24"/>
      <c r="H104" s="24"/>
      <c r="J104" s="291">
        <v>0.04</v>
      </c>
      <c r="K104" s="436">
        <f t="shared" si="28"/>
        <v>2954.4920000000002</v>
      </c>
      <c r="L104" s="436">
        <f t="shared" si="25"/>
        <v>76816.792000000001</v>
      </c>
      <c r="M104" s="291">
        <v>0.04</v>
      </c>
      <c r="N104" s="464">
        <f t="shared" si="26"/>
        <v>3072.6716799999999</v>
      </c>
      <c r="O104" s="436">
        <f t="shared" si="27"/>
        <v>79889.463680000001</v>
      </c>
      <c r="P104" s="194">
        <f t="shared" si="23"/>
        <v>0</v>
      </c>
      <c r="Q104" s="194">
        <f t="shared" si="24"/>
        <v>6027.1636799999997</v>
      </c>
    </row>
    <row r="105" spans="1:17">
      <c r="A105" s="26">
        <v>86</v>
      </c>
      <c r="B105" s="797" t="s">
        <v>2250</v>
      </c>
      <c r="C105" s="24"/>
      <c r="D105" s="24"/>
      <c r="E105" s="24"/>
      <c r="F105" s="464">
        <v>69084.19</v>
      </c>
      <c r="G105" s="24"/>
      <c r="H105" s="24"/>
      <c r="J105" s="291">
        <v>0.04</v>
      </c>
      <c r="K105" s="436">
        <f t="shared" si="28"/>
        <v>2763.3676</v>
      </c>
      <c r="L105" s="436">
        <f t="shared" si="25"/>
        <v>71847.5576</v>
      </c>
      <c r="M105" s="291">
        <v>0.04</v>
      </c>
      <c r="N105" s="464">
        <f t="shared" si="26"/>
        <v>2873.9023040000002</v>
      </c>
      <c r="O105" s="436">
        <f t="shared" si="27"/>
        <v>74721.459904000003</v>
      </c>
      <c r="P105" s="194">
        <f t="shared" si="23"/>
        <v>0</v>
      </c>
      <c r="Q105" s="194">
        <f t="shared" si="24"/>
        <v>5637.2699040000007</v>
      </c>
    </row>
    <row r="106" spans="1:17">
      <c r="A106" s="26">
        <v>87</v>
      </c>
      <c r="B106" s="797" t="s">
        <v>2251</v>
      </c>
      <c r="C106" s="24"/>
      <c r="D106" s="24"/>
      <c r="E106" s="24"/>
      <c r="F106" s="464">
        <v>72895.600000000006</v>
      </c>
      <c r="G106" s="24"/>
      <c r="H106" s="24"/>
      <c r="J106" s="291">
        <v>0.04</v>
      </c>
      <c r="K106" s="436">
        <f t="shared" si="28"/>
        <v>2915.8240000000001</v>
      </c>
      <c r="L106" s="436">
        <f t="shared" si="25"/>
        <v>75811.423999999999</v>
      </c>
      <c r="M106" s="291">
        <v>0.04</v>
      </c>
      <c r="N106" s="464">
        <f t="shared" si="26"/>
        <v>3032.45696</v>
      </c>
      <c r="O106" s="436">
        <f t="shared" si="27"/>
        <v>78843.880959999995</v>
      </c>
      <c r="P106" s="194">
        <f t="shared" si="23"/>
        <v>0</v>
      </c>
      <c r="Q106" s="194">
        <f t="shared" si="24"/>
        <v>5948.2809600000001</v>
      </c>
    </row>
    <row r="107" spans="1:17">
      <c r="A107" s="26">
        <v>88</v>
      </c>
      <c r="B107" s="797" t="s">
        <v>2252</v>
      </c>
      <c r="C107" s="24"/>
      <c r="D107" s="24"/>
      <c r="E107" s="24"/>
      <c r="F107" s="464">
        <v>108215.66</v>
      </c>
      <c r="G107" s="24"/>
      <c r="H107" s="24"/>
      <c r="J107" s="291">
        <v>0.04</v>
      </c>
      <c r="K107" s="436">
        <f t="shared" si="28"/>
        <v>4328.6264000000001</v>
      </c>
      <c r="L107" s="436">
        <f t="shared" si="25"/>
        <v>112544.2864</v>
      </c>
      <c r="M107" s="291">
        <v>0.04</v>
      </c>
      <c r="N107" s="464">
        <f t="shared" si="26"/>
        <v>4501.7714560000004</v>
      </c>
      <c r="O107" s="436">
        <f t="shared" si="27"/>
        <v>117046.057856</v>
      </c>
      <c r="P107" s="194">
        <f t="shared" si="23"/>
        <v>0</v>
      </c>
      <c r="Q107" s="194">
        <f t="shared" si="24"/>
        <v>8830.3978559999996</v>
      </c>
    </row>
    <row r="108" spans="1:17">
      <c r="A108" s="26">
        <v>89</v>
      </c>
      <c r="B108" s="797" t="s">
        <v>1371</v>
      </c>
      <c r="C108" s="24"/>
      <c r="D108" s="24"/>
      <c r="E108" s="24"/>
      <c r="F108" s="464">
        <v>234155.51999999999</v>
      </c>
      <c r="G108" s="24"/>
      <c r="H108" s="24"/>
      <c r="J108" s="291">
        <v>0.04</v>
      </c>
      <c r="K108" s="436">
        <f t="shared" si="28"/>
        <v>9366.2207999999991</v>
      </c>
      <c r="L108" s="436">
        <f t="shared" si="25"/>
        <v>243521.7408</v>
      </c>
      <c r="M108" s="291">
        <v>0.04</v>
      </c>
      <c r="N108" s="464">
        <f t="shared" si="26"/>
        <v>9740.8696319999999</v>
      </c>
      <c r="O108" s="436">
        <f t="shared" si="27"/>
        <v>253262.61043199999</v>
      </c>
      <c r="P108" s="194">
        <f t="shared" si="23"/>
        <v>0</v>
      </c>
      <c r="Q108" s="194">
        <f t="shared" si="24"/>
        <v>19107.090431999997</v>
      </c>
    </row>
    <row r="109" spans="1:17">
      <c r="A109" s="26">
        <v>90</v>
      </c>
      <c r="B109" s="797" t="s">
        <v>2253</v>
      </c>
      <c r="C109" s="24"/>
      <c r="D109" s="24"/>
      <c r="E109" s="24"/>
      <c r="F109" s="464">
        <v>97059.16</v>
      </c>
      <c r="G109" s="24"/>
      <c r="H109" s="24"/>
      <c r="J109" s="291">
        <v>0.04</v>
      </c>
      <c r="K109" s="436">
        <f t="shared" si="28"/>
        <v>3882.3664000000003</v>
      </c>
      <c r="L109" s="436">
        <f t="shared" si="25"/>
        <v>100941.5264</v>
      </c>
      <c r="M109" s="291">
        <v>0.04</v>
      </c>
      <c r="N109" s="464">
        <f t="shared" si="26"/>
        <v>4037.6610560000004</v>
      </c>
      <c r="O109" s="436">
        <f t="shared" si="27"/>
        <v>104979.187456</v>
      </c>
      <c r="P109" s="194">
        <f t="shared" si="23"/>
        <v>0</v>
      </c>
      <c r="Q109" s="194">
        <f t="shared" si="24"/>
        <v>7920.0274560000007</v>
      </c>
    </row>
    <row r="110" spans="1:17">
      <c r="A110" s="26">
        <v>91</v>
      </c>
      <c r="B110" s="797" t="s">
        <v>2254</v>
      </c>
      <c r="C110" s="24"/>
      <c r="D110" s="24"/>
      <c r="E110" s="24"/>
      <c r="F110" s="464">
        <v>676.53</v>
      </c>
      <c r="G110" s="24"/>
      <c r="H110" s="24"/>
      <c r="J110" s="291">
        <v>0.04</v>
      </c>
      <c r="K110" s="436">
        <f t="shared" si="28"/>
        <v>27.061199999999999</v>
      </c>
      <c r="L110" s="436">
        <f t="shared" si="25"/>
        <v>703.59119999999996</v>
      </c>
      <c r="M110" s="291">
        <v>0.04</v>
      </c>
      <c r="N110" s="464">
        <f t="shared" si="26"/>
        <v>28.143647999999999</v>
      </c>
      <c r="O110" s="436">
        <f t="shared" si="27"/>
        <v>731.73484799999994</v>
      </c>
      <c r="P110" s="194">
        <f t="shared" si="23"/>
        <v>0</v>
      </c>
      <c r="Q110" s="194">
        <f t="shared" si="24"/>
        <v>55.204847999999998</v>
      </c>
    </row>
    <row r="111" spans="1:17">
      <c r="A111" s="26">
        <v>92</v>
      </c>
      <c r="B111" s="24"/>
      <c r="C111" s="24"/>
      <c r="D111" s="24"/>
      <c r="E111" s="24"/>
      <c r="F111" s="437">
        <f>SUM(F75:F110)</f>
        <v>5832196.1399999997</v>
      </c>
      <c r="G111" s="24"/>
      <c r="H111" s="24"/>
      <c r="J111" s="24"/>
      <c r="K111" s="437">
        <f>SUM(K75:K110)</f>
        <v>233287.84559999997</v>
      </c>
      <c r="L111" s="437">
        <f>SUM(L75:L110)</f>
        <v>6065483.9855999993</v>
      </c>
      <c r="M111" s="24"/>
      <c r="N111" s="437">
        <f>SUM(N75:N110)</f>
        <v>242619.35942399999</v>
      </c>
      <c r="O111" s="437">
        <f>SUM(O75:O110)</f>
        <v>6308103.3450239981</v>
      </c>
      <c r="P111" s="292">
        <f>SUM(P75:P110)</f>
        <v>0</v>
      </c>
      <c r="Q111" s="292">
        <f>SUM(Q75:Q110)</f>
        <v>475907.20502400014</v>
      </c>
    </row>
    <row r="112" spans="1:17">
      <c r="A112" s="26"/>
      <c r="B112" s="24"/>
      <c r="C112" s="24"/>
      <c r="D112" s="24"/>
      <c r="E112" s="24"/>
      <c r="F112" s="24"/>
      <c r="G112" s="24"/>
      <c r="H112" s="24"/>
      <c r="J112" s="24"/>
      <c r="K112" s="436"/>
      <c r="L112" s="24"/>
      <c r="M112" s="24"/>
      <c r="N112" s="24"/>
      <c r="O112" s="24"/>
    </row>
    <row r="113" spans="1:15">
      <c r="A113" s="438" t="s">
        <v>777</v>
      </c>
      <c r="B113" s="24"/>
      <c r="C113" s="24"/>
      <c r="D113" s="24"/>
      <c r="E113" s="24"/>
      <c r="F113" s="24"/>
      <c r="G113" s="24"/>
      <c r="H113" s="24"/>
      <c r="J113" s="24"/>
      <c r="K113" s="24"/>
      <c r="L113" s="24"/>
      <c r="M113" s="24"/>
      <c r="N113" s="24"/>
      <c r="O113" s="24"/>
    </row>
    <row r="114" spans="1:15">
      <c r="A114" s="438" t="s">
        <v>1101</v>
      </c>
      <c r="B114" s="24"/>
      <c r="C114" s="24"/>
      <c r="D114" s="24"/>
      <c r="E114" s="24"/>
      <c r="F114" s="24"/>
      <c r="G114" s="24"/>
      <c r="H114" s="24"/>
      <c r="J114" s="24"/>
      <c r="K114" s="24"/>
      <c r="L114" s="24"/>
      <c r="M114" s="24"/>
      <c r="N114" s="24"/>
      <c r="O114" s="24"/>
    </row>
    <row r="115" spans="1:15">
      <c r="A115" s="438" t="s">
        <v>1312</v>
      </c>
      <c r="B115" s="24"/>
      <c r="C115" s="24"/>
      <c r="D115" s="24"/>
      <c r="E115" s="24"/>
      <c r="F115" s="24"/>
      <c r="G115" s="24"/>
      <c r="H115" s="24"/>
      <c r="I115" s="24"/>
      <c r="J115" s="24"/>
      <c r="K115" s="24"/>
      <c r="L115" s="24"/>
      <c r="M115" s="24"/>
      <c r="N115" s="24"/>
      <c r="O115" s="24"/>
    </row>
    <row r="116" spans="1:15">
      <c r="A116" s="26"/>
      <c r="B116" s="24"/>
      <c r="C116" s="24"/>
      <c r="D116" s="24"/>
      <c r="E116" s="24"/>
      <c r="F116" s="24"/>
      <c r="G116" s="24"/>
      <c r="H116" s="24"/>
      <c r="I116" s="24"/>
    </row>
    <row r="117" spans="1:15">
      <c r="A117" s="26"/>
      <c r="B117" s="24"/>
      <c r="C117" s="24"/>
      <c r="D117" s="24"/>
      <c r="E117" s="24"/>
      <c r="F117" s="24"/>
      <c r="G117" s="24"/>
      <c r="H117" s="24"/>
      <c r="I117" s="24"/>
    </row>
    <row r="118" spans="1:15">
      <c r="A118" s="26"/>
      <c r="B118" s="24"/>
      <c r="C118" s="24"/>
      <c r="D118" s="24"/>
      <c r="E118" s="24"/>
      <c r="F118" s="24"/>
      <c r="G118" s="24"/>
      <c r="H118" s="24"/>
    </row>
    <row r="119" spans="1:15">
      <c r="A119" s="26"/>
      <c r="B119" s="24"/>
      <c r="C119" s="24"/>
      <c r="D119" s="24"/>
      <c r="E119" s="24"/>
      <c r="F119" s="24"/>
      <c r="G119" s="24"/>
      <c r="H119" s="24"/>
    </row>
    <row r="120" spans="1:15">
      <c r="A120" s="26"/>
      <c r="B120" s="24"/>
      <c r="C120" s="24"/>
      <c r="D120" s="24"/>
      <c r="E120" s="24"/>
      <c r="F120" s="24"/>
      <c r="G120" s="24"/>
      <c r="H120" s="24"/>
    </row>
    <row r="121" spans="1:15">
      <c r="A121" s="26"/>
      <c r="B121" s="24"/>
      <c r="C121" s="24"/>
      <c r="D121" s="24"/>
      <c r="E121" s="24"/>
      <c r="F121" s="24"/>
      <c r="G121" s="24"/>
      <c r="H121" s="24"/>
    </row>
  </sheetData>
  <mergeCells count="6">
    <mergeCell ref="B70:E73"/>
    <mergeCell ref="E1:L1"/>
    <mergeCell ref="E2:L2"/>
    <mergeCell ref="E3:L3"/>
    <mergeCell ref="E4:L4"/>
    <mergeCell ref="E5:L5"/>
  </mergeCells>
  <printOptions horizontalCentered="1"/>
  <pageMargins left="0.7" right="0.7" top="0.75" bottom="0.75" header="0.3" footer="0.3"/>
  <pageSetup scale="39" orientation="landscape" r:id="rId1"/>
  <headerFooter scaleWithDoc="0" alignWithMargins="0">
    <oddHeader>&amp;RPage &amp;P of &amp;N</oddHeader>
    <oddFooter>&amp;LElectronic Tab Name:&amp;A</oddFooter>
  </headerFooter>
  <rowBreaks count="2" manualBreakCount="2">
    <brk id="42" max="15" man="1"/>
    <brk id="68" max="15" man="1"/>
  </rowBreaks>
  <legacy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30"/>
  <sheetViews>
    <sheetView view="pageBreakPreview" zoomScale="60" zoomScaleNormal="100" workbookViewId="0">
      <selection activeCell="G24" sqref="F24:G24"/>
    </sheetView>
  </sheetViews>
  <sheetFormatPr defaultRowHeight="15"/>
  <cols>
    <col min="1" max="1" width="36.85546875" bestFit="1" customWidth="1"/>
    <col min="2" max="2" width="15" bestFit="1" customWidth="1"/>
    <col min="3" max="3" width="14.28515625" bestFit="1" customWidth="1"/>
  </cols>
  <sheetData>
    <row r="1" spans="1:6" ht="15.75">
      <c r="A1" s="904" t="s">
        <v>60</v>
      </c>
      <c r="B1" s="904"/>
      <c r="C1" s="904"/>
      <c r="D1" s="3"/>
      <c r="E1" s="3"/>
      <c r="F1" s="3"/>
    </row>
    <row r="2" spans="1:6" ht="15.75">
      <c r="A2" s="904" t="s">
        <v>1865</v>
      </c>
      <c r="B2" s="904"/>
      <c r="C2" s="904"/>
      <c r="D2" s="3"/>
      <c r="E2" s="3"/>
      <c r="F2" s="3"/>
    </row>
    <row r="3" spans="1:6" ht="15.75">
      <c r="A3" s="904" t="s">
        <v>1305</v>
      </c>
      <c r="B3" s="904"/>
      <c r="C3" s="904"/>
      <c r="D3" s="3"/>
      <c r="E3" s="3"/>
      <c r="F3" s="3"/>
    </row>
    <row r="4" spans="1:6" ht="15.75">
      <c r="A4" s="904" t="s">
        <v>1387</v>
      </c>
      <c r="B4" s="904"/>
      <c r="C4" s="904"/>
      <c r="D4" s="3"/>
      <c r="E4" s="3"/>
      <c r="F4" s="3"/>
    </row>
    <row r="5" spans="1:6" ht="15.75">
      <c r="A5" s="904" t="s">
        <v>1864</v>
      </c>
      <c r="B5" s="904"/>
      <c r="C5" s="904"/>
      <c r="D5" s="3"/>
      <c r="E5" s="3"/>
      <c r="F5" s="3"/>
    </row>
    <row r="10" spans="1:6">
      <c r="B10" t="s">
        <v>1374</v>
      </c>
      <c r="C10" s="467">
        <f>+B23</f>
        <v>389056.37</v>
      </c>
    </row>
    <row r="11" spans="1:6">
      <c r="B11" t="s">
        <v>1375</v>
      </c>
      <c r="C11" s="467">
        <f>+B24</f>
        <v>692843.03</v>
      </c>
    </row>
    <row r="12" spans="1:6">
      <c r="B12" t="s">
        <v>1376</v>
      </c>
      <c r="C12" s="467">
        <f>+B22</f>
        <v>35135.07</v>
      </c>
    </row>
    <row r="13" spans="1:6">
      <c r="B13" t="s">
        <v>1377</v>
      </c>
      <c r="C13" s="467">
        <f>+B20+B21</f>
        <v>860349.55</v>
      </c>
    </row>
    <row r="14" spans="1:6">
      <c r="B14" t="s">
        <v>1378</v>
      </c>
      <c r="C14" s="467">
        <f>+B18+B19</f>
        <v>1085270.29</v>
      </c>
    </row>
    <row r="15" spans="1:6" ht="15.75" thickBot="1">
      <c r="C15" s="468">
        <f>SUM(C10:C14)</f>
        <v>3062654.31</v>
      </c>
    </row>
    <row r="16" spans="1:6" ht="15.75" thickTop="1"/>
    <row r="18" spans="1:2">
      <c r="A18" t="s">
        <v>1379</v>
      </c>
      <c r="B18" s="467">
        <v>722274.82</v>
      </c>
    </row>
    <row r="19" spans="1:2">
      <c r="A19" t="s">
        <v>1380</v>
      </c>
      <c r="B19" s="467">
        <v>362995.47</v>
      </c>
    </row>
    <row r="20" spans="1:2">
      <c r="A20" t="s">
        <v>1381</v>
      </c>
      <c r="B20" s="467">
        <v>473325.53</v>
      </c>
    </row>
    <row r="21" spans="1:2">
      <c r="A21" t="s">
        <v>1382</v>
      </c>
      <c r="B21" s="467">
        <v>387024.02</v>
      </c>
    </row>
    <row r="22" spans="1:2">
      <c r="A22" t="s">
        <v>1383</v>
      </c>
      <c r="B22" s="467">
        <v>35135.07</v>
      </c>
    </row>
    <row r="23" spans="1:2">
      <c r="A23" t="s">
        <v>1384</v>
      </c>
      <c r="B23" s="467">
        <v>389056.37</v>
      </c>
    </row>
    <row r="24" spans="1:2">
      <c r="A24" t="s">
        <v>1385</v>
      </c>
      <c r="B24" s="467">
        <v>692843.03</v>
      </c>
    </row>
    <row r="25" spans="1:2" ht="15.75" thickBot="1">
      <c r="B25" s="469">
        <f>SUM(B18:B24)</f>
        <v>3062654.3100000005</v>
      </c>
    </row>
    <row r="26" spans="1:2" ht="15.75" thickTop="1"/>
    <row r="27" spans="1:2">
      <c r="A27" t="s">
        <v>1386</v>
      </c>
      <c r="B27" s="470">
        <f>+B18+B20+B22</f>
        <v>1230735.4200000002</v>
      </c>
    </row>
    <row r="30" spans="1:2">
      <c r="A30" t="s">
        <v>1388</v>
      </c>
      <c r="B30" s="470">
        <f>-B27</f>
        <v>-1230735.4200000002</v>
      </c>
    </row>
  </sheetData>
  <mergeCells count="5">
    <mergeCell ref="A1:C1"/>
    <mergeCell ref="A2:C2"/>
    <mergeCell ref="A3:C3"/>
    <mergeCell ref="A4:C4"/>
    <mergeCell ref="A5:C5"/>
  </mergeCells>
  <printOptions horizontalCentered="1"/>
  <pageMargins left="0.7" right="0.7" top="0.75" bottom="0.75" header="0.3" footer="0.3"/>
  <pageSetup orientation="portrait" r:id="rId1"/>
  <headerFooter scaleWithDoc="0" alignWithMargins="0">
    <oddHeader>&amp;R&amp;P of &amp;N</oddHeader>
    <oddFooter>&amp;LElectronic Tab Name: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6"/>
  <dimension ref="A1:M21"/>
  <sheetViews>
    <sheetView view="pageBreakPreview" zoomScale="60" zoomScaleNormal="100" workbookViewId="0">
      <selection activeCell="G24" sqref="F24:G24"/>
    </sheetView>
  </sheetViews>
  <sheetFormatPr defaultRowHeight="15.75"/>
  <cols>
    <col min="1" max="1" width="9.28515625" style="508" bestFit="1" customWidth="1"/>
    <col min="2" max="2" width="13.5703125" style="509" bestFit="1" customWidth="1"/>
    <col min="3" max="3" width="10.85546875" style="509" bestFit="1" customWidth="1"/>
    <col min="4" max="4" width="12" style="509" bestFit="1" customWidth="1"/>
    <col min="5" max="5" width="15.42578125" style="509" bestFit="1" customWidth="1"/>
    <col min="6" max="6" width="11.5703125" style="509" bestFit="1" customWidth="1"/>
    <col min="7" max="7" width="9.28515625" style="509" bestFit="1" customWidth="1"/>
    <col min="8" max="8" width="12.7109375" style="508" bestFit="1" customWidth="1"/>
    <col min="9" max="9" width="9.140625" style="509"/>
    <col min="10" max="16384" width="9.140625" style="97"/>
  </cols>
  <sheetData>
    <row r="1" spans="1:13">
      <c r="A1" s="904" t="s">
        <v>60</v>
      </c>
      <c r="B1" s="904"/>
      <c r="C1" s="904"/>
      <c r="D1" s="904"/>
      <c r="E1" s="904"/>
      <c r="F1" s="904"/>
      <c r="G1" s="904"/>
      <c r="H1" s="904"/>
      <c r="I1" s="3"/>
      <c r="J1" s="3"/>
      <c r="K1" s="278"/>
      <c r="L1" s="278"/>
      <c r="M1" s="278"/>
    </row>
    <row r="2" spans="1:13">
      <c r="A2" s="904" t="s">
        <v>1289</v>
      </c>
      <c r="B2" s="904"/>
      <c r="C2" s="904"/>
      <c r="D2" s="904"/>
      <c r="E2" s="904"/>
      <c r="F2" s="904"/>
      <c r="G2" s="904"/>
      <c r="H2" s="904"/>
      <c r="I2" s="3"/>
      <c r="J2" s="3"/>
      <c r="K2" s="278"/>
      <c r="L2" s="278"/>
      <c r="M2" s="278"/>
    </row>
    <row r="3" spans="1:13">
      <c r="A3" s="904" t="s">
        <v>1306</v>
      </c>
      <c r="B3" s="904"/>
      <c r="C3" s="904"/>
      <c r="D3" s="904"/>
      <c r="E3" s="904"/>
      <c r="F3" s="904"/>
      <c r="G3" s="904"/>
      <c r="H3" s="904"/>
      <c r="I3" s="3"/>
      <c r="J3" s="3"/>
      <c r="K3" s="278"/>
      <c r="L3" s="278"/>
      <c r="M3" s="278"/>
    </row>
    <row r="4" spans="1:13">
      <c r="A4" s="904" t="s">
        <v>84</v>
      </c>
      <c r="B4" s="904"/>
      <c r="C4" s="904"/>
      <c r="D4" s="904"/>
      <c r="E4" s="904"/>
      <c r="F4" s="904"/>
      <c r="G4" s="904"/>
      <c r="H4" s="904"/>
      <c r="I4" s="3"/>
      <c r="J4" s="3"/>
      <c r="K4" s="278"/>
      <c r="L4" s="278"/>
      <c r="M4" s="278"/>
    </row>
    <row r="5" spans="1:13">
      <c r="A5" s="904" t="s">
        <v>1864</v>
      </c>
      <c r="B5" s="904"/>
      <c r="C5" s="904"/>
      <c r="D5" s="904"/>
      <c r="E5" s="904"/>
      <c r="F5" s="904"/>
      <c r="G5" s="904"/>
      <c r="H5" s="904"/>
      <c r="I5" s="3"/>
      <c r="J5" s="3"/>
      <c r="K5" s="278"/>
      <c r="L5" s="278"/>
      <c r="M5" s="278"/>
    </row>
    <row r="6" spans="1:13">
      <c r="K6" s="278"/>
      <c r="L6" s="278"/>
      <c r="M6" s="278"/>
    </row>
    <row r="7" spans="1:13">
      <c r="K7" s="278"/>
      <c r="L7" s="278"/>
      <c r="M7" s="278"/>
    </row>
    <row r="8" spans="1:13">
      <c r="K8" s="278"/>
      <c r="L8" s="278"/>
      <c r="M8" s="278"/>
    </row>
    <row r="9" spans="1:13" s="279" customFormat="1">
      <c r="A9" s="508"/>
      <c r="B9" s="508" t="s">
        <v>803</v>
      </c>
      <c r="C9" s="508" t="s">
        <v>801</v>
      </c>
      <c r="D9" s="508" t="s">
        <v>802</v>
      </c>
      <c r="E9" s="508" t="s">
        <v>805</v>
      </c>
      <c r="F9" s="508" t="s">
        <v>806</v>
      </c>
      <c r="G9" s="508" t="s">
        <v>807</v>
      </c>
      <c r="H9" s="508" t="s">
        <v>808</v>
      </c>
      <c r="I9" s="508"/>
      <c r="K9" s="280"/>
      <c r="L9" s="280"/>
      <c r="M9" s="280"/>
    </row>
    <row r="10" spans="1:13">
      <c r="B10" s="510" t="s">
        <v>372</v>
      </c>
      <c r="C10" s="285"/>
      <c r="D10" s="285"/>
      <c r="E10" s="285"/>
      <c r="F10" s="285"/>
      <c r="G10" s="285"/>
      <c r="H10" s="282"/>
      <c r="I10" s="285"/>
      <c r="J10" s="278"/>
    </row>
    <row r="11" spans="1:13">
      <c r="B11" s="285"/>
      <c r="C11" s="285"/>
      <c r="D11" s="285"/>
      <c r="E11" s="511"/>
      <c r="F11" s="285"/>
      <c r="G11" s="285"/>
      <c r="H11" s="282"/>
      <c r="I11" s="285"/>
      <c r="J11" s="278"/>
    </row>
    <row r="12" spans="1:13">
      <c r="A12" s="508" t="s">
        <v>662</v>
      </c>
      <c r="B12" s="285" t="s">
        <v>90</v>
      </c>
      <c r="C12" s="282" t="s">
        <v>91</v>
      </c>
      <c r="D12" s="282"/>
      <c r="E12" s="282" t="s">
        <v>92</v>
      </c>
      <c r="F12" s="282"/>
      <c r="G12" s="282" t="s">
        <v>93</v>
      </c>
      <c r="H12" s="282"/>
      <c r="I12" s="285"/>
      <c r="J12" s="278"/>
    </row>
    <row r="13" spans="1:13">
      <c r="A13" s="508">
        <v>1</v>
      </c>
      <c r="B13" s="512">
        <v>43465</v>
      </c>
      <c r="C13" s="282" t="s">
        <v>94</v>
      </c>
      <c r="D13" s="282" t="s">
        <v>95</v>
      </c>
      <c r="E13" s="282" t="s">
        <v>96</v>
      </c>
      <c r="F13" s="282" t="s">
        <v>62</v>
      </c>
      <c r="G13" s="282" t="s">
        <v>97</v>
      </c>
      <c r="H13" s="281" t="s">
        <v>98</v>
      </c>
      <c r="I13" s="285"/>
      <c r="J13" s="278"/>
    </row>
    <row r="14" spans="1:13">
      <c r="B14" s="512"/>
      <c r="C14" s="282"/>
      <c r="D14" s="282"/>
      <c r="E14" s="282"/>
      <c r="F14" s="282"/>
      <c r="G14" s="513"/>
      <c r="H14" s="282"/>
    </row>
    <row r="15" spans="1:13">
      <c r="B15" s="285"/>
      <c r="C15" s="282"/>
      <c r="D15" s="282"/>
      <c r="E15" s="282"/>
      <c r="F15" s="282"/>
      <c r="G15" s="282"/>
      <c r="H15" s="282"/>
    </row>
    <row r="16" spans="1:13" ht="16.5" thickBot="1">
      <c r="A16" s="508">
        <v>2</v>
      </c>
      <c r="B16" s="283">
        <f>+'Exh MCP-8 - ROO Summary Sheet'!Q40</f>
        <v>460643302.98850894</v>
      </c>
      <c r="C16" s="514">
        <f>+'Capital Structure Calculation'!J11</f>
        <v>2.3529999999999999E-2</v>
      </c>
      <c r="D16" s="282">
        <f>B16*C16</f>
        <v>10838936.919319615</v>
      </c>
      <c r="E16" s="282">
        <f>+'Operating Report'!G160</f>
        <v>11276371.959999999</v>
      </c>
      <c r="F16" s="282">
        <f>+D16-E16</f>
        <v>-437435.04068038426</v>
      </c>
      <c r="G16" s="284">
        <f>+'Exh MCP-4 - Conversion Factor'!C33</f>
        <v>0.21</v>
      </c>
      <c r="H16" s="702">
        <f>+F16*-G16</f>
        <v>91861.358542880698</v>
      </c>
      <c r="K16" s="278"/>
      <c r="L16" s="278"/>
      <c r="M16" s="278"/>
    </row>
    <row r="17" spans="2:13" ht="16.5" thickTop="1">
      <c r="B17" s="285"/>
      <c r="C17" s="285"/>
      <c r="D17" s="285"/>
      <c r="E17" s="285"/>
      <c r="F17" s="285"/>
      <c r="G17" s="515"/>
      <c r="H17" s="282"/>
      <c r="K17" s="278"/>
      <c r="L17" s="286"/>
      <c r="M17" s="278"/>
    </row>
    <row r="18" spans="2:13">
      <c r="G18" s="285"/>
      <c r="H18" s="282"/>
      <c r="K18" s="278"/>
      <c r="L18" s="278"/>
      <c r="M18" s="278"/>
    </row>
    <row r="19" spans="2:13">
      <c r="B19" s="516"/>
      <c r="C19" s="285"/>
      <c r="D19" s="285"/>
      <c r="E19" s="285"/>
      <c r="F19" s="285"/>
      <c r="I19" s="285"/>
      <c r="J19" s="278"/>
      <c r="K19" s="278"/>
      <c r="L19" s="278"/>
      <c r="M19" s="278"/>
    </row>
    <row r="20" spans="2:13">
      <c r="B20" s="285"/>
      <c r="C20" s="285"/>
      <c r="D20" s="285"/>
      <c r="E20" s="285"/>
      <c r="F20" s="285"/>
      <c r="I20" s="285"/>
      <c r="J20" s="278"/>
      <c r="K20" s="278"/>
      <c r="L20" s="278"/>
      <c r="M20" s="280"/>
    </row>
    <row r="21" spans="2:13">
      <c r="G21" s="285"/>
      <c r="H21" s="282"/>
      <c r="I21" s="285"/>
      <c r="J21" s="278"/>
      <c r="K21" s="278"/>
      <c r="L21" s="278"/>
      <c r="M21" s="278"/>
    </row>
  </sheetData>
  <mergeCells count="5">
    <mergeCell ref="A1:H1"/>
    <mergeCell ref="A2:H2"/>
    <mergeCell ref="A3:H3"/>
    <mergeCell ref="A4:H4"/>
    <mergeCell ref="A5:H5"/>
  </mergeCells>
  <printOptions horizontalCentered="1"/>
  <pageMargins left="0.7" right="0.7" top="0.75" bottom="0.75" header="0.3" footer="0.3"/>
  <pageSetup scale="94" orientation="portrait" r:id="rId1"/>
  <headerFooter scaleWithDoc="0" alignWithMargins="0">
    <oddHeader>&amp;RPage &amp;P of &amp;N</oddHeader>
    <oddFooter>&amp;LElectronic Tab Name:&amp;A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tabColor rgb="FFFFFF00"/>
  </sheetPr>
  <dimension ref="A1:I36"/>
  <sheetViews>
    <sheetView view="pageBreakPreview" zoomScaleNormal="100" zoomScaleSheetLayoutView="100" workbookViewId="0">
      <selection activeCell="B28" sqref="B28"/>
    </sheetView>
  </sheetViews>
  <sheetFormatPr defaultRowHeight="15.75"/>
  <cols>
    <col min="1" max="1" width="9.42578125" style="6" bestFit="1" customWidth="1"/>
    <col min="2" max="2" width="33" style="4" bestFit="1" customWidth="1"/>
    <col min="3" max="3" width="10.28515625" style="4" bestFit="1" customWidth="1"/>
    <col min="4" max="4" width="27.28515625" style="4" customWidth="1"/>
    <col min="5" max="5" width="18.140625" style="29" bestFit="1" customWidth="1"/>
    <col min="6" max="6" width="13.140625" style="4" bestFit="1" customWidth="1"/>
    <col min="7" max="7" width="10.140625" style="4" bestFit="1" customWidth="1"/>
    <col min="8" max="8" width="13.5703125" style="4" bestFit="1" customWidth="1"/>
    <col min="9" max="9" width="9.140625" style="4"/>
    <col min="10" max="10" width="9.7109375" style="4" bestFit="1" customWidth="1"/>
    <col min="11" max="16384" width="9.140625" style="4"/>
  </cols>
  <sheetData>
    <row r="1" spans="1:9" s="24" customFormat="1">
      <c r="A1" s="26"/>
      <c r="B1" s="904" t="s">
        <v>60</v>
      </c>
      <c r="C1" s="904"/>
      <c r="D1" s="904"/>
      <c r="E1" s="904"/>
      <c r="F1" s="904"/>
      <c r="G1" s="3"/>
      <c r="H1" s="3"/>
      <c r="I1" s="3"/>
    </row>
    <row r="2" spans="1:9" s="24" customFormat="1">
      <c r="A2" s="26"/>
      <c r="B2" s="904" t="s">
        <v>1865</v>
      </c>
      <c r="C2" s="904"/>
      <c r="D2" s="904"/>
      <c r="E2" s="904"/>
      <c r="F2" s="904"/>
      <c r="G2" s="3"/>
      <c r="H2" s="3"/>
      <c r="I2" s="3"/>
    </row>
    <row r="3" spans="1:9" s="24" customFormat="1">
      <c r="A3" s="26"/>
      <c r="B3" s="904" t="s">
        <v>1310</v>
      </c>
      <c r="C3" s="904"/>
      <c r="D3" s="904"/>
      <c r="E3" s="904"/>
      <c r="F3" s="904"/>
      <c r="G3" s="3"/>
      <c r="H3" s="3"/>
      <c r="I3" s="3"/>
    </row>
    <row r="4" spans="1:9" s="24" customFormat="1">
      <c r="A4" s="26"/>
      <c r="B4" s="904" t="s">
        <v>723</v>
      </c>
      <c r="C4" s="904"/>
      <c r="D4" s="904"/>
      <c r="E4" s="904"/>
      <c r="F4" s="904"/>
      <c r="G4" s="3"/>
      <c r="H4" s="3"/>
      <c r="I4" s="3"/>
    </row>
    <row r="5" spans="1:9" s="24" customFormat="1">
      <c r="A5" s="26"/>
      <c r="B5" s="904" t="s">
        <v>1864</v>
      </c>
      <c r="C5" s="904"/>
      <c r="D5" s="904"/>
      <c r="E5" s="904"/>
      <c r="F5" s="904"/>
      <c r="G5" s="3"/>
      <c r="H5" s="3"/>
      <c r="I5" s="3"/>
    </row>
    <row r="6" spans="1:9" s="24" customFormat="1">
      <c r="A6" s="26"/>
      <c r="E6" s="494"/>
    </row>
    <row r="7" spans="1:9" s="26" customFormat="1">
      <c r="B7" s="26" t="s">
        <v>803</v>
      </c>
      <c r="C7" s="26" t="s">
        <v>801</v>
      </c>
      <c r="D7" s="26" t="s">
        <v>802</v>
      </c>
      <c r="E7" s="26" t="s">
        <v>805</v>
      </c>
      <c r="F7" s="26" t="s">
        <v>806</v>
      </c>
    </row>
    <row r="8" spans="1:9" s="24" customFormat="1">
      <c r="A8" s="495" t="s">
        <v>818</v>
      </c>
      <c r="E8" s="494"/>
    </row>
    <row r="9" spans="1:9" s="24" customFormat="1">
      <c r="A9" s="26">
        <v>1</v>
      </c>
      <c r="B9" s="24" t="s">
        <v>1307</v>
      </c>
      <c r="E9" s="496">
        <f>+'MCP-6 - 2020 Plant Additions'!H199</f>
        <v>66105637.284975991</v>
      </c>
    </row>
    <row r="10" spans="1:9" s="24" customFormat="1">
      <c r="A10" s="26"/>
    </row>
    <row r="11" spans="1:9" s="24" customFormat="1">
      <c r="A11" s="26">
        <v>2</v>
      </c>
      <c r="B11" s="67" t="s">
        <v>2035</v>
      </c>
      <c r="C11" s="497">
        <f>E32</f>
        <v>1.1581842116175691E-2</v>
      </c>
    </row>
    <row r="12" spans="1:9" s="24" customFormat="1">
      <c r="A12" s="26">
        <v>3</v>
      </c>
      <c r="B12" s="24" t="s">
        <v>718</v>
      </c>
      <c r="E12" s="432">
        <f>+E9*C11</f>
        <v>765625.05402376899</v>
      </c>
    </row>
    <row r="13" spans="1:9" s="24" customFormat="1">
      <c r="A13" s="26"/>
    </row>
    <row r="14" spans="1:9" s="24" customFormat="1">
      <c r="A14" s="26">
        <v>4</v>
      </c>
      <c r="E14" s="498"/>
    </row>
    <row r="15" spans="1:9" s="24" customFormat="1">
      <c r="A15" s="26"/>
    </row>
    <row r="16" spans="1:9" s="24" customFormat="1">
      <c r="A16" s="26">
        <v>5</v>
      </c>
      <c r="B16" s="24" t="s">
        <v>661</v>
      </c>
      <c r="D16" s="24" t="s">
        <v>817</v>
      </c>
      <c r="E16" s="436">
        <f>+E9</f>
        <v>66105637.284975991</v>
      </c>
      <c r="F16" s="436"/>
    </row>
    <row r="17" spans="1:7" s="24" customFormat="1">
      <c r="A17" s="26"/>
      <c r="E17" s="436"/>
      <c r="F17" s="436"/>
    </row>
    <row r="18" spans="1:7" s="24" customFormat="1">
      <c r="A18" s="26">
        <v>6</v>
      </c>
      <c r="B18" s="24" t="s">
        <v>290</v>
      </c>
      <c r="D18" s="24" t="s">
        <v>1498</v>
      </c>
      <c r="E18" s="436">
        <f>+'MCP-6 - 2020 Plant Additions'!J222</f>
        <v>2695058.5614869548</v>
      </c>
      <c r="F18" s="436">
        <f>+E18</f>
        <v>2695058.5614869548</v>
      </c>
    </row>
    <row r="19" spans="1:7" s="24" customFormat="1">
      <c r="A19" s="26">
        <v>7</v>
      </c>
      <c r="B19" s="24" t="s">
        <v>663</v>
      </c>
      <c r="D19" s="24" t="s">
        <v>819</v>
      </c>
      <c r="E19" s="436">
        <f>+E18/2</f>
        <v>1347529.2807434774</v>
      </c>
      <c r="F19" s="436"/>
    </row>
    <row r="20" spans="1:7" s="24" customFormat="1">
      <c r="A20" s="26">
        <v>8</v>
      </c>
      <c r="B20" s="24" t="s">
        <v>664</v>
      </c>
      <c r="D20" s="24" t="s">
        <v>820</v>
      </c>
      <c r="E20" s="436">
        <f>+E16*0.0375</f>
        <v>2478961.3981865994</v>
      </c>
      <c r="F20" s="436"/>
    </row>
    <row r="21" spans="1:7" s="24" customFormat="1">
      <c r="A21" s="26">
        <v>9</v>
      </c>
      <c r="B21" s="24" t="s">
        <v>103</v>
      </c>
      <c r="D21" s="24" t="s">
        <v>1309</v>
      </c>
      <c r="E21" s="436">
        <f>(+E20-E18)*0.21</f>
        <v>-45380.404293074636</v>
      </c>
      <c r="F21" s="436"/>
    </row>
    <row r="22" spans="1:7" s="24" customFormat="1">
      <c r="A22" s="26">
        <v>10</v>
      </c>
      <c r="B22" s="24" t="s">
        <v>665</v>
      </c>
      <c r="D22" s="24" t="s">
        <v>821</v>
      </c>
      <c r="E22" s="436">
        <f>+E21/2</f>
        <v>-22690.202146537318</v>
      </c>
      <c r="F22" s="436"/>
    </row>
    <row r="23" spans="1:7" s="24" customFormat="1">
      <c r="A23" s="26">
        <v>11</v>
      </c>
      <c r="B23" s="24" t="s">
        <v>666</v>
      </c>
      <c r="D23" s="24" t="s">
        <v>1308</v>
      </c>
      <c r="E23" s="436"/>
      <c r="F23" s="436">
        <f>+F18*0.21</f>
        <v>565962.29791226052</v>
      </c>
    </row>
    <row r="24" spans="1:7" s="24" customFormat="1">
      <c r="A24" s="26"/>
      <c r="E24" s="436"/>
      <c r="F24" s="436"/>
    </row>
    <row r="25" spans="1:7" s="24" customFormat="1">
      <c r="A25" s="26">
        <v>12</v>
      </c>
      <c r="B25" s="24" t="s">
        <v>667</v>
      </c>
      <c r="E25" s="436">
        <f>+E16-E22-E19</f>
        <v>64780798.206379049</v>
      </c>
      <c r="F25" s="436"/>
    </row>
    <row r="26" spans="1:7" s="24" customFormat="1">
      <c r="A26" s="26"/>
      <c r="E26" s="436"/>
      <c r="F26" s="436"/>
    </row>
    <row r="27" spans="1:7" s="24" customFormat="1">
      <c r="A27" s="26">
        <v>13</v>
      </c>
      <c r="B27" s="24" t="s">
        <v>2453</v>
      </c>
      <c r="E27" s="879">
        <v>1281027.22</v>
      </c>
      <c r="F27" s="291"/>
      <c r="G27" s="436"/>
    </row>
    <row r="28" spans="1:7" s="24" customFormat="1">
      <c r="A28" s="26"/>
      <c r="B28" s="873" t="s">
        <v>2499</v>
      </c>
      <c r="E28" s="494"/>
      <c r="F28" s="291"/>
      <c r="G28" s="436"/>
    </row>
    <row r="29" spans="1:7" s="24" customFormat="1">
      <c r="A29" s="26" t="s">
        <v>777</v>
      </c>
      <c r="E29" s="494"/>
      <c r="F29" s="436"/>
      <c r="G29" s="436"/>
    </row>
    <row r="30" spans="1:7" s="24" customFormat="1">
      <c r="A30" s="499" t="s">
        <v>1105</v>
      </c>
      <c r="B30" s="295" t="s">
        <v>2036</v>
      </c>
      <c r="C30" s="295"/>
      <c r="D30" s="295"/>
      <c r="E30" s="500">
        <v>241152000</v>
      </c>
      <c r="F30" s="436"/>
      <c r="G30" s="436"/>
    </row>
    <row r="31" spans="1:7" s="24" customFormat="1">
      <c r="A31" s="501"/>
      <c r="B31" s="67" t="s">
        <v>2037</v>
      </c>
      <c r="C31" s="67"/>
      <c r="D31" s="67"/>
      <c r="E31" s="502">
        <v>2792984.39</v>
      </c>
      <c r="F31" s="436"/>
      <c r="G31" s="436"/>
    </row>
    <row r="32" spans="1:7" s="24" customFormat="1">
      <c r="A32" s="503"/>
      <c r="B32" s="296" t="s">
        <v>1106</v>
      </c>
      <c r="C32" s="296"/>
      <c r="D32" s="296"/>
      <c r="E32" s="504">
        <f>E31/E30</f>
        <v>1.1581842116175691E-2</v>
      </c>
      <c r="F32" s="436"/>
      <c r="G32" s="436"/>
    </row>
    <row r="33" spans="5:7">
      <c r="E33" s="4"/>
      <c r="F33" s="193"/>
      <c r="G33" s="193"/>
    </row>
    <row r="34" spans="5:7">
      <c r="F34" s="193"/>
      <c r="G34" s="193"/>
    </row>
    <row r="35" spans="5:7">
      <c r="F35" s="193"/>
      <c r="G35" s="193"/>
    </row>
    <row r="36" spans="5:7">
      <c r="F36" s="193"/>
      <c r="G36" s="193"/>
    </row>
  </sheetData>
  <mergeCells count="5">
    <mergeCell ref="B5:F5"/>
    <mergeCell ref="B1:F1"/>
    <mergeCell ref="B2:F2"/>
    <mergeCell ref="B4:F4"/>
    <mergeCell ref="B3:F3"/>
  </mergeCells>
  <printOptions horizontalCentered="1"/>
  <pageMargins left="0.7" right="0.7" top="0.75" bottom="0.75" header="0.3" footer="0.3"/>
  <pageSetup scale="84" fitToHeight="0" orientation="landscape" r:id="rId1"/>
  <headerFooter scaleWithDoc="0" alignWithMargins="0">
    <oddHeader>&amp;RPage &amp;P of &amp;N</oddHeader>
    <oddFooter>&amp;LElectronic Tab Name:&amp;A</oddFooter>
  </headerFooter>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G36"/>
  <sheetViews>
    <sheetView workbookViewId="0">
      <selection activeCell="A31" sqref="A31"/>
    </sheetView>
  </sheetViews>
  <sheetFormatPr defaultRowHeight="15"/>
  <cols>
    <col min="1" max="1" width="98.7109375" style="2" customWidth="1"/>
    <col min="2" max="2" width="29.42578125" style="2" customWidth="1"/>
    <col min="3" max="16384" width="9.140625" style="2"/>
  </cols>
  <sheetData>
    <row r="1" spans="1:7" ht="15.75">
      <c r="A1" s="15" t="s">
        <v>2483</v>
      </c>
    </row>
    <row r="2" spans="1:7" ht="15.75">
      <c r="A2" s="15" t="s">
        <v>2484</v>
      </c>
    </row>
    <row r="3" spans="1:7" ht="15.75">
      <c r="A3" s="15" t="s">
        <v>1843</v>
      </c>
    </row>
    <row r="4" spans="1:7" ht="15.75">
      <c r="A4" s="16"/>
    </row>
    <row r="5" spans="1:7" ht="15.75">
      <c r="A5" s="17"/>
    </row>
    <row r="6" spans="1:7" ht="15.75">
      <c r="A6" s="17"/>
    </row>
    <row r="7" spans="1:7" ht="15.75">
      <c r="A7" s="17"/>
    </row>
    <row r="8" spans="1:7" ht="15.75">
      <c r="A8" s="17"/>
    </row>
    <row r="9" spans="1:7" ht="15.75">
      <c r="A9" s="17"/>
    </row>
    <row r="10" spans="1:7" ht="15.75">
      <c r="A10" s="17"/>
    </row>
    <row r="11" spans="1:7" ht="15.75">
      <c r="A11" s="17"/>
      <c r="G11" s="1"/>
    </row>
    <row r="12" spans="1:7" ht="15.75">
      <c r="A12" s="17"/>
    </row>
    <row r="13" spans="1:7" ht="15.75">
      <c r="A13" s="17"/>
      <c r="C13" s="21"/>
    </row>
    <row r="14" spans="1:7" ht="15.75">
      <c r="A14" s="17"/>
    </row>
    <row r="15" spans="1:7" ht="15.75">
      <c r="A15" s="17"/>
    </row>
    <row r="16" spans="1:7" ht="15.75">
      <c r="A16" s="18"/>
    </row>
    <row r="17" spans="1:1" ht="15.75">
      <c r="A17" s="18"/>
    </row>
    <row r="18" spans="1:1" ht="15.75">
      <c r="A18" s="17"/>
    </row>
    <row r="19" spans="1:1" ht="15.75">
      <c r="A19" s="18" t="s">
        <v>120</v>
      </c>
    </row>
    <row r="20" spans="1:1" ht="15.75">
      <c r="A20" s="18"/>
    </row>
    <row r="21" spans="1:1" ht="15.75">
      <c r="A21" s="18" t="s">
        <v>1284</v>
      </c>
    </row>
    <row r="22" spans="1:1" ht="15.75">
      <c r="A22" s="18"/>
    </row>
    <row r="23" spans="1:1" ht="15.75">
      <c r="A23" s="18"/>
    </row>
    <row r="24" spans="1:1" ht="15.75">
      <c r="A24" s="19" t="s">
        <v>2485</v>
      </c>
    </row>
    <row r="25" spans="1:1" ht="15.75">
      <c r="A25" s="18"/>
    </row>
    <row r="26" spans="1:1" ht="15.75">
      <c r="A26" s="18"/>
    </row>
    <row r="27" spans="1:1" ht="15.75">
      <c r="A27" s="18"/>
    </row>
    <row r="28" spans="1:1" ht="15.75">
      <c r="A28" s="18"/>
    </row>
    <row r="29" spans="1:1" ht="15.75">
      <c r="A29" s="18"/>
    </row>
    <row r="30" spans="1:1" ht="15.75">
      <c r="A30" s="350" t="s">
        <v>2481</v>
      </c>
    </row>
    <row r="31" spans="1:1">
      <c r="A31" s="20"/>
    </row>
    <row r="32" spans="1:1">
      <c r="A32" s="1"/>
    </row>
    <row r="33" spans="1:1">
      <c r="A33" s="1"/>
    </row>
    <row r="34" spans="1:1">
      <c r="A34" s="1"/>
    </row>
    <row r="35" spans="1:1">
      <c r="A35" s="1"/>
    </row>
    <row r="36" spans="1:1">
      <c r="A36" s="1"/>
    </row>
  </sheetData>
  <printOptions horizontalCentered="1"/>
  <pageMargins left="0.7" right="0.7" top="0.75" bottom="0.75" header="0.3" footer="0.3"/>
  <pageSetup orientation="portrait" r:id="rId1"/>
  <headerFooter differentFirst="1" scaleWithDoc="0" alignWithMargins="0">
    <oddHeader>&amp;RDocket No. UG-170929
Exhibit _____ (MPP-9)
Page 1 o f 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1"/>
  <dimension ref="A1:I19"/>
  <sheetViews>
    <sheetView view="pageBreakPreview" zoomScale="60" zoomScaleNormal="100" workbookViewId="0">
      <selection activeCell="B24" sqref="B24"/>
    </sheetView>
  </sheetViews>
  <sheetFormatPr defaultRowHeight="15.75"/>
  <cols>
    <col min="1" max="1" width="9.140625" style="97" customWidth="1"/>
    <col min="2" max="2" width="35.140625" style="97" bestFit="1" customWidth="1"/>
    <col min="3" max="3" width="2.85546875" style="97" customWidth="1"/>
    <col min="4" max="4" width="14" style="97" bestFit="1" customWidth="1"/>
    <col min="5" max="5" width="9.140625" style="97"/>
    <col min="6" max="6" width="10.140625" style="97" bestFit="1" customWidth="1"/>
    <col min="7" max="16384" width="9.140625" style="97"/>
  </cols>
  <sheetData>
    <row r="1" spans="1:9">
      <c r="A1" s="904" t="s">
        <v>60</v>
      </c>
      <c r="B1" s="904"/>
      <c r="C1" s="904"/>
      <c r="D1" s="904"/>
      <c r="E1" s="904"/>
      <c r="F1" s="3"/>
      <c r="G1" s="3"/>
      <c r="H1" s="3"/>
      <c r="I1" s="3"/>
    </row>
    <row r="2" spans="1:9">
      <c r="A2" s="904" t="s">
        <v>1865</v>
      </c>
      <c r="B2" s="904"/>
      <c r="C2" s="904"/>
      <c r="D2" s="904"/>
      <c r="E2" s="904"/>
      <c r="F2" s="3"/>
      <c r="G2" s="3"/>
      <c r="H2" s="3"/>
      <c r="I2" s="3"/>
    </row>
    <row r="3" spans="1:9">
      <c r="A3" s="904" t="s">
        <v>1392</v>
      </c>
      <c r="B3" s="904"/>
      <c r="C3" s="904"/>
      <c r="D3" s="904"/>
      <c r="E3" s="904"/>
      <c r="F3" s="3"/>
      <c r="G3" s="3"/>
      <c r="H3" s="3"/>
      <c r="I3" s="3"/>
    </row>
    <row r="4" spans="1:9">
      <c r="A4" s="904" t="s">
        <v>739</v>
      </c>
      <c r="B4" s="904"/>
      <c r="C4" s="904"/>
      <c r="D4" s="904"/>
      <c r="E4" s="904"/>
      <c r="F4" s="3"/>
      <c r="G4" s="3"/>
      <c r="H4" s="3"/>
      <c r="I4" s="3"/>
    </row>
    <row r="5" spans="1:9">
      <c r="A5" s="904" t="s">
        <v>1864</v>
      </c>
      <c r="B5" s="904"/>
      <c r="C5" s="904"/>
      <c r="D5" s="904"/>
      <c r="E5" s="904"/>
      <c r="F5" s="3"/>
      <c r="G5" s="3"/>
      <c r="H5" s="3"/>
      <c r="I5" s="3"/>
    </row>
    <row r="7" spans="1:9">
      <c r="A7" s="294" t="s">
        <v>662</v>
      </c>
      <c r="B7" s="508" t="s">
        <v>803</v>
      </c>
      <c r="C7" s="508"/>
      <c r="D7" s="508" t="s">
        <v>801</v>
      </c>
      <c r="E7" s="509"/>
    </row>
    <row r="8" spans="1:9">
      <c r="A8" s="279">
        <v>1</v>
      </c>
      <c r="B8" s="509" t="s">
        <v>1986</v>
      </c>
      <c r="C8" s="509"/>
      <c r="D8" s="789">
        <v>5197058.3</v>
      </c>
      <c r="E8" s="509"/>
    </row>
    <row r="9" spans="1:9">
      <c r="A9" s="279">
        <v>2</v>
      </c>
      <c r="B9" s="509" t="s">
        <v>1984</v>
      </c>
      <c r="C9" s="509"/>
      <c r="D9" s="506">
        <v>8015406.3799999999</v>
      </c>
      <c r="E9" s="509"/>
    </row>
    <row r="10" spans="1:9">
      <c r="A10" s="279">
        <v>3</v>
      </c>
      <c r="B10" s="509"/>
      <c r="C10" s="509"/>
      <c r="D10" s="790">
        <v>0</v>
      </c>
      <c r="E10" s="509"/>
    </row>
    <row r="11" spans="1:9">
      <c r="A11" s="279">
        <v>4</v>
      </c>
      <c r="B11" s="509" t="s">
        <v>1393</v>
      </c>
      <c r="C11" s="509"/>
      <c r="D11" s="789">
        <f>+D8+D9+D10</f>
        <v>13212464.68</v>
      </c>
      <c r="E11" s="509"/>
    </row>
    <row r="12" spans="1:9" ht="18">
      <c r="A12" s="279">
        <v>5</v>
      </c>
      <c r="B12" s="509" t="s">
        <v>1055</v>
      </c>
      <c r="C12" s="509"/>
      <c r="D12" s="790">
        <v>9</v>
      </c>
      <c r="E12" s="509"/>
    </row>
    <row r="13" spans="1:9" ht="16.5" thickBot="1">
      <c r="A13" s="279">
        <v>6</v>
      </c>
      <c r="B13" s="509" t="s">
        <v>735</v>
      </c>
      <c r="C13" s="509"/>
      <c r="D13" s="791">
        <f>+D11/D12</f>
        <v>1468051.631111111</v>
      </c>
      <c r="E13" s="509"/>
    </row>
    <row r="14" spans="1:9" ht="16.5" thickTop="1">
      <c r="B14" s="509" t="s">
        <v>1985</v>
      </c>
      <c r="C14" s="509"/>
      <c r="D14" s="792">
        <v>542301.72</v>
      </c>
      <c r="E14" s="509"/>
    </row>
    <row r="15" spans="1:9">
      <c r="B15" s="509" t="s">
        <v>1983</v>
      </c>
      <c r="C15" s="509"/>
      <c r="D15" s="792">
        <f>+D13-D14</f>
        <v>925749.91111111105</v>
      </c>
      <c r="E15" s="509"/>
    </row>
    <row r="16" spans="1:9" ht="18">
      <c r="A16" s="97" t="s">
        <v>1056</v>
      </c>
      <c r="B16" s="509"/>
      <c r="C16" s="509"/>
      <c r="D16" s="509"/>
      <c r="E16" s="509"/>
    </row>
    <row r="17" spans="1:5">
      <c r="B17" s="509"/>
      <c r="C17" s="509"/>
      <c r="D17" s="509"/>
      <c r="E17" s="509"/>
    </row>
    <row r="18" spans="1:5">
      <c r="B18" s="509"/>
      <c r="C18" s="509"/>
      <c r="D18" s="509"/>
      <c r="E18" s="509"/>
    </row>
    <row r="19" spans="1:5">
      <c r="A19" s="279"/>
    </row>
  </sheetData>
  <mergeCells count="5">
    <mergeCell ref="A1:E1"/>
    <mergeCell ref="A2:E2"/>
    <mergeCell ref="A3:E3"/>
    <mergeCell ref="A4:E4"/>
    <mergeCell ref="A5:E5"/>
  </mergeCells>
  <printOptions horizontalCentered="1"/>
  <pageMargins left="0.7" right="0.7" top="0.75" bottom="0.75" header="0.3" footer="0.3"/>
  <pageSetup scale="94" fitToHeight="0" orientation="portrait" r:id="rId1"/>
  <headerFooter scaleWithDoc="0" alignWithMargins="0">
    <oddHeader>&amp;RPage &amp;P of &amp;N</oddHeader>
    <oddFooter>&amp;LElectronic Tab Name:&amp;A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F899"/>
  <sheetViews>
    <sheetView view="pageBreakPreview" topLeftCell="A10" zoomScale="60" zoomScaleNormal="100" workbookViewId="0">
      <pane xSplit="5" topLeftCell="F1" activePane="topRight" state="frozen"/>
      <selection activeCell="G24" sqref="F24:G24"/>
      <selection pane="topRight" activeCell="G24" sqref="F24:G24"/>
    </sheetView>
  </sheetViews>
  <sheetFormatPr defaultRowHeight="15"/>
  <cols>
    <col min="1" max="1" width="3.85546875" style="450" customWidth="1"/>
    <col min="2" max="2" width="13.5703125" style="450" customWidth="1"/>
    <col min="3" max="3" width="7.28515625" style="450" customWidth="1"/>
    <col min="4" max="4" width="5.85546875" style="450" customWidth="1"/>
    <col min="5" max="5" width="51" style="450" bestFit="1" customWidth="1"/>
    <col min="6" max="6" width="17.28515625" style="450" customWidth="1"/>
    <col min="7" max="10" width="16.5703125" style="450" customWidth="1"/>
    <col min="11" max="16" width="17.28515625" style="450" bestFit="1" customWidth="1"/>
    <col min="17" max="18" width="17.28515625" style="450" customWidth="1"/>
    <col min="19" max="19" width="20.42578125" style="450" customWidth="1"/>
    <col min="20" max="20" width="9.140625" style="450"/>
    <col min="21" max="21" width="12.28515625" style="450" bestFit="1" customWidth="1"/>
    <col min="22" max="23" width="15.5703125" style="659" bestFit="1" customWidth="1"/>
    <col min="24" max="24" width="16.5703125" style="659" bestFit="1" customWidth="1"/>
    <col min="25" max="25" width="28.42578125" style="659" bestFit="1" customWidth="1"/>
    <col min="26" max="26" width="15.5703125" style="659" bestFit="1" customWidth="1"/>
    <col min="27" max="27" width="12.85546875" style="450" customWidth="1"/>
    <col min="28" max="28" width="15" style="659" bestFit="1" customWidth="1"/>
    <col min="29" max="29" width="15.5703125" style="450" customWidth="1"/>
    <col min="30" max="30" width="14.5703125" style="450" customWidth="1"/>
    <col min="31" max="31" width="41.140625" style="450" customWidth="1"/>
    <col min="32" max="16384" width="9.140625" style="450"/>
  </cols>
  <sheetData>
    <row r="1" spans="1:32" ht="15.75">
      <c r="A1" s="353" t="s">
        <v>60</v>
      </c>
      <c r="B1" s="677"/>
      <c r="C1" s="677"/>
      <c r="D1" s="677"/>
      <c r="E1" s="677"/>
      <c r="F1" s="555" t="s">
        <v>753</v>
      </c>
      <c r="G1" s="555" t="s">
        <v>753</v>
      </c>
      <c r="H1" s="555" t="s">
        <v>753</v>
      </c>
      <c r="I1" s="555" t="s">
        <v>753</v>
      </c>
      <c r="J1" s="555" t="s">
        <v>753</v>
      </c>
      <c r="K1" s="555" t="s">
        <v>753</v>
      </c>
      <c r="L1" s="555" t="s">
        <v>753</v>
      </c>
      <c r="M1" s="555" t="s">
        <v>753</v>
      </c>
      <c r="N1" s="555" t="s">
        <v>753</v>
      </c>
      <c r="O1" s="555" t="s">
        <v>753</v>
      </c>
      <c r="P1" s="555" t="s">
        <v>753</v>
      </c>
      <c r="Q1" s="555" t="s">
        <v>753</v>
      </c>
      <c r="R1" s="555" t="s">
        <v>753</v>
      </c>
      <c r="S1" s="380"/>
      <c r="T1" s="677"/>
      <c r="U1" s="380"/>
      <c r="V1" s="770"/>
      <c r="W1" s="770"/>
      <c r="X1" s="770"/>
      <c r="Y1" s="770"/>
      <c r="Z1" s="770"/>
      <c r="AA1" s="380"/>
      <c r="AB1" s="770"/>
      <c r="AC1" s="677"/>
      <c r="AD1" s="677"/>
      <c r="AE1" s="677"/>
    </row>
    <row r="2" spans="1:32" ht="15.75">
      <c r="A2" s="353" t="s">
        <v>1858</v>
      </c>
      <c r="B2" s="677"/>
      <c r="C2" s="677"/>
      <c r="D2" s="677"/>
      <c r="E2" s="677"/>
      <c r="F2" s="555"/>
      <c r="G2" s="555"/>
      <c r="H2" s="555"/>
      <c r="I2" s="555"/>
      <c r="J2" s="555"/>
      <c r="K2" s="555"/>
      <c r="L2" s="555"/>
      <c r="M2" s="555"/>
      <c r="N2" s="555"/>
      <c r="O2" s="555"/>
      <c r="P2" s="555"/>
      <c r="Q2" s="555"/>
      <c r="R2" s="555"/>
      <c r="S2" s="380"/>
      <c r="T2" s="677"/>
      <c r="U2" s="380"/>
      <c r="V2" s="770"/>
      <c r="W2" s="770"/>
      <c r="X2" s="770"/>
      <c r="Y2" s="770"/>
      <c r="Z2" s="770"/>
      <c r="AA2" s="380"/>
      <c r="AB2" s="770"/>
      <c r="AC2" s="677"/>
      <c r="AD2" s="677"/>
      <c r="AE2" s="677"/>
    </row>
    <row r="3" spans="1:32" ht="15.75">
      <c r="A3" s="353" t="s">
        <v>1869</v>
      </c>
      <c r="B3" s="677"/>
      <c r="C3" s="677"/>
      <c r="D3" s="677"/>
      <c r="E3" s="677"/>
      <c r="F3" s="555"/>
      <c r="G3" s="555"/>
      <c r="H3" s="555"/>
      <c r="I3" s="555"/>
      <c r="J3" s="555"/>
      <c r="K3" s="555"/>
      <c r="L3" s="555"/>
      <c r="M3" s="555"/>
      <c r="N3" s="555"/>
      <c r="O3" s="555"/>
      <c r="P3" s="555"/>
      <c r="Q3" s="555"/>
      <c r="R3" s="555"/>
      <c r="S3" s="380"/>
      <c r="T3" s="677"/>
      <c r="U3" s="380"/>
      <c r="V3" s="770"/>
      <c r="W3" s="770"/>
      <c r="X3" s="770"/>
      <c r="Y3" s="770"/>
      <c r="Z3" s="770"/>
      <c r="AA3" s="380"/>
      <c r="AB3" s="770"/>
      <c r="AC3" s="677"/>
      <c r="AD3" s="677"/>
      <c r="AE3" s="677"/>
    </row>
    <row r="4" spans="1:32" ht="15.75">
      <c r="A4" s="353"/>
      <c r="B4" s="677"/>
      <c r="C4" s="677"/>
      <c r="D4" s="677"/>
      <c r="E4" s="677"/>
      <c r="F4" s="555"/>
      <c r="G4" s="555"/>
      <c r="H4" s="555"/>
      <c r="I4" s="555"/>
      <c r="J4" s="555"/>
      <c r="K4" s="555"/>
      <c r="L4" s="555"/>
      <c r="M4" s="555"/>
      <c r="N4" s="555"/>
      <c r="O4" s="555"/>
      <c r="P4" s="555"/>
      <c r="Q4" s="555"/>
      <c r="R4" s="555"/>
      <c r="S4" s="380"/>
      <c r="T4" s="677"/>
      <c r="U4" s="380"/>
      <c r="V4" s="770"/>
      <c r="W4" s="770"/>
      <c r="X4" s="770"/>
      <c r="Y4" s="770"/>
      <c r="Z4" s="770"/>
      <c r="AA4" s="380"/>
      <c r="AB4" s="770"/>
      <c r="AC4" s="677"/>
      <c r="AD4" s="677"/>
      <c r="AE4" s="677"/>
    </row>
    <row r="5" spans="1:32">
      <c r="A5" s="677"/>
      <c r="B5" s="677"/>
      <c r="C5" s="677"/>
      <c r="D5" s="677"/>
      <c r="E5" s="677"/>
      <c r="F5" s="555" t="s">
        <v>1338</v>
      </c>
      <c r="G5" s="555" t="s">
        <v>1868</v>
      </c>
      <c r="H5" s="555" t="s">
        <v>1868</v>
      </c>
      <c r="I5" s="555" t="s">
        <v>1868</v>
      </c>
      <c r="J5" s="555" t="s">
        <v>1868</v>
      </c>
      <c r="K5" s="555" t="s">
        <v>1868</v>
      </c>
      <c r="L5" s="555" t="s">
        <v>1868</v>
      </c>
      <c r="M5" s="555" t="s">
        <v>1868</v>
      </c>
      <c r="N5" s="555" t="s">
        <v>1868</v>
      </c>
      <c r="O5" s="555" t="s">
        <v>1868</v>
      </c>
      <c r="P5" s="555" t="s">
        <v>1868</v>
      </c>
      <c r="Q5" s="555" t="s">
        <v>1868</v>
      </c>
      <c r="R5" s="555" t="s">
        <v>1868</v>
      </c>
      <c r="S5" s="380"/>
      <c r="T5" s="677"/>
      <c r="U5" s="380"/>
      <c r="V5" s="770"/>
      <c r="W5" s="770"/>
      <c r="X5" s="770"/>
      <c r="Y5" s="770"/>
      <c r="Z5" s="770"/>
      <c r="AA5" s="380"/>
      <c r="AB5" s="770"/>
      <c r="AC5" s="677"/>
      <c r="AD5" s="677"/>
      <c r="AE5" s="677"/>
    </row>
    <row r="6" spans="1:32">
      <c r="A6" s="677"/>
      <c r="B6" s="677"/>
      <c r="C6" s="677"/>
      <c r="D6" s="677"/>
      <c r="E6" s="677"/>
      <c r="F6" s="555" t="s">
        <v>967</v>
      </c>
      <c r="G6" s="555" t="s">
        <v>967</v>
      </c>
      <c r="H6" s="555" t="s">
        <v>967</v>
      </c>
      <c r="I6" s="555" t="s">
        <v>967</v>
      </c>
      <c r="J6" s="555" t="s">
        <v>967</v>
      </c>
      <c r="K6" s="555" t="s">
        <v>967</v>
      </c>
      <c r="L6" s="555" t="s">
        <v>967</v>
      </c>
      <c r="M6" s="555" t="s">
        <v>967</v>
      </c>
      <c r="N6" s="555" t="s">
        <v>967</v>
      </c>
      <c r="O6" s="555" t="s">
        <v>967</v>
      </c>
      <c r="P6" s="555" t="s">
        <v>967</v>
      </c>
      <c r="Q6" s="555" t="s">
        <v>967</v>
      </c>
      <c r="R6" s="555" t="s">
        <v>967</v>
      </c>
      <c r="S6" s="380"/>
      <c r="T6" s="677"/>
      <c r="U6" s="380"/>
      <c r="V6" s="754"/>
      <c r="W6" s="770"/>
      <c r="X6" s="770"/>
      <c r="Y6" s="770" t="s">
        <v>1112</v>
      </c>
      <c r="Z6" s="770"/>
      <c r="AA6" s="380"/>
      <c r="AB6" s="770"/>
      <c r="AC6" s="677"/>
      <c r="AD6" s="677"/>
      <c r="AE6" s="677"/>
    </row>
    <row r="7" spans="1:32">
      <c r="A7" s="677"/>
      <c r="B7" s="677"/>
      <c r="C7" s="677"/>
      <c r="D7" s="677"/>
      <c r="E7" s="677"/>
      <c r="F7" s="555" t="s">
        <v>1113</v>
      </c>
      <c r="G7" s="555" t="s">
        <v>1113</v>
      </c>
      <c r="H7" s="555" t="s">
        <v>1113</v>
      </c>
      <c r="I7" s="555" t="s">
        <v>1113</v>
      </c>
      <c r="J7" s="555" t="s">
        <v>1113</v>
      </c>
      <c r="K7" s="555" t="s">
        <v>1113</v>
      </c>
      <c r="L7" s="555" t="s">
        <v>1113</v>
      </c>
      <c r="M7" s="555" t="s">
        <v>1113</v>
      </c>
      <c r="N7" s="555" t="s">
        <v>1113</v>
      </c>
      <c r="O7" s="555" t="s">
        <v>1113</v>
      </c>
      <c r="P7" s="555" t="s">
        <v>1113</v>
      </c>
      <c r="Q7" s="555" t="s">
        <v>1113</v>
      </c>
      <c r="R7" s="555" t="s">
        <v>1113</v>
      </c>
      <c r="S7" s="380"/>
      <c r="T7" s="677"/>
      <c r="U7" s="380"/>
      <c r="V7" s="754"/>
      <c r="W7" s="770"/>
      <c r="X7" s="770"/>
      <c r="Y7" s="770" t="s">
        <v>106</v>
      </c>
      <c r="Z7" s="754">
        <f>+'State Allocation Formulas'!C21</f>
        <v>0.75170000000000003</v>
      </c>
      <c r="AA7" s="380"/>
      <c r="AB7" s="770"/>
      <c r="AC7" s="677"/>
      <c r="AD7" s="677"/>
      <c r="AE7" s="677"/>
    </row>
    <row r="8" spans="1:32">
      <c r="A8" s="677"/>
      <c r="B8" s="677"/>
      <c r="C8" s="677"/>
      <c r="D8" s="677"/>
      <c r="E8" s="354"/>
      <c r="F8" s="556" t="s">
        <v>473</v>
      </c>
      <c r="G8" s="556" t="s">
        <v>528</v>
      </c>
      <c r="H8" s="556" t="s">
        <v>562</v>
      </c>
      <c r="I8" s="556" t="s">
        <v>563</v>
      </c>
      <c r="J8" s="556" t="s">
        <v>968</v>
      </c>
      <c r="K8" s="556" t="s">
        <v>969</v>
      </c>
      <c r="L8" s="556" t="s">
        <v>970</v>
      </c>
      <c r="M8" s="556" t="s">
        <v>971</v>
      </c>
      <c r="N8" s="556" t="s">
        <v>389</v>
      </c>
      <c r="O8" s="556" t="s">
        <v>972</v>
      </c>
      <c r="P8" s="556" t="s">
        <v>973</v>
      </c>
      <c r="Q8" s="556" t="s">
        <v>974</v>
      </c>
      <c r="R8" s="556" t="s">
        <v>473</v>
      </c>
      <c r="S8" s="380"/>
      <c r="T8" s="677"/>
      <c r="U8" s="380"/>
      <c r="V8" s="770"/>
      <c r="W8" s="770"/>
      <c r="X8" s="770"/>
      <c r="Y8" s="770" t="s">
        <v>83</v>
      </c>
      <c r="Z8" s="754">
        <f>+'State Allocation Formulas'!D21</f>
        <v>0.24829999999999999</v>
      </c>
      <c r="AA8" s="380"/>
      <c r="AB8" s="770"/>
      <c r="AC8" s="677"/>
      <c r="AD8" s="677"/>
      <c r="AE8" s="677"/>
    </row>
    <row r="9" spans="1:32">
      <c r="A9" s="677"/>
      <c r="B9" s="677"/>
      <c r="C9" s="677"/>
      <c r="D9" s="677"/>
      <c r="E9" s="354"/>
      <c r="F9" s="555" t="s">
        <v>725</v>
      </c>
      <c r="G9" s="555" t="s">
        <v>725</v>
      </c>
      <c r="H9" s="555" t="s">
        <v>725</v>
      </c>
      <c r="I9" s="555" t="s">
        <v>725</v>
      </c>
      <c r="J9" s="555" t="s">
        <v>725</v>
      </c>
      <c r="K9" s="555" t="s">
        <v>725</v>
      </c>
      <c r="L9" s="555" t="s">
        <v>725</v>
      </c>
      <c r="M9" s="555" t="s">
        <v>725</v>
      </c>
      <c r="N9" s="555" t="s">
        <v>725</v>
      </c>
      <c r="O9" s="555" t="s">
        <v>725</v>
      </c>
      <c r="P9" s="555" t="s">
        <v>725</v>
      </c>
      <c r="Q9" s="555" t="s">
        <v>725</v>
      </c>
      <c r="R9" s="555" t="s">
        <v>725</v>
      </c>
      <c r="S9" s="380"/>
      <c r="T9" s="677"/>
      <c r="U9" s="380"/>
      <c r="V9" s="770"/>
      <c r="W9" s="770"/>
      <c r="X9" s="770"/>
      <c r="Y9" s="770"/>
      <c r="Z9" s="770"/>
      <c r="AA9" s="380"/>
      <c r="AB9" s="770"/>
      <c r="AC9" s="677"/>
      <c r="AD9" s="677"/>
      <c r="AE9" s="677"/>
    </row>
    <row r="10" spans="1:32">
      <c r="A10" s="677"/>
      <c r="B10" s="677"/>
      <c r="C10" s="677"/>
      <c r="D10" s="677"/>
      <c r="E10" s="354"/>
      <c r="F10" s="555" t="s">
        <v>754</v>
      </c>
      <c r="G10" s="555" t="s">
        <v>754</v>
      </c>
      <c r="H10" s="555" t="s">
        <v>754</v>
      </c>
      <c r="I10" s="555" t="s">
        <v>754</v>
      </c>
      <c r="J10" s="555" t="s">
        <v>754</v>
      </c>
      <c r="K10" s="555" t="s">
        <v>754</v>
      </c>
      <c r="L10" s="555" t="s">
        <v>754</v>
      </c>
      <c r="M10" s="555" t="s">
        <v>754</v>
      </c>
      <c r="N10" s="555" t="s">
        <v>754</v>
      </c>
      <c r="O10" s="555" t="s">
        <v>754</v>
      </c>
      <c r="P10" s="555" t="s">
        <v>754</v>
      </c>
      <c r="Q10" s="555" t="s">
        <v>754</v>
      </c>
      <c r="R10" s="555" t="s">
        <v>754</v>
      </c>
      <c r="S10" s="380"/>
      <c r="T10" s="677"/>
      <c r="U10" s="380"/>
      <c r="V10" s="770"/>
      <c r="W10" s="770"/>
      <c r="X10" s="770"/>
      <c r="Y10" s="770"/>
      <c r="Z10" s="770"/>
      <c r="AA10" s="380"/>
      <c r="AB10" s="770"/>
      <c r="AC10" s="677"/>
      <c r="AD10" s="677"/>
      <c r="AE10" s="677"/>
    </row>
    <row r="11" spans="1:32">
      <c r="A11" s="677"/>
      <c r="B11" s="964" t="s">
        <v>1114</v>
      </c>
      <c r="C11" s="557"/>
      <c r="D11" s="964" t="s">
        <v>1115</v>
      </c>
      <c r="E11" s="677"/>
      <c r="F11" s="677"/>
      <c r="G11" s="677"/>
      <c r="H11" s="677"/>
      <c r="I11" s="677"/>
      <c r="J11" s="677"/>
      <c r="K11" s="677"/>
      <c r="L11" s="677"/>
      <c r="M11" s="677"/>
      <c r="N11" s="677"/>
      <c r="O11" s="677"/>
      <c r="P11" s="677"/>
      <c r="Q11" s="677"/>
      <c r="R11" s="677"/>
      <c r="S11" s="380"/>
      <c r="T11" s="677"/>
      <c r="U11" s="380"/>
      <c r="V11" s="770"/>
      <c r="W11" s="770"/>
      <c r="X11" s="770"/>
      <c r="Y11" s="771" t="s">
        <v>1116</v>
      </c>
      <c r="Z11" s="772"/>
      <c r="AA11" s="773"/>
      <c r="AB11" s="770"/>
      <c r="AC11" s="677"/>
      <c r="AD11" s="677"/>
      <c r="AE11" s="677"/>
    </row>
    <row r="12" spans="1:32">
      <c r="A12" s="558" t="s">
        <v>1117</v>
      </c>
      <c r="B12" s="964"/>
      <c r="C12" s="557" t="s">
        <v>781</v>
      </c>
      <c r="D12" s="964"/>
      <c r="E12" s="677"/>
      <c r="F12" s="677"/>
      <c r="G12" s="677"/>
      <c r="H12" s="677"/>
      <c r="I12" s="677"/>
      <c r="J12" s="677"/>
      <c r="K12" s="677"/>
      <c r="L12" s="677"/>
      <c r="M12" s="677"/>
      <c r="N12" s="677"/>
      <c r="O12" s="677"/>
      <c r="P12" s="677"/>
      <c r="Q12" s="677"/>
      <c r="R12" s="677"/>
      <c r="S12" s="380"/>
      <c r="T12" s="677"/>
      <c r="U12" s="774" t="s">
        <v>1118</v>
      </c>
      <c r="V12" s="775" t="s">
        <v>1118</v>
      </c>
      <c r="W12" s="775" t="s">
        <v>378</v>
      </c>
      <c r="X12" s="775" t="s">
        <v>58</v>
      </c>
      <c r="Y12" s="770"/>
      <c r="Z12" s="770"/>
      <c r="AA12" s="380"/>
      <c r="AB12" s="770"/>
      <c r="AC12" s="677"/>
      <c r="AD12" s="677"/>
      <c r="AE12" s="677"/>
    </row>
    <row r="13" spans="1:32">
      <c r="A13" s="558" t="s">
        <v>1119</v>
      </c>
      <c r="B13" s="557" t="s">
        <v>1120</v>
      </c>
      <c r="C13" s="557" t="s">
        <v>1119</v>
      </c>
      <c r="D13" s="557" t="s">
        <v>781</v>
      </c>
      <c r="E13" s="677"/>
      <c r="F13" s="355" t="s">
        <v>1410</v>
      </c>
      <c r="G13" s="559" t="s">
        <v>1970</v>
      </c>
      <c r="H13" s="355" t="s">
        <v>1971</v>
      </c>
      <c r="I13" s="355" t="s">
        <v>1972</v>
      </c>
      <c r="J13" s="355" t="s">
        <v>1973</v>
      </c>
      <c r="K13" s="355" t="s">
        <v>1974</v>
      </c>
      <c r="L13" s="355" t="s">
        <v>1975</v>
      </c>
      <c r="M13" s="355" t="s">
        <v>1976</v>
      </c>
      <c r="N13" s="355" t="s">
        <v>1977</v>
      </c>
      <c r="O13" s="355" t="s">
        <v>1978</v>
      </c>
      <c r="P13" s="355" t="s">
        <v>1979</v>
      </c>
      <c r="Q13" s="355" t="s">
        <v>1980</v>
      </c>
      <c r="R13" s="355" t="s">
        <v>1981</v>
      </c>
      <c r="S13" s="356" t="s">
        <v>822</v>
      </c>
      <c r="T13" s="677"/>
      <c r="U13" s="774" t="s">
        <v>1121</v>
      </c>
      <c r="V13" s="775" t="s">
        <v>1122</v>
      </c>
      <c r="W13" s="775" t="s">
        <v>379</v>
      </c>
      <c r="X13" s="775" t="s">
        <v>380</v>
      </c>
      <c r="Y13" s="775" t="s">
        <v>372</v>
      </c>
      <c r="Z13" s="775" t="s">
        <v>734</v>
      </c>
      <c r="AA13" s="774" t="s">
        <v>1123</v>
      </c>
      <c r="AB13" s="775" t="s">
        <v>1124</v>
      </c>
      <c r="AC13" s="677" t="s">
        <v>371</v>
      </c>
      <c r="AD13" s="677" t="s">
        <v>1125</v>
      </c>
      <c r="AE13" s="677"/>
    </row>
    <row r="14" spans="1:32">
      <c r="A14" s="558"/>
      <c r="B14" s="557"/>
      <c r="C14" s="557"/>
      <c r="D14" s="557"/>
      <c r="E14" s="677"/>
      <c r="F14" s="395"/>
      <c r="G14" s="560"/>
      <c r="H14" s="395"/>
      <c r="I14" s="395"/>
      <c r="J14" s="395"/>
      <c r="K14" s="395"/>
      <c r="L14" s="395"/>
      <c r="M14" s="395"/>
      <c r="N14" s="395"/>
      <c r="O14" s="395"/>
      <c r="P14" s="395"/>
      <c r="Q14" s="395"/>
      <c r="R14" s="395"/>
      <c r="S14" s="396" t="s">
        <v>110</v>
      </c>
      <c r="T14" s="677"/>
      <c r="U14" s="776" t="s">
        <v>111</v>
      </c>
      <c r="V14" s="777" t="s">
        <v>1126</v>
      </c>
      <c r="W14" s="777" t="s">
        <v>1127</v>
      </c>
      <c r="X14" s="777" t="s">
        <v>1128</v>
      </c>
      <c r="Y14" s="777" t="s">
        <v>1129</v>
      </c>
      <c r="Z14" s="777" t="s">
        <v>1130</v>
      </c>
      <c r="AA14" s="776"/>
      <c r="AB14" s="777" t="s">
        <v>1131</v>
      </c>
      <c r="AC14" s="717"/>
      <c r="AD14" s="717"/>
      <c r="AE14" s="717"/>
    </row>
    <row r="15" spans="1:32">
      <c r="A15" s="677">
        <v>1</v>
      </c>
      <c r="B15" s="379" t="s">
        <v>981</v>
      </c>
      <c r="C15" s="379" t="s">
        <v>381</v>
      </c>
      <c r="D15" s="677" t="s">
        <v>382</v>
      </c>
      <c r="E15" s="675" t="s">
        <v>383</v>
      </c>
      <c r="F15" s="676">
        <v>1054152346.6799999</v>
      </c>
      <c r="G15" s="676">
        <v>1055924116.6</v>
      </c>
      <c r="H15" s="676">
        <v>1057151346.5</v>
      </c>
      <c r="I15" s="676">
        <v>1056996938.39</v>
      </c>
      <c r="J15" s="676">
        <v>1057817061.09</v>
      </c>
      <c r="K15" s="676">
        <v>1061184611.87</v>
      </c>
      <c r="L15" s="676">
        <v>1061776905.48</v>
      </c>
      <c r="M15" s="676">
        <v>1059049576.8</v>
      </c>
      <c r="N15" s="676">
        <v>1061962190.64</v>
      </c>
      <c r="O15" s="676">
        <v>1063685158.17</v>
      </c>
      <c r="P15" s="676">
        <v>1067686772.83</v>
      </c>
      <c r="Q15" s="676">
        <v>1048741854.72</v>
      </c>
      <c r="R15" s="676">
        <v>1079798325.22</v>
      </c>
      <c r="S15" s="551">
        <f>((F15+R15)+((G15+H15+I15+J15+K15+L15+M15+N15+O15+P15+Q15)*2))/24</f>
        <v>1059912655.7533334</v>
      </c>
      <c r="T15" s="677"/>
      <c r="U15" s="716"/>
      <c r="V15" s="755"/>
      <c r="W15" s="755"/>
      <c r="X15" s="778">
        <f>+S15</f>
        <v>1059912655.7533334</v>
      </c>
      <c r="Y15" s="755">
        <f>+X15*Z7</f>
        <v>796736343.32978082</v>
      </c>
      <c r="Z15" s="755">
        <f>+X15*Z8</f>
        <v>263176312.42355269</v>
      </c>
      <c r="AA15" s="716"/>
      <c r="AB15" s="755"/>
      <c r="AC15" s="717"/>
      <c r="AD15" s="717"/>
      <c r="AE15" s="717" t="s">
        <v>1455</v>
      </c>
      <c r="AF15" s="753">
        <f t="shared" ref="AF15:AF85" si="0">+U15+V15-AD15</f>
        <v>0</v>
      </c>
    </row>
    <row r="16" spans="1:32">
      <c r="A16" s="677">
        <v>2</v>
      </c>
      <c r="B16" s="379" t="s">
        <v>981</v>
      </c>
      <c r="C16" s="379" t="s">
        <v>381</v>
      </c>
      <c r="D16" s="677">
        <v>20</v>
      </c>
      <c r="E16" s="675" t="s">
        <v>1870</v>
      </c>
      <c r="F16" s="676">
        <v>0</v>
      </c>
      <c r="G16" s="676">
        <v>0</v>
      </c>
      <c r="H16" s="676">
        <v>0</v>
      </c>
      <c r="I16" s="676">
        <v>0</v>
      </c>
      <c r="J16" s="676">
        <v>0</v>
      </c>
      <c r="K16" s="676">
        <v>0</v>
      </c>
      <c r="L16" s="676">
        <v>0</v>
      </c>
      <c r="M16" s="676">
        <v>0</v>
      </c>
      <c r="N16" s="676">
        <v>0</v>
      </c>
      <c r="O16" s="676">
        <v>0</v>
      </c>
      <c r="P16" s="676">
        <v>0</v>
      </c>
      <c r="Q16" s="676">
        <v>0</v>
      </c>
      <c r="R16" s="676">
        <v>0</v>
      </c>
      <c r="S16" s="551">
        <f t="shared" ref="S16:S17" si="1">((F16+R16)+((G16+H16+I16+J16+K16+L16+M16+N16+O16+P16+Q16)*2))/24</f>
        <v>0</v>
      </c>
      <c r="T16" s="677"/>
      <c r="U16" s="716"/>
      <c r="V16" s="755"/>
      <c r="W16" s="755"/>
      <c r="X16" s="778"/>
      <c r="Y16" s="755"/>
      <c r="Z16" s="755"/>
      <c r="AA16" s="716"/>
      <c r="AB16" s="755"/>
      <c r="AC16" s="717"/>
      <c r="AD16" s="717"/>
      <c r="AE16" s="717"/>
      <c r="AF16" s="753"/>
    </row>
    <row r="17" spans="1:32">
      <c r="A17" s="677">
        <v>3</v>
      </c>
      <c r="B17" s="379" t="s">
        <v>981</v>
      </c>
      <c r="C17" s="752">
        <v>1014</v>
      </c>
      <c r="D17" s="677"/>
      <c r="E17" s="675" t="s">
        <v>1871</v>
      </c>
      <c r="F17" s="676">
        <v>0</v>
      </c>
      <c r="G17" s="676">
        <v>0</v>
      </c>
      <c r="H17" s="676">
        <v>0</v>
      </c>
      <c r="I17" s="676">
        <v>0</v>
      </c>
      <c r="J17" s="676">
        <v>0</v>
      </c>
      <c r="K17" s="676">
        <v>0</v>
      </c>
      <c r="L17" s="676">
        <v>0</v>
      </c>
      <c r="M17" s="676">
        <v>0</v>
      </c>
      <c r="N17" s="676">
        <v>0</v>
      </c>
      <c r="O17" s="676">
        <v>0</v>
      </c>
      <c r="P17" s="676">
        <v>0</v>
      </c>
      <c r="Q17" s="676">
        <v>22184758.190000001</v>
      </c>
      <c r="R17" s="676">
        <v>26337831.030000001</v>
      </c>
      <c r="S17" s="551">
        <f t="shared" si="1"/>
        <v>2946139.4754166664</v>
      </c>
      <c r="T17" s="677"/>
      <c r="U17" s="716"/>
      <c r="V17" s="755"/>
      <c r="W17" s="755"/>
      <c r="X17" s="778">
        <f>+S17</f>
        <v>2946139.4754166664</v>
      </c>
      <c r="Y17" s="755">
        <f>+X17*Z7</f>
        <v>2214613.0436707083</v>
      </c>
      <c r="Z17" s="755">
        <f>+X17*Z8</f>
        <v>731526.43174595828</v>
      </c>
      <c r="AA17" s="716"/>
      <c r="AB17" s="755"/>
      <c r="AC17" s="717"/>
      <c r="AD17" s="717"/>
      <c r="AE17" s="717"/>
      <c r="AF17" s="753"/>
    </row>
    <row r="18" spans="1:32">
      <c r="A18" s="677">
        <v>4</v>
      </c>
      <c r="B18" s="379" t="s">
        <v>981</v>
      </c>
      <c r="C18" s="379" t="s">
        <v>384</v>
      </c>
      <c r="D18" s="677" t="s">
        <v>382</v>
      </c>
      <c r="E18" s="675" t="s">
        <v>385</v>
      </c>
      <c r="F18" s="676">
        <v>23074397.219999999</v>
      </c>
      <c r="G18" s="676">
        <v>25636100.859999999</v>
      </c>
      <c r="H18" s="676">
        <v>26460002.859999999</v>
      </c>
      <c r="I18" s="676">
        <v>30259467.850000001</v>
      </c>
      <c r="J18" s="676">
        <v>35060804.75</v>
      </c>
      <c r="K18" s="676">
        <v>36694345.130000003</v>
      </c>
      <c r="L18" s="676">
        <v>43280496.119999997</v>
      </c>
      <c r="M18" s="676">
        <v>46425665.93</v>
      </c>
      <c r="N18" s="676">
        <v>47962396.149999999</v>
      </c>
      <c r="O18" s="676">
        <v>53217186.020000003</v>
      </c>
      <c r="P18" s="676">
        <v>58768625.030000001</v>
      </c>
      <c r="Q18" s="676">
        <v>61542284.5</v>
      </c>
      <c r="R18" s="676">
        <v>42079945.729999997</v>
      </c>
      <c r="S18" s="551">
        <f>((F18+R18)+((G18+H18+I18+J18+K18+L18+M18+N18+O18+P18+Q18)*2))/24</f>
        <v>41490378.889583327</v>
      </c>
      <c r="T18" s="677"/>
      <c r="U18" s="716"/>
      <c r="V18" s="755"/>
      <c r="W18" s="755"/>
      <c r="X18" s="778">
        <f>+S18</f>
        <v>41490378.889583327</v>
      </c>
      <c r="Y18" s="755">
        <f>+X18*Z7</f>
        <v>31188317.81129979</v>
      </c>
      <c r="Z18" s="755">
        <f>+X18*Z8</f>
        <v>10302061.078283539</v>
      </c>
      <c r="AA18" s="716"/>
      <c r="AB18" s="755"/>
      <c r="AC18" s="717"/>
      <c r="AD18" s="717"/>
      <c r="AE18" s="717"/>
      <c r="AF18" s="753">
        <f t="shared" si="0"/>
        <v>0</v>
      </c>
    </row>
    <row r="19" spans="1:32">
      <c r="A19" s="677">
        <v>5</v>
      </c>
      <c r="B19" s="379" t="s">
        <v>981</v>
      </c>
      <c r="C19" s="379" t="s">
        <v>1872</v>
      </c>
      <c r="D19" s="379" t="s">
        <v>382</v>
      </c>
      <c r="E19" s="675" t="s">
        <v>386</v>
      </c>
      <c r="F19" s="676">
        <v>12854207.49</v>
      </c>
      <c r="G19" s="676">
        <v>13819507.289999999</v>
      </c>
      <c r="H19" s="676">
        <v>13773216.529999999</v>
      </c>
      <c r="I19" s="676">
        <v>15102320.949999999</v>
      </c>
      <c r="J19" s="676">
        <v>15365374.09</v>
      </c>
      <c r="K19" s="676">
        <v>17755694.91</v>
      </c>
      <c r="L19" s="676">
        <v>18176560.02</v>
      </c>
      <c r="M19" s="676">
        <v>24545725.66</v>
      </c>
      <c r="N19" s="676">
        <v>29893359.829999998</v>
      </c>
      <c r="O19" s="676">
        <v>28173698.039999999</v>
      </c>
      <c r="P19" s="676">
        <v>30659061.289999999</v>
      </c>
      <c r="Q19" s="676">
        <v>35235497.299999997</v>
      </c>
      <c r="R19" s="676">
        <v>31106071.859999999</v>
      </c>
      <c r="S19" s="551">
        <f>((F19+R19)+((G19+H19+I19+J19+K19+L19+M19+N19+O19+P19+Q19)*2))/24</f>
        <v>22040012.965416666</v>
      </c>
      <c r="T19" s="677"/>
      <c r="U19" s="716"/>
      <c r="V19" s="755"/>
      <c r="W19" s="755"/>
      <c r="X19" s="778">
        <f>+S19</f>
        <v>22040012.965416666</v>
      </c>
      <c r="Y19" s="755"/>
      <c r="Z19" s="755"/>
      <c r="AA19" s="716"/>
      <c r="AB19" s="755">
        <f>+S19</f>
        <v>22040012.965416666</v>
      </c>
      <c r="AC19" s="717"/>
      <c r="AD19" s="717"/>
      <c r="AE19" s="717"/>
      <c r="AF19" s="753">
        <f t="shared" si="0"/>
        <v>0</v>
      </c>
    </row>
    <row r="20" spans="1:32">
      <c r="A20" s="677">
        <v>6</v>
      </c>
      <c r="B20" s="677"/>
      <c r="C20" s="677"/>
      <c r="D20" s="677"/>
      <c r="E20" s="675" t="s">
        <v>387</v>
      </c>
      <c r="F20" s="358">
        <f t="shared" ref="F20:S20" si="2">SUM(F15:F19)</f>
        <v>1090080951.3899999</v>
      </c>
      <c r="G20" s="358">
        <f t="shared" si="2"/>
        <v>1095379724.75</v>
      </c>
      <c r="H20" s="358">
        <f t="shared" si="2"/>
        <v>1097384565.8899999</v>
      </c>
      <c r="I20" s="358">
        <f t="shared" si="2"/>
        <v>1102358727.1900001</v>
      </c>
      <c r="J20" s="358">
        <f t="shared" si="2"/>
        <v>1108243239.9300001</v>
      </c>
      <c r="K20" s="358">
        <f t="shared" si="2"/>
        <v>1115634651.9100001</v>
      </c>
      <c r="L20" s="358">
        <f t="shared" si="2"/>
        <v>1123233961.6199999</v>
      </c>
      <c r="M20" s="358">
        <f t="shared" si="2"/>
        <v>1130020968.3900001</v>
      </c>
      <c r="N20" s="358">
        <f t="shared" si="2"/>
        <v>1139817946.6199999</v>
      </c>
      <c r="O20" s="358">
        <f t="shared" si="2"/>
        <v>1145076042.23</v>
      </c>
      <c r="P20" s="358">
        <f t="shared" si="2"/>
        <v>1157114459.1500001</v>
      </c>
      <c r="Q20" s="358">
        <f t="shared" si="2"/>
        <v>1167704394.71</v>
      </c>
      <c r="R20" s="358">
        <f t="shared" si="2"/>
        <v>1179322173.8399999</v>
      </c>
      <c r="S20" s="553">
        <f t="shared" si="2"/>
        <v>1126389187.08375</v>
      </c>
      <c r="T20" s="677"/>
      <c r="U20" s="716"/>
      <c r="V20" s="755"/>
      <c r="W20" s="755"/>
      <c r="X20" s="778"/>
      <c r="Y20" s="755"/>
      <c r="Z20" s="755"/>
      <c r="AA20" s="716"/>
      <c r="AB20" s="755"/>
      <c r="AC20" s="717"/>
      <c r="AD20" s="717"/>
      <c r="AE20" s="717"/>
      <c r="AF20" s="753">
        <f t="shared" si="0"/>
        <v>0</v>
      </c>
    </row>
    <row r="21" spans="1:32">
      <c r="A21" s="677">
        <v>7</v>
      </c>
      <c r="B21" s="677"/>
      <c r="C21" s="677"/>
      <c r="D21" s="677"/>
      <c r="E21" s="675"/>
      <c r="F21" s="359"/>
      <c r="G21" s="561"/>
      <c r="H21" s="667"/>
      <c r="I21" s="667"/>
      <c r="J21" s="360"/>
      <c r="K21" s="671"/>
      <c r="L21" s="361"/>
      <c r="M21" s="362"/>
      <c r="N21" s="363"/>
      <c r="O21" s="364"/>
      <c r="P21" s="365"/>
      <c r="Q21" s="562"/>
      <c r="R21" s="359"/>
      <c r="S21" s="357"/>
      <c r="T21" s="677"/>
      <c r="U21" s="716"/>
      <c r="V21" s="755"/>
      <c r="W21" s="755"/>
      <c r="X21" s="778"/>
      <c r="Y21" s="755"/>
      <c r="Z21" s="755"/>
      <c r="AA21" s="716"/>
      <c r="AB21" s="755"/>
      <c r="AC21" s="717"/>
      <c r="AD21" s="717"/>
      <c r="AE21" s="717"/>
      <c r="AF21" s="753">
        <f t="shared" si="0"/>
        <v>0</v>
      </c>
    </row>
    <row r="22" spans="1:32">
      <c r="A22" s="677">
        <v>8</v>
      </c>
      <c r="B22" s="379" t="s">
        <v>981</v>
      </c>
      <c r="C22" s="379" t="s">
        <v>388</v>
      </c>
      <c r="D22" s="379" t="s">
        <v>389</v>
      </c>
      <c r="E22" s="663" t="s">
        <v>390</v>
      </c>
      <c r="F22" s="676">
        <v>205126.12</v>
      </c>
      <c r="G22" s="676">
        <v>104875.47</v>
      </c>
      <c r="H22" s="676">
        <v>1319478.07</v>
      </c>
      <c r="I22" s="676">
        <v>1339118.55</v>
      </c>
      <c r="J22" s="676">
        <v>1543414.16</v>
      </c>
      <c r="K22" s="676">
        <v>1621814.41</v>
      </c>
      <c r="L22" s="676">
        <v>1714099.23</v>
      </c>
      <c r="M22" s="676">
        <v>1785987.33</v>
      </c>
      <c r="N22" s="676">
        <v>1115790.24</v>
      </c>
      <c r="O22" s="676">
        <v>2019796.58</v>
      </c>
      <c r="P22" s="676">
        <v>2301942.16</v>
      </c>
      <c r="Q22" s="676">
        <v>1860887.28</v>
      </c>
      <c r="R22" s="676">
        <v>4047450.78</v>
      </c>
      <c r="S22" s="551">
        <f>((F22+R22)+((G22+H22+I22+J22+K22+L22+M22+N22+O22+P22+Q22)*2))/24</f>
        <v>1571124.3274999999</v>
      </c>
      <c r="T22" s="677"/>
      <c r="U22" s="716"/>
      <c r="V22" s="755"/>
      <c r="W22" s="755"/>
      <c r="X22" s="778">
        <f>+S22</f>
        <v>1571124.3274999999</v>
      </c>
      <c r="Y22" s="755">
        <f>+X22*Z7</f>
        <v>1181014.1569817499</v>
      </c>
      <c r="Z22" s="755">
        <f>+X22*Z8</f>
        <v>390110.17051824997</v>
      </c>
      <c r="AA22" s="716"/>
      <c r="AB22" s="755"/>
      <c r="AC22" s="717"/>
      <c r="AD22" s="717"/>
      <c r="AE22" s="717"/>
      <c r="AF22" s="753">
        <f t="shared" si="0"/>
        <v>0</v>
      </c>
    </row>
    <row r="23" spans="1:32">
      <c r="A23" s="677">
        <v>9</v>
      </c>
      <c r="B23" s="379" t="s">
        <v>981</v>
      </c>
      <c r="C23" s="379" t="s">
        <v>388</v>
      </c>
      <c r="D23" s="379"/>
      <c r="E23" s="675" t="s">
        <v>391</v>
      </c>
      <c r="F23" s="676">
        <v>-333307309.50999999</v>
      </c>
      <c r="G23" s="676">
        <v>-334784379.86000001</v>
      </c>
      <c r="H23" s="676">
        <v>-336111297.52999997</v>
      </c>
      <c r="I23" s="676">
        <v>-337593470.36000001</v>
      </c>
      <c r="J23" s="676">
        <v>-339115841.30000001</v>
      </c>
      <c r="K23" s="676">
        <v>-340567118.13999999</v>
      </c>
      <c r="L23" s="676">
        <v>-342228662.63999999</v>
      </c>
      <c r="M23" s="676">
        <v>-339697837.17000002</v>
      </c>
      <c r="N23" s="676">
        <v>-341480619.95999998</v>
      </c>
      <c r="O23" s="676">
        <v>-343008173.07999998</v>
      </c>
      <c r="P23" s="676">
        <v>-344743995.41000003</v>
      </c>
      <c r="Q23" s="676">
        <v>-341591960.01999998</v>
      </c>
      <c r="R23" s="676">
        <v>-341582191.66000003</v>
      </c>
      <c r="S23" s="551">
        <f t="shared" ref="S23:S27" si="3">((F23+R23)+((G23+H23+I23+J23+K23+L23+M23+N23+O23+P23+Q23)*2))/24</f>
        <v>-339864008.83791667</v>
      </c>
      <c r="T23" s="677"/>
      <c r="U23" s="716"/>
      <c r="V23" s="755"/>
      <c r="W23" s="755"/>
      <c r="X23" s="778"/>
      <c r="Y23" s="755"/>
      <c r="Z23" s="755"/>
      <c r="AA23" s="716"/>
      <c r="AB23" s="755"/>
      <c r="AC23" s="717"/>
      <c r="AD23" s="717"/>
      <c r="AE23" s="717"/>
      <c r="AF23" s="753">
        <f t="shared" si="0"/>
        <v>0</v>
      </c>
    </row>
    <row r="24" spans="1:32">
      <c r="A24" s="677">
        <v>10</v>
      </c>
      <c r="B24" s="379" t="s">
        <v>981</v>
      </c>
      <c r="C24" s="379" t="s">
        <v>388</v>
      </c>
      <c r="D24" s="379">
        <v>20</v>
      </c>
      <c r="E24" s="675" t="s">
        <v>1873</v>
      </c>
      <c r="F24" s="676">
        <v>0</v>
      </c>
      <c r="G24" s="676">
        <v>0</v>
      </c>
      <c r="H24" s="676">
        <v>0</v>
      </c>
      <c r="I24" s="676">
        <v>0</v>
      </c>
      <c r="J24" s="676">
        <v>0</v>
      </c>
      <c r="K24" s="676">
        <v>0</v>
      </c>
      <c r="L24" s="676">
        <v>0</v>
      </c>
      <c r="M24" s="676">
        <v>0</v>
      </c>
      <c r="N24" s="676">
        <v>0</v>
      </c>
      <c r="O24" s="676">
        <v>0</v>
      </c>
      <c r="P24" s="676">
        <v>0</v>
      </c>
      <c r="Q24" s="676">
        <v>0</v>
      </c>
      <c r="R24" s="676">
        <v>0</v>
      </c>
      <c r="S24" s="551">
        <f t="shared" si="3"/>
        <v>0</v>
      </c>
      <c r="T24" s="677"/>
      <c r="U24" s="716"/>
      <c r="V24" s="755"/>
      <c r="W24" s="755"/>
      <c r="X24" s="778"/>
      <c r="Y24" s="755"/>
      <c r="Z24" s="755"/>
      <c r="AA24" s="716"/>
      <c r="AB24" s="755"/>
      <c r="AC24" s="717"/>
      <c r="AD24" s="717"/>
      <c r="AE24" s="717"/>
      <c r="AF24" s="753"/>
    </row>
    <row r="25" spans="1:32">
      <c r="A25" s="677">
        <v>11</v>
      </c>
      <c r="B25" s="379" t="s">
        <v>981</v>
      </c>
      <c r="C25" s="379" t="s">
        <v>1875</v>
      </c>
      <c r="D25" s="379"/>
      <c r="E25" s="675" t="s">
        <v>1874</v>
      </c>
      <c r="F25" s="676">
        <v>0</v>
      </c>
      <c r="G25" s="676">
        <v>0</v>
      </c>
      <c r="H25" s="676">
        <v>0</v>
      </c>
      <c r="I25" s="676">
        <v>0</v>
      </c>
      <c r="J25" s="676">
        <v>0</v>
      </c>
      <c r="K25" s="676">
        <v>0</v>
      </c>
      <c r="L25" s="676">
        <v>0</v>
      </c>
      <c r="M25" s="676">
        <v>0</v>
      </c>
      <c r="N25" s="676">
        <v>0</v>
      </c>
      <c r="O25" s="676">
        <v>0</v>
      </c>
      <c r="P25" s="676">
        <v>0</v>
      </c>
      <c r="Q25" s="676">
        <v>-4686032.05</v>
      </c>
      <c r="R25" s="676">
        <v>-4689205.91</v>
      </c>
      <c r="S25" s="551">
        <f t="shared" si="3"/>
        <v>-585886.25041666662</v>
      </c>
      <c r="T25" s="677"/>
      <c r="U25" s="716"/>
      <c r="V25" s="755"/>
      <c r="W25" s="755"/>
      <c r="X25" s="778"/>
      <c r="Y25" s="755"/>
      <c r="Z25" s="755"/>
      <c r="AA25" s="716"/>
      <c r="AB25" s="755"/>
      <c r="AC25" s="717"/>
      <c r="AD25" s="717"/>
      <c r="AE25" s="717"/>
      <c r="AF25" s="753"/>
    </row>
    <row r="26" spans="1:32">
      <c r="A26" s="677">
        <v>12</v>
      </c>
      <c r="B26" s="379" t="s">
        <v>981</v>
      </c>
      <c r="C26" s="379" t="s">
        <v>392</v>
      </c>
      <c r="D26" s="379"/>
      <c r="E26" s="675" t="s">
        <v>393</v>
      </c>
      <c r="F26" s="676">
        <v>-17326335.18</v>
      </c>
      <c r="G26" s="676">
        <v>-17614916.079999998</v>
      </c>
      <c r="H26" s="676">
        <v>-17903465.52</v>
      </c>
      <c r="I26" s="676">
        <v>-18079439.760000002</v>
      </c>
      <c r="J26" s="676">
        <v>-18365436.079999998</v>
      </c>
      <c r="K26" s="676">
        <v>-18652274.399999999</v>
      </c>
      <c r="L26" s="676">
        <v>-18939112.719999999</v>
      </c>
      <c r="M26" s="676">
        <v>-19225952.59</v>
      </c>
      <c r="N26" s="676">
        <v>-19512941.600000001</v>
      </c>
      <c r="O26" s="676">
        <v>-19799936.050000001</v>
      </c>
      <c r="P26" s="676">
        <v>-20090430.530000001</v>
      </c>
      <c r="Q26" s="676">
        <v>-20380051.460000001</v>
      </c>
      <c r="R26" s="676">
        <v>-20671419.25</v>
      </c>
      <c r="S26" s="551">
        <f t="shared" si="3"/>
        <v>-18963569.50041667</v>
      </c>
      <c r="T26" s="677"/>
      <c r="U26" s="716"/>
      <c r="V26" s="755"/>
      <c r="W26" s="755"/>
      <c r="X26" s="778"/>
      <c r="Y26" s="755"/>
      <c r="Z26" s="755"/>
      <c r="AA26" s="716"/>
      <c r="AB26" s="755"/>
      <c r="AC26" s="717"/>
      <c r="AD26" s="717"/>
      <c r="AE26" s="717"/>
      <c r="AF26" s="753">
        <f t="shared" si="0"/>
        <v>0</v>
      </c>
    </row>
    <row r="27" spans="1:32">
      <c r="A27" s="677">
        <v>13</v>
      </c>
      <c r="B27" s="379" t="s">
        <v>981</v>
      </c>
      <c r="C27" s="379" t="s">
        <v>394</v>
      </c>
      <c r="D27" s="379"/>
      <c r="E27" s="675" t="s">
        <v>395</v>
      </c>
      <c r="F27" s="366">
        <v>0</v>
      </c>
      <c r="G27" s="366">
        <v>0</v>
      </c>
      <c r="H27" s="366">
        <v>0</v>
      </c>
      <c r="I27" s="366">
        <v>0</v>
      </c>
      <c r="J27" s="366">
        <v>0</v>
      </c>
      <c r="K27" s="366">
        <v>0</v>
      </c>
      <c r="L27" s="366">
        <v>0</v>
      </c>
      <c r="M27" s="366">
        <v>0</v>
      </c>
      <c r="N27" s="366">
        <v>0</v>
      </c>
      <c r="O27" s="366">
        <v>0</v>
      </c>
      <c r="P27" s="366">
        <v>0</v>
      </c>
      <c r="Q27" s="366">
        <v>0</v>
      </c>
      <c r="R27" s="366">
        <v>0</v>
      </c>
      <c r="S27" s="551">
        <f t="shared" si="3"/>
        <v>0</v>
      </c>
      <c r="T27" s="677"/>
      <c r="U27" s="716"/>
      <c r="V27" s="755"/>
      <c r="W27" s="755"/>
      <c r="X27" s="778"/>
      <c r="Y27" s="755"/>
      <c r="Z27" s="755"/>
      <c r="AA27" s="716"/>
      <c r="AB27" s="755"/>
      <c r="AC27" s="717"/>
      <c r="AD27" s="717"/>
      <c r="AE27" s="717"/>
      <c r="AF27" s="753">
        <f t="shared" si="0"/>
        <v>0</v>
      </c>
    </row>
    <row r="28" spans="1:32">
      <c r="A28" s="677">
        <v>14</v>
      </c>
      <c r="B28" s="677"/>
      <c r="C28" s="677"/>
      <c r="D28" s="677"/>
      <c r="E28" s="675" t="s">
        <v>396</v>
      </c>
      <c r="F28" s="563">
        <f>SUM(F22:F27)</f>
        <v>-350428518.56999999</v>
      </c>
      <c r="G28" s="563">
        <f t="shared" ref="G28:R28" si="4">SUM(G22:G27)</f>
        <v>-352294420.46999997</v>
      </c>
      <c r="H28" s="563">
        <f t="shared" si="4"/>
        <v>-352695284.97999996</v>
      </c>
      <c r="I28" s="563">
        <f t="shared" si="4"/>
        <v>-354333791.56999999</v>
      </c>
      <c r="J28" s="563">
        <f t="shared" si="4"/>
        <v>-355937863.21999997</v>
      </c>
      <c r="K28" s="563">
        <f t="shared" si="4"/>
        <v>-357597578.12999994</v>
      </c>
      <c r="L28" s="563">
        <f t="shared" si="4"/>
        <v>-359453676.13</v>
      </c>
      <c r="M28" s="563">
        <f t="shared" si="4"/>
        <v>-357137802.43000001</v>
      </c>
      <c r="N28" s="563">
        <f t="shared" si="4"/>
        <v>-359877771.31999999</v>
      </c>
      <c r="O28" s="563">
        <f t="shared" si="4"/>
        <v>-360788312.55000001</v>
      </c>
      <c r="P28" s="563">
        <f t="shared" si="4"/>
        <v>-362532483.77999997</v>
      </c>
      <c r="Q28" s="563">
        <f t="shared" si="4"/>
        <v>-364797156.25</v>
      </c>
      <c r="R28" s="563">
        <f t="shared" si="4"/>
        <v>-362895366.04000008</v>
      </c>
      <c r="S28" s="551">
        <f>SUM(S22:S27)</f>
        <v>-357842340.26125008</v>
      </c>
      <c r="T28" s="677"/>
      <c r="U28" s="716"/>
      <c r="V28" s="755"/>
      <c r="W28" s="755"/>
      <c r="X28" s="778"/>
      <c r="Y28" s="755"/>
      <c r="Z28" s="755"/>
      <c r="AA28" s="716"/>
      <c r="AB28" s="755"/>
      <c r="AC28" s="717"/>
      <c r="AD28" s="717"/>
      <c r="AE28" s="717"/>
      <c r="AF28" s="753">
        <f t="shared" si="0"/>
        <v>0</v>
      </c>
    </row>
    <row r="29" spans="1:32">
      <c r="A29" s="677">
        <v>15</v>
      </c>
      <c r="B29" s="677"/>
      <c r="C29" s="677"/>
      <c r="D29" s="677"/>
      <c r="E29" s="675"/>
      <c r="F29" s="359"/>
      <c r="G29" s="561"/>
      <c r="H29" s="667"/>
      <c r="I29" s="667"/>
      <c r="J29" s="360"/>
      <c r="K29" s="671"/>
      <c r="L29" s="361"/>
      <c r="M29" s="362"/>
      <c r="N29" s="363"/>
      <c r="O29" s="364"/>
      <c r="P29" s="365"/>
      <c r="Q29" s="562"/>
      <c r="R29" s="359"/>
      <c r="S29" s="357"/>
      <c r="T29" s="677"/>
      <c r="U29" s="716"/>
      <c r="V29" s="755"/>
      <c r="W29" s="755"/>
      <c r="X29" s="778"/>
      <c r="Y29" s="755"/>
      <c r="Z29" s="755"/>
      <c r="AA29" s="716"/>
      <c r="AB29" s="755"/>
      <c r="AC29" s="717"/>
      <c r="AD29" s="717"/>
      <c r="AE29" s="717"/>
      <c r="AF29" s="753">
        <f t="shared" si="0"/>
        <v>0</v>
      </c>
    </row>
    <row r="30" spans="1:32">
      <c r="A30" s="677">
        <v>16</v>
      </c>
      <c r="B30" s="379" t="s">
        <v>981</v>
      </c>
      <c r="C30" s="379" t="s">
        <v>397</v>
      </c>
      <c r="D30" s="379"/>
      <c r="E30" s="675" t="s">
        <v>398</v>
      </c>
      <c r="F30" s="676">
        <v>-3052834.66</v>
      </c>
      <c r="G30" s="676">
        <v>-3071369.72</v>
      </c>
      <c r="H30" s="676">
        <v>-3088046.94</v>
      </c>
      <c r="I30" s="676">
        <v>-3107090.46</v>
      </c>
      <c r="J30" s="676">
        <v>-3122196.74</v>
      </c>
      <c r="K30" s="676">
        <v>-3109027.68</v>
      </c>
      <c r="L30" s="676">
        <v>-3128042.76</v>
      </c>
      <c r="M30" s="676">
        <v>-3142432.17</v>
      </c>
      <c r="N30" s="676">
        <v>-3128744.7</v>
      </c>
      <c r="O30" s="676">
        <v>-3148438.29</v>
      </c>
      <c r="P30" s="676">
        <v>-3168347.21</v>
      </c>
      <c r="Q30" s="676">
        <v>-3187186.86</v>
      </c>
      <c r="R30" s="676">
        <v>-3185032.92</v>
      </c>
      <c r="S30" s="551">
        <f>((F30+R30)+((G30+H30+I30+J30+K30+L30+M30+N30+O30+P30+Q30)*2))/24</f>
        <v>-3126654.7766666668</v>
      </c>
      <c r="T30" s="677"/>
      <c r="U30" s="716"/>
      <c r="V30" s="755"/>
      <c r="W30" s="755"/>
      <c r="X30" s="778"/>
      <c r="Y30" s="755"/>
      <c r="Z30" s="755"/>
      <c r="AA30" s="716"/>
      <c r="AB30" s="755"/>
      <c r="AC30" s="717"/>
      <c r="AD30" s="717"/>
      <c r="AE30" s="717"/>
      <c r="AF30" s="753">
        <f t="shared" si="0"/>
        <v>0</v>
      </c>
    </row>
    <row r="31" spans="1:32">
      <c r="A31" s="677">
        <v>17</v>
      </c>
      <c r="B31" s="379" t="s">
        <v>981</v>
      </c>
      <c r="C31" s="379" t="s">
        <v>726</v>
      </c>
      <c r="D31" s="379"/>
      <c r="E31" s="676" t="s">
        <v>727</v>
      </c>
      <c r="F31" s="366">
        <v>-137249402.78999999</v>
      </c>
      <c r="G31" s="366">
        <v>-137636754.03</v>
      </c>
      <c r="H31" s="366">
        <v>-138004595.44</v>
      </c>
      <c r="I31" s="366">
        <v>-138522604.65000001</v>
      </c>
      <c r="J31" s="366">
        <v>-139009059.03</v>
      </c>
      <c r="K31" s="366">
        <v>-139419314.46000001</v>
      </c>
      <c r="L31" s="366">
        <v>-139895803.72</v>
      </c>
      <c r="M31" s="366">
        <v>-140293114.25999999</v>
      </c>
      <c r="N31" s="366">
        <v>-140777750</v>
      </c>
      <c r="O31" s="366">
        <v>-141311614.78999999</v>
      </c>
      <c r="P31" s="366">
        <v>-141787696.77000001</v>
      </c>
      <c r="Q31" s="366">
        <v>-142008181.08000001</v>
      </c>
      <c r="R31" s="366">
        <v>-142248746.72</v>
      </c>
      <c r="S31" s="551">
        <f>((F31+R31)+((G31+H31+I31+J31+K31+L31+M31+N31+O31+P31+Q31)*2))/24</f>
        <v>-139867963.58208334</v>
      </c>
      <c r="T31" s="677"/>
      <c r="U31" s="716"/>
      <c r="V31" s="755"/>
      <c r="W31" s="755"/>
      <c r="X31" s="778"/>
      <c r="Y31" s="755"/>
      <c r="Z31" s="755"/>
      <c r="AA31" s="716"/>
      <c r="AB31" s="755"/>
      <c r="AC31" s="717"/>
      <c r="AD31" s="717"/>
      <c r="AE31" s="717"/>
      <c r="AF31" s="753">
        <f t="shared" si="0"/>
        <v>0</v>
      </c>
    </row>
    <row r="32" spans="1:32">
      <c r="A32" s="677">
        <v>18</v>
      </c>
      <c r="B32" s="677"/>
      <c r="C32" s="677"/>
      <c r="D32" s="677"/>
      <c r="E32" s="675" t="s">
        <v>399</v>
      </c>
      <c r="F32" s="564">
        <f>+F30+F31</f>
        <v>-140302237.44999999</v>
      </c>
      <c r="G32" s="564">
        <f t="shared" ref="G32:R32" si="5">+G30+G31</f>
        <v>-140708123.75</v>
      </c>
      <c r="H32" s="564">
        <f t="shared" si="5"/>
        <v>-141092642.38</v>
      </c>
      <c r="I32" s="564">
        <f t="shared" si="5"/>
        <v>-141629695.11000001</v>
      </c>
      <c r="J32" s="564">
        <f t="shared" si="5"/>
        <v>-142131255.77000001</v>
      </c>
      <c r="K32" s="564">
        <f t="shared" si="5"/>
        <v>-142528342.14000002</v>
      </c>
      <c r="L32" s="564">
        <f t="shared" si="5"/>
        <v>-143023846.47999999</v>
      </c>
      <c r="M32" s="564">
        <f t="shared" si="5"/>
        <v>-143435546.42999998</v>
      </c>
      <c r="N32" s="564">
        <f t="shared" si="5"/>
        <v>-143906494.69999999</v>
      </c>
      <c r="O32" s="564">
        <f t="shared" si="5"/>
        <v>-144460053.07999998</v>
      </c>
      <c r="P32" s="564">
        <f t="shared" si="5"/>
        <v>-144956043.98000002</v>
      </c>
      <c r="Q32" s="564">
        <f t="shared" si="5"/>
        <v>-145195367.94000003</v>
      </c>
      <c r="R32" s="564">
        <f t="shared" si="5"/>
        <v>-145433779.63999999</v>
      </c>
      <c r="S32" s="565">
        <f>+S30+S31</f>
        <v>-142994618.35875002</v>
      </c>
      <c r="T32" s="677"/>
      <c r="U32" s="716"/>
      <c r="V32" s="755"/>
      <c r="W32" s="755"/>
      <c r="X32" s="778"/>
      <c r="Y32" s="755"/>
      <c r="Z32" s="755"/>
      <c r="AA32" s="716"/>
      <c r="AB32" s="755"/>
      <c r="AC32" s="717"/>
      <c r="AD32" s="717"/>
      <c r="AE32" s="717"/>
      <c r="AF32" s="753">
        <f t="shared" si="0"/>
        <v>0</v>
      </c>
    </row>
    <row r="33" spans="1:32">
      <c r="A33" s="677">
        <v>19</v>
      </c>
      <c r="B33" s="677"/>
      <c r="C33" s="677"/>
      <c r="D33" s="677"/>
      <c r="E33" s="675"/>
      <c r="F33" s="359"/>
      <c r="G33" s="561"/>
      <c r="H33" s="667"/>
      <c r="I33" s="667"/>
      <c r="J33" s="360"/>
      <c r="K33" s="671"/>
      <c r="L33" s="361"/>
      <c r="M33" s="362"/>
      <c r="N33" s="363"/>
      <c r="O33" s="364"/>
      <c r="P33" s="365"/>
      <c r="Q33" s="562"/>
      <c r="R33" s="359"/>
      <c r="S33" s="357"/>
      <c r="T33" s="677"/>
      <c r="U33" s="716"/>
      <c r="V33" s="755"/>
      <c r="W33" s="755"/>
      <c r="X33" s="778"/>
      <c r="Y33" s="755"/>
      <c r="Z33" s="755"/>
      <c r="AA33" s="716"/>
      <c r="AB33" s="755"/>
      <c r="AC33" s="717"/>
      <c r="AD33" s="717"/>
      <c r="AE33" s="717"/>
      <c r="AF33" s="753">
        <f t="shared" si="0"/>
        <v>0</v>
      </c>
    </row>
    <row r="34" spans="1:32">
      <c r="A34" s="677">
        <v>20</v>
      </c>
      <c r="B34" s="677"/>
      <c r="C34" s="677"/>
      <c r="D34" s="677"/>
      <c r="E34" s="675" t="s">
        <v>400</v>
      </c>
      <c r="F34" s="566">
        <f>+F32+F28</f>
        <v>-490730756.01999998</v>
      </c>
      <c r="G34" s="566">
        <f t="shared" ref="G34:R34" si="6">+G32+G28</f>
        <v>-493002544.21999997</v>
      </c>
      <c r="H34" s="566">
        <f t="shared" si="6"/>
        <v>-493787927.35999995</v>
      </c>
      <c r="I34" s="566">
        <f t="shared" si="6"/>
        <v>-495963486.68000001</v>
      </c>
      <c r="J34" s="566">
        <f t="shared" si="6"/>
        <v>-498069118.99000001</v>
      </c>
      <c r="K34" s="566">
        <f t="shared" si="6"/>
        <v>-500125920.26999998</v>
      </c>
      <c r="L34" s="566">
        <f t="shared" si="6"/>
        <v>-502477522.61000001</v>
      </c>
      <c r="M34" s="566">
        <f t="shared" si="6"/>
        <v>-500573348.86000001</v>
      </c>
      <c r="N34" s="566">
        <f t="shared" si="6"/>
        <v>-503784266.01999998</v>
      </c>
      <c r="O34" s="566">
        <f t="shared" si="6"/>
        <v>-505248365.63</v>
      </c>
      <c r="P34" s="566">
        <f t="shared" si="6"/>
        <v>-507488527.75999999</v>
      </c>
      <c r="Q34" s="566">
        <f t="shared" si="6"/>
        <v>-509992524.19000006</v>
      </c>
      <c r="R34" s="566">
        <f t="shared" si="6"/>
        <v>-508329145.68000007</v>
      </c>
      <c r="S34" s="552">
        <f>+S32+S28</f>
        <v>-500836958.62000012</v>
      </c>
      <c r="T34" s="677"/>
      <c r="U34" s="716"/>
      <c r="V34" s="755"/>
      <c r="W34" s="755"/>
      <c r="X34" s="778">
        <f>+S34-S22</f>
        <v>-502408082.94750011</v>
      </c>
      <c r="Y34" s="755">
        <f>+X34*Z7</f>
        <v>-377660155.95163584</v>
      </c>
      <c r="Z34" s="755">
        <f>+X34*Z8</f>
        <v>-124747926.99586427</v>
      </c>
      <c r="AA34" s="716"/>
      <c r="AB34" s="755"/>
      <c r="AC34" s="717"/>
      <c r="AD34" s="717"/>
      <c r="AE34" s="717" t="s">
        <v>1454</v>
      </c>
      <c r="AF34" s="753">
        <f t="shared" si="0"/>
        <v>0</v>
      </c>
    </row>
    <row r="35" spans="1:32">
      <c r="A35" s="677">
        <v>21</v>
      </c>
      <c r="B35" s="677"/>
      <c r="C35" s="677"/>
      <c r="D35" s="677"/>
      <c r="E35" s="662"/>
      <c r="F35" s="567"/>
      <c r="G35" s="568"/>
      <c r="H35" s="569"/>
      <c r="I35" s="569"/>
      <c r="J35" s="570"/>
      <c r="K35" s="571"/>
      <c r="L35" s="572"/>
      <c r="M35" s="573"/>
      <c r="N35" s="574"/>
      <c r="O35" s="575"/>
      <c r="P35" s="576"/>
      <c r="Q35" s="577"/>
      <c r="R35" s="567"/>
      <c r="S35" s="357"/>
      <c r="T35" s="677"/>
      <c r="U35" s="716"/>
      <c r="V35" s="755"/>
      <c r="W35" s="755"/>
      <c r="X35" s="778"/>
      <c r="Y35" s="755"/>
      <c r="Z35" s="755"/>
      <c r="AA35" s="716"/>
      <c r="AB35" s="755"/>
      <c r="AC35" s="717"/>
      <c r="AD35" s="717"/>
      <c r="AE35" s="717"/>
      <c r="AF35" s="753">
        <f t="shared" si="0"/>
        <v>0</v>
      </c>
    </row>
    <row r="36" spans="1:32">
      <c r="A36" s="677">
        <v>22</v>
      </c>
      <c r="B36" s="677"/>
      <c r="C36" s="677"/>
      <c r="D36" s="677"/>
      <c r="E36" s="662" t="s">
        <v>401</v>
      </c>
      <c r="F36" s="578">
        <f>+F20+F34</f>
        <v>599350195.36999989</v>
      </c>
      <c r="G36" s="578">
        <f t="shared" ref="G36:S36" si="7">+G20+G34</f>
        <v>602377180.52999997</v>
      </c>
      <c r="H36" s="578">
        <f t="shared" si="7"/>
        <v>603596638.52999997</v>
      </c>
      <c r="I36" s="578">
        <f t="shared" si="7"/>
        <v>606395240.50999999</v>
      </c>
      <c r="J36" s="578">
        <f t="shared" si="7"/>
        <v>610174120.94000006</v>
      </c>
      <c r="K36" s="578">
        <f t="shared" si="7"/>
        <v>615508731.6400001</v>
      </c>
      <c r="L36" s="578">
        <f t="shared" si="7"/>
        <v>620756439.00999987</v>
      </c>
      <c r="M36" s="578">
        <f t="shared" si="7"/>
        <v>629447619.53000009</v>
      </c>
      <c r="N36" s="578">
        <f t="shared" si="7"/>
        <v>636033680.5999999</v>
      </c>
      <c r="O36" s="578">
        <f t="shared" si="7"/>
        <v>639827676.60000002</v>
      </c>
      <c r="P36" s="578">
        <f t="shared" si="7"/>
        <v>649625931.3900001</v>
      </c>
      <c r="Q36" s="578">
        <f t="shared" si="7"/>
        <v>657711870.51999998</v>
      </c>
      <c r="R36" s="578">
        <f t="shared" si="7"/>
        <v>670993028.15999985</v>
      </c>
      <c r="S36" s="551">
        <f t="shared" si="7"/>
        <v>625552228.46374989</v>
      </c>
      <c r="T36" s="677"/>
      <c r="U36" s="716"/>
      <c r="V36" s="755"/>
      <c r="W36" s="755"/>
      <c r="X36" s="778"/>
      <c r="Y36" s="755"/>
      <c r="Z36" s="755"/>
      <c r="AA36" s="716"/>
      <c r="AB36" s="755"/>
      <c r="AC36" s="717"/>
      <c r="AD36" s="717"/>
      <c r="AE36" s="717"/>
      <c r="AF36" s="753">
        <f t="shared" si="0"/>
        <v>0</v>
      </c>
    </row>
    <row r="37" spans="1:32">
      <c r="A37" s="677">
        <v>23</v>
      </c>
      <c r="B37" s="677"/>
      <c r="C37" s="677"/>
      <c r="D37" s="677"/>
      <c r="E37" s="662"/>
      <c r="F37" s="359"/>
      <c r="G37" s="561"/>
      <c r="H37" s="667"/>
      <c r="I37" s="667"/>
      <c r="J37" s="360"/>
      <c r="K37" s="671"/>
      <c r="L37" s="361"/>
      <c r="M37" s="362"/>
      <c r="N37" s="363"/>
      <c r="O37" s="364"/>
      <c r="P37" s="365"/>
      <c r="Q37" s="562"/>
      <c r="R37" s="359"/>
      <c r="S37" s="357"/>
      <c r="T37" s="677"/>
      <c r="U37" s="716"/>
      <c r="V37" s="755"/>
      <c r="W37" s="755"/>
      <c r="X37" s="778"/>
      <c r="Y37" s="755"/>
      <c r="Z37" s="755"/>
      <c r="AA37" s="716"/>
      <c r="AB37" s="755"/>
      <c r="AC37" s="717"/>
      <c r="AD37" s="717"/>
      <c r="AE37" s="717"/>
      <c r="AF37" s="753">
        <f t="shared" si="0"/>
        <v>0</v>
      </c>
    </row>
    <row r="38" spans="1:32">
      <c r="A38" s="677">
        <v>24</v>
      </c>
      <c r="B38" s="379" t="s">
        <v>981</v>
      </c>
      <c r="C38" s="379" t="s">
        <v>402</v>
      </c>
      <c r="D38" s="379"/>
      <c r="E38" s="675" t="s">
        <v>403</v>
      </c>
      <c r="F38" s="366">
        <v>0</v>
      </c>
      <c r="G38" s="366">
        <v>0</v>
      </c>
      <c r="H38" s="366">
        <v>0</v>
      </c>
      <c r="I38" s="366">
        <v>0</v>
      </c>
      <c r="J38" s="366">
        <v>0</v>
      </c>
      <c r="K38" s="366">
        <v>0</v>
      </c>
      <c r="L38" s="366">
        <v>0</v>
      </c>
      <c r="M38" s="366">
        <v>0</v>
      </c>
      <c r="N38" s="366">
        <v>0</v>
      </c>
      <c r="O38" s="366">
        <v>0</v>
      </c>
      <c r="P38" s="366">
        <v>0</v>
      </c>
      <c r="Q38" s="366">
        <v>0</v>
      </c>
      <c r="R38" s="366">
        <v>0</v>
      </c>
      <c r="S38" s="357">
        <f>((F38+R38)+((G38+H38+I38+J38+K38+L38+M38+N38+O38+P38+Q38)*2))/24</f>
        <v>0</v>
      </c>
      <c r="T38" s="677"/>
      <c r="U38" s="716">
        <f>+S38</f>
        <v>0</v>
      </c>
      <c r="V38" s="755"/>
      <c r="W38" s="755"/>
      <c r="X38" s="778"/>
      <c r="Y38" s="755"/>
      <c r="Z38" s="755"/>
      <c r="AA38" s="716"/>
      <c r="AB38" s="755"/>
      <c r="AC38" s="717"/>
      <c r="AD38" s="717"/>
      <c r="AE38" s="717"/>
      <c r="AF38" s="753">
        <f t="shared" si="0"/>
        <v>0</v>
      </c>
    </row>
    <row r="39" spans="1:32">
      <c r="A39" s="677">
        <v>25</v>
      </c>
      <c r="B39" s="677"/>
      <c r="C39" s="677"/>
      <c r="D39" s="677"/>
      <c r="E39" s="662" t="s">
        <v>404</v>
      </c>
      <c r="F39" s="358">
        <f>+F38</f>
        <v>0</v>
      </c>
      <c r="G39" s="579">
        <v>0</v>
      </c>
      <c r="H39" s="580">
        <v>0</v>
      </c>
      <c r="I39" s="580">
        <v>0</v>
      </c>
      <c r="J39" s="581">
        <v>0</v>
      </c>
      <c r="K39" s="582">
        <v>0</v>
      </c>
      <c r="L39" s="583">
        <v>0</v>
      </c>
      <c r="M39" s="584">
        <v>0</v>
      </c>
      <c r="N39" s="585">
        <v>0</v>
      </c>
      <c r="O39" s="586">
        <v>0</v>
      </c>
      <c r="P39" s="587">
        <v>0</v>
      </c>
      <c r="Q39" s="588">
        <v>0</v>
      </c>
      <c r="R39" s="358">
        <v>0</v>
      </c>
      <c r="S39" s="357">
        <f>((F39+R39)+((G39+H39+I39+J39+K39+L39+M39+N39+O39+P39+Q39)*2))/24</f>
        <v>0</v>
      </c>
      <c r="T39" s="677"/>
      <c r="U39" s="716"/>
      <c r="V39" s="755"/>
      <c r="W39" s="755"/>
      <c r="X39" s="778"/>
      <c r="Y39" s="755"/>
      <c r="Z39" s="755"/>
      <c r="AA39" s="716"/>
      <c r="AB39" s="755"/>
      <c r="AC39" s="717"/>
      <c r="AD39" s="717"/>
      <c r="AE39" s="717"/>
      <c r="AF39" s="753">
        <f t="shared" si="0"/>
        <v>0</v>
      </c>
    </row>
    <row r="40" spans="1:32">
      <c r="A40" s="677">
        <v>26</v>
      </c>
      <c r="B40" s="677"/>
      <c r="C40" s="677"/>
      <c r="D40" s="677"/>
      <c r="E40" s="662"/>
      <c r="F40" s="676"/>
      <c r="G40" s="367"/>
      <c r="H40" s="368"/>
      <c r="I40" s="368"/>
      <c r="J40" s="369"/>
      <c r="K40" s="370"/>
      <c r="L40" s="371"/>
      <c r="M40" s="372"/>
      <c r="N40" s="373"/>
      <c r="O40" s="663"/>
      <c r="P40" s="374"/>
      <c r="Q40" s="375"/>
      <c r="R40" s="676"/>
      <c r="S40" s="357"/>
      <c r="T40" s="677"/>
      <c r="U40" s="716"/>
      <c r="V40" s="755"/>
      <c r="W40" s="755"/>
      <c r="X40" s="778"/>
      <c r="Y40" s="755"/>
      <c r="Z40" s="755"/>
      <c r="AA40" s="716"/>
      <c r="AB40" s="755"/>
      <c r="AC40" s="717"/>
      <c r="AD40" s="717"/>
      <c r="AE40" s="717"/>
      <c r="AF40" s="753">
        <f t="shared" si="0"/>
        <v>0</v>
      </c>
    </row>
    <row r="41" spans="1:32">
      <c r="A41" s="677">
        <v>27</v>
      </c>
      <c r="B41" s="379" t="s">
        <v>981</v>
      </c>
      <c r="C41" s="379" t="s">
        <v>1132</v>
      </c>
      <c r="D41" s="379" t="s">
        <v>463</v>
      </c>
      <c r="E41" s="675" t="s">
        <v>1501</v>
      </c>
      <c r="F41" s="676">
        <v>1647363.37</v>
      </c>
      <c r="G41" s="676">
        <v>1650548.45</v>
      </c>
      <c r="H41" s="676">
        <v>1653418.79</v>
      </c>
      <c r="I41" s="676">
        <v>520974.97</v>
      </c>
      <c r="J41" s="676">
        <v>521959.48</v>
      </c>
      <c r="K41" s="676">
        <v>522960.61</v>
      </c>
      <c r="L41" s="676">
        <v>523922.01</v>
      </c>
      <c r="M41" s="676">
        <v>524913.85</v>
      </c>
      <c r="N41" s="676">
        <v>525804.73</v>
      </c>
      <c r="O41" s="676">
        <v>526658.93999999994</v>
      </c>
      <c r="P41" s="676">
        <v>527433.56999999995</v>
      </c>
      <c r="Q41" s="676">
        <v>528090.85</v>
      </c>
      <c r="R41" s="676">
        <v>528752.93000000005</v>
      </c>
      <c r="S41" s="779">
        <f>((F41+R41)+((G41+H41+I41+J41+K41+L41+M41+N41+O41+P41+Q41)*2))/24</f>
        <v>759562.03333333321</v>
      </c>
      <c r="T41" s="677"/>
      <c r="U41" s="716"/>
      <c r="V41" s="755"/>
      <c r="W41" s="755"/>
      <c r="X41" s="778">
        <f>+S41</f>
        <v>759562.03333333321</v>
      </c>
      <c r="Y41" s="755"/>
      <c r="Z41" s="755"/>
      <c r="AA41" s="716"/>
      <c r="AB41" s="755">
        <f>+S41</f>
        <v>759562.03333333321</v>
      </c>
      <c r="AC41" s="717"/>
      <c r="AD41" s="717"/>
      <c r="AE41" s="717"/>
      <c r="AF41" s="753">
        <f t="shared" si="0"/>
        <v>0</v>
      </c>
    </row>
    <row r="42" spans="1:32">
      <c r="A42" s="677">
        <v>28</v>
      </c>
      <c r="B42" s="379" t="s">
        <v>981</v>
      </c>
      <c r="C42" s="379" t="s">
        <v>1132</v>
      </c>
      <c r="D42" s="379" t="s">
        <v>450</v>
      </c>
      <c r="E42" s="675" t="s">
        <v>1502</v>
      </c>
      <c r="F42" s="676">
        <v>10584814.859999999</v>
      </c>
      <c r="G42" s="676">
        <v>10770808.609999999</v>
      </c>
      <c r="H42" s="676">
        <v>10830520.99</v>
      </c>
      <c r="I42" s="676">
        <v>10935394.75</v>
      </c>
      <c r="J42" s="676">
        <v>10989421.77</v>
      </c>
      <c r="K42" s="676">
        <v>10930533.949999999</v>
      </c>
      <c r="L42" s="676">
        <v>11104230.210000001</v>
      </c>
      <c r="M42" s="676">
        <v>11130863.68</v>
      </c>
      <c r="N42" s="676">
        <v>11185472.630000001</v>
      </c>
      <c r="O42" s="676">
        <v>11298649.32</v>
      </c>
      <c r="P42" s="676">
        <v>11332181.23</v>
      </c>
      <c r="Q42" s="676">
        <v>11408136.99</v>
      </c>
      <c r="R42" s="676">
        <v>11462788.92</v>
      </c>
      <c r="S42" s="779">
        <f t="shared" ref="S42:S44" si="8">((F42+R42)+((G42+H42+I42+J42+K42+L42+M42+N42+O42+P42+Q42)*2))/24</f>
        <v>11078334.668333333</v>
      </c>
      <c r="T42" s="677"/>
      <c r="U42" s="716"/>
      <c r="V42" s="755"/>
      <c r="W42" s="755"/>
      <c r="X42" s="778">
        <f>+S42</f>
        <v>11078334.668333333</v>
      </c>
      <c r="Y42" s="755"/>
      <c r="Z42" s="755"/>
      <c r="AA42" s="716"/>
      <c r="AB42" s="755">
        <f>+S42</f>
        <v>11078334.668333333</v>
      </c>
      <c r="AC42" s="717"/>
      <c r="AD42" s="717"/>
      <c r="AE42" s="717"/>
      <c r="AF42" s="753">
        <f t="shared" si="0"/>
        <v>0</v>
      </c>
    </row>
    <row r="43" spans="1:32">
      <c r="A43" s="677">
        <v>29</v>
      </c>
      <c r="B43" s="379" t="s">
        <v>981</v>
      </c>
      <c r="C43" s="379" t="s">
        <v>1132</v>
      </c>
      <c r="D43" s="379" t="s">
        <v>495</v>
      </c>
      <c r="E43" s="675" t="s">
        <v>1503</v>
      </c>
      <c r="F43" s="676">
        <v>139136.91</v>
      </c>
      <c r="G43" s="676">
        <v>0</v>
      </c>
      <c r="H43" s="676">
        <v>0</v>
      </c>
      <c r="I43" s="676">
        <v>0</v>
      </c>
      <c r="J43" s="676">
        <v>0</v>
      </c>
      <c r="K43" s="676">
        <v>0</v>
      </c>
      <c r="L43" s="676">
        <v>0</v>
      </c>
      <c r="M43" s="676">
        <v>0</v>
      </c>
      <c r="N43" s="676">
        <v>0</v>
      </c>
      <c r="O43" s="676">
        <v>0</v>
      </c>
      <c r="P43" s="676">
        <v>0</v>
      </c>
      <c r="Q43" s="676">
        <v>0</v>
      </c>
      <c r="R43" s="676">
        <v>0</v>
      </c>
      <c r="S43" s="779">
        <f t="shared" si="8"/>
        <v>5797.3712500000001</v>
      </c>
      <c r="T43" s="677"/>
      <c r="U43" s="716"/>
      <c r="V43" s="755"/>
      <c r="W43" s="755"/>
      <c r="X43" s="778">
        <f>+S43</f>
        <v>5797.3712500000001</v>
      </c>
      <c r="Y43" s="755"/>
      <c r="Z43" s="755"/>
      <c r="AA43" s="716"/>
      <c r="AB43" s="755">
        <f>+S43</f>
        <v>5797.3712500000001</v>
      </c>
      <c r="AC43" s="717"/>
      <c r="AD43" s="717"/>
      <c r="AE43" s="717"/>
      <c r="AF43" s="753">
        <f t="shared" si="0"/>
        <v>0</v>
      </c>
    </row>
    <row r="44" spans="1:32">
      <c r="A44" s="677">
        <v>30</v>
      </c>
      <c r="B44" s="379" t="s">
        <v>981</v>
      </c>
      <c r="C44" s="379" t="s">
        <v>405</v>
      </c>
      <c r="D44" s="379"/>
      <c r="E44" s="675" t="s">
        <v>406</v>
      </c>
      <c r="F44" s="676">
        <v>202030.18</v>
      </c>
      <c r="G44" s="676">
        <v>202030.18</v>
      </c>
      <c r="H44" s="676">
        <v>202030.18</v>
      </c>
      <c r="I44" s="676">
        <v>202030.18</v>
      </c>
      <c r="J44" s="676">
        <v>202030.18</v>
      </c>
      <c r="K44" s="676">
        <v>202030.18</v>
      </c>
      <c r="L44" s="676">
        <v>197964.51</v>
      </c>
      <c r="M44" s="676">
        <v>197964.51</v>
      </c>
      <c r="N44" s="676">
        <v>197964.51</v>
      </c>
      <c r="O44" s="676">
        <v>197964.51</v>
      </c>
      <c r="P44" s="676">
        <v>197964.51</v>
      </c>
      <c r="Q44" s="676">
        <v>197964.51</v>
      </c>
      <c r="R44" s="676">
        <v>197964.51</v>
      </c>
      <c r="S44" s="779">
        <f t="shared" si="8"/>
        <v>199827.94208333336</v>
      </c>
      <c r="T44" s="677"/>
      <c r="U44" s="716"/>
      <c r="V44" s="755"/>
      <c r="W44" s="755"/>
      <c r="X44" s="778">
        <f>+S44</f>
        <v>199827.94208333336</v>
      </c>
      <c r="Y44" s="755"/>
      <c r="Z44" s="755"/>
      <c r="AA44" s="716"/>
      <c r="AB44" s="755">
        <f>+S44</f>
        <v>199827.94208333336</v>
      </c>
      <c r="AC44" s="717"/>
      <c r="AD44" s="717"/>
      <c r="AE44" s="717"/>
      <c r="AF44" s="753">
        <f t="shared" si="0"/>
        <v>0</v>
      </c>
    </row>
    <row r="45" spans="1:32">
      <c r="A45" s="677">
        <v>31</v>
      </c>
      <c r="B45" s="379" t="s">
        <v>981</v>
      </c>
      <c r="C45" s="379" t="s">
        <v>407</v>
      </c>
      <c r="D45" s="379"/>
      <c r="E45" s="675" t="s">
        <v>408</v>
      </c>
      <c r="F45" s="366">
        <v>0</v>
      </c>
      <c r="G45" s="366">
        <v>0</v>
      </c>
      <c r="H45" s="366">
        <v>0</v>
      </c>
      <c r="I45" s="366">
        <v>0</v>
      </c>
      <c r="J45" s="366">
        <v>0</v>
      </c>
      <c r="K45" s="366">
        <v>0</v>
      </c>
      <c r="L45" s="366">
        <v>0</v>
      </c>
      <c r="M45" s="366">
        <v>0</v>
      </c>
      <c r="N45" s="366">
        <v>0</v>
      </c>
      <c r="O45" s="366">
        <v>0</v>
      </c>
      <c r="P45" s="366">
        <v>0</v>
      </c>
      <c r="Q45" s="366">
        <v>0</v>
      </c>
      <c r="R45" s="366">
        <v>0</v>
      </c>
      <c r="S45" s="779">
        <f>((F45+R45)+((G45+H45+I45+J45+K45+L45+M45+N45+O45+P45+Q45)*2))/24</f>
        <v>0</v>
      </c>
      <c r="T45" s="677"/>
      <c r="U45" s="716">
        <f t="shared" ref="U45" si="9">+S45</f>
        <v>0</v>
      </c>
      <c r="V45" s="755"/>
      <c r="W45" s="755"/>
      <c r="X45" s="778"/>
      <c r="Y45" s="755"/>
      <c r="Z45" s="755"/>
      <c r="AA45" s="716"/>
      <c r="AB45" s="755">
        <f>+S45</f>
        <v>0</v>
      </c>
      <c r="AC45" s="717"/>
      <c r="AD45" s="717"/>
      <c r="AE45" s="717"/>
      <c r="AF45" s="753">
        <f t="shared" si="0"/>
        <v>0</v>
      </c>
    </row>
    <row r="46" spans="1:32">
      <c r="A46" s="677">
        <v>32</v>
      </c>
      <c r="B46" s="677"/>
      <c r="C46" s="677"/>
      <c r="D46" s="677"/>
      <c r="E46" s="662" t="s">
        <v>409</v>
      </c>
      <c r="F46" s="358">
        <f t="shared" ref="F46:S46" si="10">SUM(F41:F45)</f>
        <v>12573345.32</v>
      </c>
      <c r="G46" s="358">
        <f t="shared" si="10"/>
        <v>12623387.239999998</v>
      </c>
      <c r="H46" s="358">
        <f t="shared" si="10"/>
        <v>12685969.960000001</v>
      </c>
      <c r="I46" s="358">
        <f t="shared" si="10"/>
        <v>11658399.9</v>
      </c>
      <c r="J46" s="358">
        <f t="shared" si="10"/>
        <v>11713411.43</v>
      </c>
      <c r="K46" s="358">
        <f t="shared" si="10"/>
        <v>11655524.739999998</v>
      </c>
      <c r="L46" s="358">
        <f t="shared" si="10"/>
        <v>11826116.73</v>
      </c>
      <c r="M46" s="358">
        <f t="shared" si="10"/>
        <v>11853742.039999999</v>
      </c>
      <c r="N46" s="358">
        <f t="shared" si="10"/>
        <v>11909241.870000001</v>
      </c>
      <c r="O46" s="358">
        <f t="shared" si="10"/>
        <v>12023272.77</v>
      </c>
      <c r="P46" s="358">
        <f t="shared" si="10"/>
        <v>12057579.310000001</v>
      </c>
      <c r="Q46" s="358">
        <f t="shared" si="10"/>
        <v>12134192.35</v>
      </c>
      <c r="R46" s="358">
        <f t="shared" si="10"/>
        <v>12189506.359999999</v>
      </c>
      <c r="S46" s="553">
        <f t="shared" si="10"/>
        <v>12043522.014999999</v>
      </c>
      <c r="T46" s="677"/>
      <c r="U46" s="716"/>
      <c r="V46" s="755"/>
      <c r="W46" s="755"/>
      <c r="X46" s="778"/>
      <c r="Y46" s="755"/>
      <c r="Z46" s="755"/>
      <c r="AA46" s="716"/>
      <c r="AB46" s="755"/>
      <c r="AC46" s="717"/>
      <c r="AD46" s="717"/>
      <c r="AE46" s="717"/>
      <c r="AF46" s="753">
        <f t="shared" si="0"/>
        <v>0</v>
      </c>
    </row>
    <row r="47" spans="1:32">
      <c r="A47" s="677">
        <v>33</v>
      </c>
      <c r="B47" s="677"/>
      <c r="C47" s="677"/>
      <c r="D47" s="677"/>
      <c r="E47" s="662"/>
      <c r="F47" s="676"/>
      <c r="G47" s="367"/>
      <c r="H47" s="368"/>
      <c r="I47" s="368"/>
      <c r="J47" s="369"/>
      <c r="K47" s="370"/>
      <c r="L47" s="371"/>
      <c r="M47" s="372"/>
      <c r="N47" s="373"/>
      <c r="O47" s="663"/>
      <c r="P47" s="374"/>
      <c r="Q47" s="375"/>
      <c r="R47" s="676"/>
      <c r="S47" s="357"/>
      <c r="T47" s="677"/>
      <c r="U47" s="716"/>
      <c r="V47" s="755"/>
      <c r="W47" s="755"/>
      <c r="X47" s="778"/>
      <c r="Y47" s="755"/>
      <c r="Z47" s="755"/>
      <c r="AA47" s="716"/>
      <c r="AB47" s="755"/>
      <c r="AC47" s="717"/>
      <c r="AD47" s="717"/>
      <c r="AE47" s="717"/>
      <c r="AF47" s="753">
        <f t="shared" si="0"/>
        <v>0</v>
      </c>
    </row>
    <row r="48" spans="1:32">
      <c r="A48" s="677">
        <v>34</v>
      </c>
      <c r="B48" s="677"/>
      <c r="C48" s="557" t="s">
        <v>410</v>
      </c>
      <c r="D48" s="557" t="s">
        <v>382</v>
      </c>
      <c r="E48" s="662" t="s">
        <v>1504</v>
      </c>
      <c r="F48" s="676">
        <v>0</v>
      </c>
      <c r="G48" s="367">
        <v>713994.61</v>
      </c>
      <c r="H48" s="368">
        <v>0</v>
      </c>
      <c r="I48" s="368">
        <v>0</v>
      </c>
      <c r="J48" s="369">
        <v>0</v>
      </c>
      <c r="K48" s="370">
        <v>0</v>
      </c>
      <c r="L48" s="371">
        <v>0</v>
      </c>
      <c r="M48" s="372">
        <v>0</v>
      </c>
      <c r="N48" s="373">
        <v>72840.87</v>
      </c>
      <c r="O48" s="663">
        <v>0</v>
      </c>
      <c r="P48" s="374">
        <v>125578.49</v>
      </c>
      <c r="Q48" s="375">
        <v>525780</v>
      </c>
      <c r="R48" s="676">
        <v>0</v>
      </c>
      <c r="S48" s="551">
        <f t="shared" ref="S48:S58" si="11">((F48+R48)+((G48+H48+I48+J48+K48+L48+M48+N48+O48+P48+Q48)*2))/24</f>
        <v>119849.4975</v>
      </c>
      <c r="T48" s="677"/>
      <c r="U48" s="716">
        <f t="shared" ref="U48:U58" si="12">+S48</f>
        <v>119849.4975</v>
      </c>
      <c r="V48" s="755"/>
      <c r="W48" s="755"/>
      <c r="X48" s="778"/>
      <c r="Y48" s="755"/>
      <c r="Z48" s="755"/>
      <c r="AA48" s="716"/>
      <c r="AB48" s="755"/>
      <c r="AC48" s="717"/>
      <c r="AD48" s="718">
        <f>+S48</f>
        <v>119849.4975</v>
      </c>
      <c r="AE48" s="717"/>
      <c r="AF48" s="753">
        <f t="shared" si="0"/>
        <v>0</v>
      </c>
    </row>
    <row r="49" spans="1:32">
      <c r="A49" s="677">
        <v>35</v>
      </c>
      <c r="B49" s="379" t="s">
        <v>981</v>
      </c>
      <c r="C49" s="379" t="s">
        <v>410</v>
      </c>
      <c r="D49" s="379" t="s">
        <v>1133</v>
      </c>
      <c r="E49" s="675" t="s">
        <v>1505</v>
      </c>
      <c r="F49" s="676">
        <v>2550120.08</v>
      </c>
      <c r="G49" s="676">
        <v>507975.97</v>
      </c>
      <c r="H49" s="676">
        <v>1437715.44</v>
      </c>
      <c r="I49" s="676">
        <v>1186503.52</v>
      </c>
      <c r="J49" s="676">
        <v>2083270</v>
      </c>
      <c r="K49" s="676">
        <v>249413.81</v>
      </c>
      <c r="L49" s="676">
        <v>514625.83</v>
      </c>
      <c r="M49" s="676">
        <v>658393.63</v>
      </c>
      <c r="N49" s="676">
        <v>277608.32000000001</v>
      </c>
      <c r="O49" s="676">
        <v>784763.2</v>
      </c>
      <c r="P49" s="676">
        <v>300167.40000000002</v>
      </c>
      <c r="Q49" s="676">
        <v>-204205.54</v>
      </c>
      <c r="R49" s="676">
        <v>2461509.84</v>
      </c>
      <c r="S49" s="551">
        <f t="shared" si="11"/>
        <v>858503.8783333333</v>
      </c>
      <c r="T49" s="677"/>
      <c r="U49" s="716">
        <f t="shared" si="12"/>
        <v>858503.8783333333</v>
      </c>
      <c r="V49" s="755"/>
      <c r="W49" s="755"/>
      <c r="X49" s="778"/>
      <c r="Y49" s="755"/>
      <c r="Z49" s="755"/>
      <c r="AA49" s="716"/>
      <c r="AB49" s="755"/>
      <c r="AC49" s="717"/>
      <c r="AD49" s="718">
        <f t="shared" ref="AD49:AD58" si="13">+U49</f>
        <v>858503.8783333333</v>
      </c>
      <c r="AE49" s="717"/>
      <c r="AF49" s="753">
        <f t="shared" si="0"/>
        <v>0</v>
      </c>
    </row>
    <row r="50" spans="1:32">
      <c r="A50" s="677">
        <v>36</v>
      </c>
      <c r="B50" s="379" t="s">
        <v>981</v>
      </c>
      <c r="C50" s="379" t="s">
        <v>410</v>
      </c>
      <c r="D50" s="379" t="s">
        <v>1134</v>
      </c>
      <c r="E50" s="675" t="s">
        <v>1506</v>
      </c>
      <c r="F50" s="676">
        <v>-819556.52</v>
      </c>
      <c r="G50" s="676">
        <v>-1795112.87</v>
      </c>
      <c r="H50" s="676">
        <v>-1495402.81</v>
      </c>
      <c r="I50" s="676">
        <v>-796374.57</v>
      </c>
      <c r="J50" s="676">
        <v>-3153933.99</v>
      </c>
      <c r="K50" s="676">
        <v>-569582.86</v>
      </c>
      <c r="L50" s="676">
        <v>-506152.85</v>
      </c>
      <c r="M50" s="676">
        <v>-763947.96</v>
      </c>
      <c r="N50" s="676">
        <v>-544940.30000000005</v>
      </c>
      <c r="O50" s="676">
        <v>-798507.84</v>
      </c>
      <c r="P50" s="676">
        <v>-649035.34</v>
      </c>
      <c r="Q50" s="676">
        <v>-1002179.5</v>
      </c>
      <c r="R50" s="676">
        <v>-518690.26</v>
      </c>
      <c r="S50" s="551">
        <f t="shared" si="11"/>
        <v>-1062024.5233333334</v>
      </c>
      <c r="T50" s="677"/>
      <c r="U50" s="716">
        <f t="shared" si="12"/>
        <v>-1062024.5233333334</v>
      </c>
      <c r="V50" s="755"/>
      <c r="W50" s="755"/>
      <c r="X50" s="778"/>
      <c r="Y50" s="755"/>
      <c r="Z50" s="755"/>
      <c r="AA50" s="716"/>
      <c r="AB50" s="755"/>
      <c r="AC50" s="717"/>
      <c r="AD50" s="718">
        <f t="shared" si="13"/>
        <v>-1062024.5233333334</v>
      </c>
      <c r="AE50" s="717"/>
      <c r="AF50" s="753">
        <f t="shared" si="0"/>
        <v>0</v>
      </c>
    </row>
    <row r="51" spans="1:32">
      <c r="A51" s="677">
        <v>37</v>
      </c>
      <c r="B51" s="379" t="s">
        <v>981</v>
      </c>
      <c r="C51" s="379" t="s">
        <v>410</v>
      </c>
      <c r="D51" s="379" t="s">
        <v>1135</v>
      </c>
      <c r="E51" s="675" t="s">
        <v>1507</v>
      </c>
      <c r="F51" s="676">
        <v>-500.00000000001103</v>
      </c>
      <c r="G51" s="676">
        <v>1607.1</v>
      </c>
      <c r="H51" s="676">
        <v>-14873.24</v>
      </c>
      <c r="I51" s="676">
        <v>-1337.24</v>
      </c>
      <c r="J51" s="676">
        <v>-300</v>
      </c>
      <c r="K51" s="676">
        <v>2.2737367544323201E-13</v>
      </c>
      <c r="L51" s="676">
        <v>2.2737367544323201E-13</v>
      </c>
      <c r="M51" s="676">
        <v>2.2737367544323201E-13</v>
      </c>
      <c r="N51" s="676">
        <v>2.2737367544323201E-13</v>
      </c>
      <c r="O51" s="676">
        <v>-4240.28</v>
      </c>
      <c r="P51" s="676">
        <v>-173413.86</v>
      </c>
      <c r="Q51" s="676">
        <v>-173413.86</v>
      </c>
      <c r="R51" s="676">
        <v>0</v>
      </c>
      <c r="S51" s="551">
        <f t="shared" si="11"/>
        <v>-30518.448333333334</v>
      </c>
      <c r="T51" s="677"/>
      <c r="U51" s="716">
        <f t="shared" si="12"/>
        <v>-30518.448333333334</v>
      </c>
      <c r="V51" s="755"/>
      <c r="W51" s="755"/>
      <c r="X51" s="778"/>
      <c r="Y51" s="755"/>
      <c r="Z51" s="755"/>
      <c r="AA51" s="716"/>
      <c r="AB51" s="755"/>
      <c r="AC51" s="717"/>
      <c r="AD51" s="718">
        <f t="shared" si="13"/>
        <v>-30518.448333333334</v>
      </c>
      <c r="AE51" s="717"/>
      <c r="AF51" s="753">
        <f t="shared" si="0"/>
        <v>0</v>
      </c>
    </row>
    <row r="52" spans="1:32">
      <c r="A52" s="677">
        <v>38</v>
      </c>
      <c r="B52" s="379" t="s">
        <v>981</v>
      </c>
      <c r="C52" s="379" t="s">
        <v>410</v>
      </c>
      <c r="D52" s="379" t="s">
        <v>1136</v>
      </c>
      <c r="E52" s="675" t="s">
        <v>1508</v>
      </c>
      <c r="F52" s="676">
        <v>5000.0000000002301</v>
      </c>
      <c r="G52" s="676">
        <v>5000</v>
      </c>
      <c r="H52" s="676">
        <v>5000</v>
      </c>
      <c r="I52" s="676">
        <v>5000</v>
      </c>
      <c r="J52" s="676">
        <v>81586</v>
      </c>
      <c r="K52" s="676">
        <v>6478.84</v>
      </c>
      <c r="L52" s="676">
        <v>6360.09</v>
      </c>
      <c r="M52" s="676">
        <v>3120.38</v>
      </c>
      <c r="N52" s="676">
        <v>5000</v>
      </c>
      <c r="O52" s="676">
        <v>3438</v>
      </c>
      <c r="P52" s="676">
        <v>5000</v>
      </c>
      <c r="Q52" s="676">
        <v>5000</v>
      </c>
      <c r="R52" s="676">
        <v>5000</v>
      </c>
      <c r="S52" s="551">
        <f t="shared" si="11"/>
        <v>11331.94250000001</v>
      </c>
      <c r="T52" s="677"/>
      <c r="U52" s="716">
        <f>+S52</f>
        <v>11331.94250000001</v>
      </c>
      <c r="V52" s="755"/>
      <c r="W52" s="755"/>
      <c r="X52" s="778">
        <f>+S52-U52</f>
        <v>0</v>
      </c>
      <c r="Y52" s="755"/>
      <c r="Z52" s="755"/>
      <c r="AA52" s="716"/>
      <c r="AB52" s="755">
        <f>+X52</f>
        <v>0</v>
      </c>
      <c r="AC52" s="717"/>
      <c r="AD52" s="718">
        <f t="shared" si="13"/>
        <v>11331.94250000001</v>
      </c>
      <c r="AE52" s="717"/>
      <c r="AF52" s="753">
        <f t="shared" si="0"/>
        <v>0</v>
      </c>
    </row>
    <row r="53" spans="1:32">
      <c r="A53" s="677">
        <v>39</v>
      </c>
      <c r="B53" s="379" t="s">
        <v>981</v>
      </c>
      <c r="C53" s="379" t="s">
        <v>410</v>
      </c>
      <c r="D53" s="379" t="s">
        <v>1877</v>
      </c>
      <c r="E53" s="675" t="s">
        <v>1878</v>
      </c>
      <c r="F53" s="676">
        <v>0</v>
      </c>
      <c r="G53" s="676">
        <v>0</v>
      </c>
      <c r="H53" s="676">
        <v>0</v>
      </c>
      <c r="I53" s="676">
        <v>0</v>
      </c>
      <c r="J53" s="676">
        <v>0</v>
      </c>
      <c r="K53" s="676">
        <v>0</v>
      </c>
      <c r="L53" s="676">
        <v>0</v>
      </c>
      <c r="M53" s="676">
        <v>0</v>
      </c>
      <c r="N53" s="676">
        <v>0</v>
      </c>
      <c r="O53" s="676">
        <v>0</v>
      </c>
      <c r="P53" s="676">
        <v>0</v>
      </c>
      <c r="Q53" s="676">
        <v>0</v>
      </c>
      <c r="R53" s="676">
        <v>1163.8699999999999</v>
      </c>
      <c r="S53" s="551">
        <f t="shared" si="11"/>
        <v>48.494583333333331</v>
      </c>
      <c r="T53" s="677"/>
      <c r="U53" s="716">
        <f t="shared" si="12"/>
        <v>48.494583333333331</v>
      </c>
      <c r="V53" s="755"/>
      <c r="W53" s="755"/>
      <c r="X53" s="778"/>
      <c r="Y53" s="755"/>
      <c r="Z53" s="755"/>
      <c r="AA53" s="716"/>
      <c r="AB53" s="755"/>
      <c r="AC53" s="717"/>
      <c r="AD53" s="718">
        <f t="shared" si="13"/>
        <v>48.494583333333331</v>
      </c>
      <c r="AE53" s="717"/>
      <c r="AF53" s="753">
        <f t="shared" si="0"/>
        <v>0</v>
      </c>
    </row>
    <row r="54" spans="1:32">
      <c r="A54" s="677">
        <v>40</v>
      </c>
      <c r="B54" s="379"/>
      <c r="C54" s="379" t="s">
        <v>410</v>
      </c>
      <c r="D54" s="379" t="s">
        <v>1411</v>
      </c>
      <c r="E54" s="675" t="s">
        <v>1412</v>
      </c>
      <c r="F54" s="676">
        <v>1468095.37</v>
      </c>
      <c r="G54" s="676">
        <v>566535.18999999994</v>
      </c>
      <c r="H54" s="676">
        <v>619477.91</v>
      </c>
      <c r="I54" s="676">
        <v>1534647.82</v>
      </c>
      <c r="J54" s="676">
        <v>1100649.3600000001</v>
      </c>
      <c r="K54" s="676">
        <v>399615.65</v>
      </c>
      <c r="L54" s="676">
        <v>1098135.5</v>
      </c>
      <c r="M54" s="676">
        <v>465511.55</v>
      </c>
      <c r="N54" s="676">
        <v>189491.11</v>
      </c>
      <c r="O54" s="676">
        <v>2126914.0299999998</v>
      </c>
      <c r="P54" s="676">
        <v>391703.31</v>
      </c>
      <c r="Q54" s="676">
        <v>247855.03</v>
      </c>
      <c r="R54" s="676">
        <v>4947993.17</v>
      </c>
      <c r="S54" s="551">
        <f t="shared" si="11"/>
        <v>995715.06083333341</v>
      </c>
      <c r="T54" s="677"/>
      <c r="U54" s="716">
        <f>+S54</f>
        <v>995715.06083333341</v>
      </c>
      <c r="V54" s="755"/>
      <c r="W54" s="755"/>
      <c r="X54" s="778"/>
      <c r="Y54" s="755"/>
      <c r="Z54" s="755"/>
      <c r="AA54" s="716"/>
      <c r="AB54" s="755"/>
      <c r="AC54" s="717"/>
      <c r="AD54" s="718">
        <f t="shared" si="13"/>
        <v>995715.06083333341</v>
      </c>
      <c r="AE54" s="717"/>
      <c r="AF54" s="753">
        <f t="shared" si="0"/>
        <v>0</v>
      </c>
    </row>
    <row r="55" spans="1:32">
      <c r="A55" s="677">
        <v>41</v>
      </c>
      <c r="B55" s="379" t="s">
        <v>981</v>
      </c>
      <c r="C55" s="379" t="s">
        <v>412</v>
      </c>
      <c r="D55" s="379" t="s">
        <v>1137</v>
      </c>
      <c r="E55" s="675" t="s">
        <v>1509</v>
      </c>
      <c r="F55" s="676">
        <v>600</v>
      </c>
      <c r="G55" s="676">
        <v>600</v>
      </c>
      <c r="H55" s="676">
        <v>600</v>
      </c>
      <c r="I55" s="676">
        <v>600</v>
      </c>
      <c r="J55" s="676">
        <v>600</v>
      </c>
      <c r="K55" s="676">
        <v>330.48</v>
      </c>
      <c r="L55" s="676">
        <v>0</v>
      </c>
      <c r="M55" s="676">
        <v>0</v>
      </c>
      <c r="N55" s="676">
        <v>0</v>
      </c>
      <c r="O55" s="676">
        <v>0</v>
      </c>
      <c r="P55" s="676">
        <v>0</v>
      </c>
      <c r="Q55" s="676">
        <v>0</v>
      </c>
      <c r="R55" s="676">
        <v>0</v>
      </c>
      <c r="S55" s="551">
        <f t="shared" si="11"/>
        <v>252.54</v>
      </c>
      <c r="T55" s="677"/>
      <c r="U55" s="716">
        <f t="shared" si="12"/>
        <v>252.54</v>
      </c>
      <c r="V55" s="755"/>
      <c r="W55" s="755"/>
      <c r="X55" s="778"/>
      <c r="Y55" s="755"/>
      <c r="Z55" s="755"/>
      <c r="AA55" s="716"/>
      <c r="AB55" s="755"/>
      <c r="AC55" s="717"/>
      <c r="AD55" s="718">
        <f t="shared" si="13"/>
        <v>252.54</v>
      </c>
      <c r="AE55" s="717"/>
      <c r="AF55" s="753">
        <f t="shared" si="0"/>
        <v>0</v>
      </c>
    </row>
    <row r="56" spans="1:32">
      <c r="A56" s="677">
        <v>42</v>
      </c>
      <c r="B56" s="379" t="s">
        <v>981</v>
      </c>
      <c r="C56" s="379" t="s">
        <v>412</v>
      </c>
      <c r="D56" s="379" t="s">
        <v>1138</v>
      </c>
      <c r="E56" s="675" t="s">
        <v>1510</v>
      </c>
      <c r="F56" s="676">
        <v>300</v>
      </c>
      <c r="G56" s="676">
        <v>300</v>
      </c>
      <c r="H56" s="676">
        <v>300</v>
      </c>
      <c r="I56" s="676">
        <v>300</v>
      </c>
      <c r="J56" s="676">
        <v>300</v>
      </c>
      <c r="K56" s="676">
        <v>284.69</v>
      </c>
      <c r="L56" s="676">
        <v>0</v>
      </c>
      <c r="M56" s="676">
        <v>0</v>
      </c>
      <c r="N56" s="676">
        <v>0</v>
      </c>
      <c r="O56" s="676">
        <v>0</v>
      </c>
      <c r="P56" s="676">
        <v>0</v>
      </c>
      <c r="Q56" s="676">
        <v>0</v>
      </c>
      <c r="R56" s="676">
        <v>0</v>
      </c>
      <c r="S56" s="551">
        <f t="shared" si="11"/>
        <v>136.22416666666666</v>
      </c>
      <c r="T56" s="677"/>
      <c r="U56" s="716">
        <f t="shared" si="12"/>
        <v>136.22416666666666</v>
      </c>
      <c r="V56" s="755"/>
      <c r="W56" s="755"/>
      <c r="X56" s="778"/>
      <c r="Y56" s="755"/>
      <c r="Z56" s="755"/>
      <c r="AA56" s="716"/>
      <c r="AB56" s="755"/>
      <c r="AC56" s="717"/>
      <c r="AD56" s="718">
        <f t="shared" si="13"/>
        <v>136.22416666666666</v>
      </c>
      <c r="AE56" s="717"/>
      <c r="AF56" s="753">
        <f t="shared" si="0"/>
        <v>0</v>
      </c>
    </row>
    <row r="57" spans="1:32">
      <c r="A57" s="677">
        <v>43</v>
      </c>
      <c r="B57" s="379" t="s">
        <v>981</v>
      </c>
      <c r="C57" s="379" t="s">
        <v>412</v>
      </c>
      <c r="D57" s="589" t="s">
        <v>1139</v>
      </c>
      <c r="E57" s="675" t="s">
        <v>1511</v>
      </c>
      <c r="F57" s="676">
        <v>0</v>
      </c>
      <c r="G57" s="676">
        <v>0</v>
      </c>
      <c r="H57" s="676">
        <v>0</v>
      </c>
      <c r="I57" s="676">
        <v>0</v>
      </c>
      <c r="J57" s="676">
        <v>0</v>
      </c>
      <c r="K57" s="676">
        <v>0</v>
      </c>
      <c r="L57" s="676">
        <v>0</v>
      </c>
      <c r="M57" s="676">
        <v>0</v>
      </c>
      <c r="N57" s="676">
        <v>0</v>
      </c>
      <c r="O57" s="676">
        <v>0</v>
      </c>
      <c r="P57" s="676">
        <v>0</v>
      </c>
      <c r="Q57" s="676">
        <v>0</v>
      </c>
      <c r="R57" s="676">
        <v>0</v>
      </c>
      <c r="S57" s="551">
        <f t="shared" si="11"/>
        <v>0</v>
      </c>
      <c r="T57" s="677"/>
      <c r="U57" s="716">
        <f t="shared" si="12"/>
        <v>0</v>
      </c>
      <c r="V57" s="755"/>
      <c r="W57" s="755"/>
      <c r="X57" s="778"/>
      <c r="Y57" s="755"/>
      <c r="Z57" s="755"/>
      <c r="AA57" s="716"/>
      <c r="AB57" s="755"/>
      <c r="AC57" s="717"/>
      <c r="AD57" s="718">
        <f t="shared" si="13"/>
        <v>0</v>
      </c>
      <c r="AE57" s="717"/>
      <c r="AF57" s="753">
        <f t="shared" si="0"/>
        <v>0</v>
      </c>
    </row>
    <row r="58" spans="1:32">
      <c r="A58" s="677">
        <v>44</v>
      </c>
      <c r="B58" s="379" t="s">
        <v>981</v>
      </c>
      <c r="C58" s="379" t="s">
        <v>412</v>
      </c>
      <c r="D58" s="379" t="s">
        <v>1140</v>
      </c>
      <c r="E58" s="675" t="s">
        <v>1512</v>
      </c>
      <c r="F58" s="676">
        <v>250</v>
      </c>
      <c r="G58" s="676">
        <v>250</v>
      </c>
      <c r="H58" s="676">
        <v>250</v>
      </c>
      <c r="I58" s="676">
        <v>250</v>
      </c>
      <c r="J58" s="676">
        <v>250</v>
      </c>
      <c r="K58" s="676">
        <v>236.3</v>
      </c>
      <c r="L58" s="676">
        <v>0</v>
      </c>
      <c r="M58" s="676">
        <v>0</v>
      </c>
      <c r="N58" s="676">
        <v>0</v>
      </c>
      <c r="O58" s="676">
        <v>0</v>
      </c>
      <c r="P58" s="676">
        <v>0</v>
      </c>
      <c r="Q58" s="676">
        <v>0</v>
      </c>
      <c r="R58" s="676">
        <v>0</v>
      </c>
      <c r="S58" s="551">
        <f t="shared" si="11"/>
        <v>113.44166666666666</v>
      </c>
      <c r="T58" s="677"/>
      <c r="U58" s="716">
        <f t="shared" si="12"/>
        <v>113.44166666666666</v>
      </c>
      <c r="V58" s="755"/>
      <c r="W58" s="755"/>
      <c r="X58" s="778"/>
      <c r="Y58" s="755"/>
      <c r="Z58" s="755"/>
      <c r="AA58" s="716"/>
      <c r="AB58" s="755"/>
      <c r="AC58" s="717"/>
      <c r="AD58" s="718">
        <f t="shared" si="13"/>
        <v>113.44166666666666</v>
      </c>
      <c r="AE58" s="717"/>
      <c r="AF58" s="753">
        <f t="shared" si="0"/>
        <v>0</v>
      </c>
    </row>
    <row r="59" spans="1:32">
      <c r="A59" s="677">
        <v>45</v>
      </c>
      <c r="B59" s="677"/>
      <c r="C59" s="677" t="s">
        <v>412</v>
      </c>
      <c r="D59" s="677" t="s">
        <v>1140</v>
      </c>
      <c r="E59" s="662" t="s">
        <v>413</v>
      </c>
      <c r="F59" s="358">
        <f t="shared" ref="F59:S59" si="14">SUM(F48:F58)</f>
        <v>3204308.9300000006</v>
      </c>
      <c r="G59" s="358">
        <f t="shared" si="14"/>
        <v>1149.9999999998836</v>
      </c>
      <c r="H59" s="358">
        <f t="shared" si="14"/>
        <v>553067.29999999993</v>
      </c>
      <c r="I59" s="358">
        <f t="shared" si="14"/>
        <v>1929589.5300000003</v>
      </c>
      <c r="J59" s="358">
        <f t="shared" si="14"/>
        <v>112421.36999999988</v>
      </c>
      <c r="K59" s="358">
        <f t="shared" si="14"/>
        <v>86776.910000000062</v>
      </c>
      <c r="L59" s="358">
        <f t="shared" si="14"/>
        <v>1112968.57</v>
      </c>
      <c r="M59" s="358">
        <f t="shared" si="14"/>
        <v>363077.60000000003</v>
      </c>
      <c r="N59" s="358">
        <f t="shared" si="14"/>
        <v>-5.8207660913467407E-11</v>
      </c>
      <c r="O59" s="358">
        <f t="shared" si="14"/>
        <v>2112367.11</v>
      </c>
      <c r="P59" s="358">
        <f t="shared" si="14"/>
        <v>5.8207660913467407E-11</v>
      </c>
      <c r="Q59" s="358">
        <f t="shared" si="14"/>
        <v>-601163.87</v>
      </c>
      <c r="R59" s="358">
        <f t="shared" si="14"/>
        <v>6896976.6200000001</v>
      </c>
      <c r="S59" s="553">
        <f t="shared" si="14"/>
        <v>893408.10791666654</v>
      </c>
      <c r="T59" s="677"/>
      <c r="U59" s="716"/>
      <c r="V59" s="755"/>
      <c r="W59" s="755"/>
      <c r="X59" s="778"/>
      <c r="Y59" s="755"/>
      <c r="Z59" s="755"/>
      <c r="AA59" s="716"/>
      <c r="AB59" s="755"/>
      <c r="AC59" s="717"/>
      <c r="AD59" s="717"/>
      <c r="AE59" s="717"/>
      <c r="AF59" s="753">
        <f t="shared" si="0"/>
        <v>0</v>
      </c>
    </row>
    <row r="60" spans="1:32">
      <c r="A60" s="677">
        <v>46</v>
      </c>
      <c r="B60" s="677"/>
      <c r="C60" s="677"/>
      <c r="D60" s="677"/>
      <c r="E60" s="662"/>
      <c r="F60" s="676"/>
      <c r="G60" s="367"/>
      <c r="H60" s="368"/>
      <c r="I60" s="368"/>
      <c r="J60" s="369"/>
      <c r="K60" s="370"/>
      <c r="L60" s="371"/>
      <c r="M60" s="372"/>
      <c r="N60" s="373"/>
      <c r="O60" s="663"/>
      <c r="P60" s="374"/>
      <c r="Q60" s="375"/>
      <c r="R60" s="676"/>
      <c r="S60" s="357"/>
      <c r="T60" s="677"/>
      <c r="U60" s="716"/>
      <c r="V60" s="755"/>
      <c r="W60" s="755"/>
      <c r="X60" s="778"/>
      <c r="Y60" s="755"/>
      <c r="Z60" s="755"/>
      <c r="AA60" s="716"/>
      <c r="AB60" s="755"/>
      <c r="AC60" s="717"/>
      <c r="AD60" s="717"/>
      <c r="AE60" s="717"/>
      <c r="AF60" s="753">
        <f t="shared" si="0"/>
        <v>0</v>
      </c>
    </row>
    <row r="61" spans="1:32">
      <c r="A61" s="677">
        <v>47</v>
      </c>
      <c r="B61" s="379" t="s">
        <v>981</v>
      </c>
      <c r="C61" s="379" t="s">
        <v>414</v>
      </c>
      <c r="D61" s="379" t="s">
        <v>1876</v>
      </c>
      <c r="E61" s="675" t="s">
        <v>1879</v>
      </c>
      <c r="F61" s="674">
        <v>0</v>
      </c>
      <c r="G61" s="674">
        <v>0</v>
      </c>
      <c r="H61" s="674">
        <v>0</v>
      </c>
      <c r="I61" s="674">
        <v>0</v>
      </c>
      <c r="J61" s="674">
        <v>0</v>
      </c>
      <c r="K61" s="674">
        <v>0</v>
      </c>
      <c r="L61" s="674">
        <v>0</v>
      </c>
      <c r="M61" s="674">
        <v>0</v>
      </c>
      <c r="N61" s="674">
        <v>0</v>
      </c>
      <c r="O61" s="674">
        <v>0</v>
      </c>
      <c r="P61" s="674">
        <v>600463.32999999996</v>
      </c>
      <c r="Q61" s="674">
        <v>601163.87</v>
      </c>
      <c r="R61" s="674">
        <v>0</v>
      </c>
      <c r="S61" s="551">
        <f>((F61+R61)+((G61+H61+I61+J61+K61+L61+M61+N61+O61+P61+Q61)*2))/24</f>
        <v>100135.59999999999</v>
      </c>
      <c r="T61" s="677"/>
      <c r="U61" s="716">
        <f>+S61</f>
        <v>100135.59999999999</v>
      </c>
      <c r="V61" s="755"/>
      <c r="W61" s="755"/>
      <c r="X61" s="778"/>
      <c r="Y61" s="755"/>
      <c r="Z61" s="755"/>
      <c r="AA61" s="716"/>
      <c r="AB61" s="755"/>
      <c r="AC61" s="717"/>
      <c r="AD61" s="719">
        <f>+U61</f>
        <v>100135.59999999999</v>
      </c>
      <c r="AE61" s="717"/>
      <c r="AF61" s="753">
        <f t="shared" si="0"/>
        <v>0</v>
      </c>
    </row>
    <row r="62" spans="1:32">
      <c r="A62" s="677">
        <v>48</v>
      </c>
      <c r="B62" s="379"/>
      <c r="C62" s="379" t="s">
        <v>414</v>
      </c>
      <c r="D62" s="379" t="s">
        <v>1880</v>
      </c>
      <c r="E62" s="675" t="s">
        <v>1881</v>
      </c>
      <c r="F62" s="780">
        <v>0</v>
      </c>
      <c r="G62" s="780">
        <v>0</v>
      </c>
      <c r="H62" s="780">
        <v>0</v>
      </c>
      <c r="I62" s="780">
        <v>0</v>
      </c>
      <c r="J62" s="780">
        <v>0</v>
      </c>
      <c r="K62" s="780">
        <v>0</v>
      </c>
      <c r="L62" s="780">
        <v>0</v>
      </c>
      <c r="M62" s="780">
        <v>0</v>
      </c>
      <c r="N62" s="780">
        <v>0</v>
      </c>
      <c r="O62" s="780">
        <v>0</v>
      </c>
      <c r="P62" s="780">
        <v>0</v>
      </c>
      <c r="Q62" s="780">
        <v>0</v>
      </c>
      <c r="R62" s="780">
        <v>0</v>
      </c>
      <c r="S62" s="551">
        <f>((F62+R62)+((G62+H62+I62+J62+K62+L62+M62+N62+O62+P62+Q62)*2))/24</f>
        <v>0</v>
      </c>
      <c r="T62" s="677"/>
      <c r="U62" s="716"/>
      <c r="V62" s="755"/>
      <c r="W62" s="755"/>
      <c r="X62" s="778"/>
      <c r="Y62" s="755"/>
      <c r="Z62" s="755"/>
      <c r="AA62" s="716"/>
      <c r="AB62" s="755"/>
      <c r="AC62" s="717"/>
      <c r="AD62" s="719"/>
      <c r="AE62" s="717"/>
      <c r="AF62" s="753"/>
    </row>
    <row r="63" spans="1:32">
      <c r="A63" s="677">
        <v>49</v>
      </c>
      <c r="B63" s="677"/>
      <c r="C63" s="677"/>
      <c r="D63" s="677"/>
      <c r="E63" s="662" t="s">
        <v>415</v>
      </c>
      <c r="F63" s="674">
        <f t="shared" ref="F63:S63" si="15">+F61</f>
        <v>0</v>
      </c>
      <c r="G63" s="674">
        <f t="shared" si="15"/>
        <v>0</v>
      </c>
      <c r="H63" s="674">
        <f t="shared" si="15"/>
        <v>0</v>
      </c>
      <c r="I63" s="674">
        <f t="shared" si="15"/>
        <v>0</v>
      </c>
      <c r="J63" s="674">
        <f t="shared" si="15"/>
        <v>0</v>
      </c>
      <c r="K63" s="674">
        <f t="shared" si="15"/>
        <v>0</v>
      </c>
      <c r="L63" s="674">
        <f t="shared" si="15"/>
        <v>0</v>
      </c>
      <c r="M63" s="674">
        <f t="shared" si="15"/>
        <v>0</v>
      </c>
      <c r="N63" s="674">
        <f t="shared" si="15"/>
        <v>0</v>
      </c>
      <c r="O63" s="674">
        <f t="shared" si="15"/>
        <v>0</v>
      </c>
      <c r="P63" s="674">
        <f t="shared" si="15"/>
        <v>600463.32999999996</v>
      </c>
      <c r="Q63" s="674">
        <f t="shared" si="15"/>
        <v>601163.87</v>
      </c>
      <c r="R63" s="674">
        <f t="shared" si="15"/>
        <v>0</v>
      </c>
      <c r="S63" s="553">
        <f t="shared" si="15"/>
        <v>100135.59999999999</v>
      </c>
      <c r="T63" s="677"/>
      <c r="U63" s="716"/>
      <c r="V63" s="755"/>
      <c r="W63" s="755"/>
      <c r="X63" s="778"/>
      <c r="Y63" s="755"/>
      <c r="Z63" s="755"/>
      <c r="AA63" s="716"/>
      <c r="AB63" s="755"/>
      <c r="AC63" s="717"/>
      <c r="AD63" s="717"/>
      <c r="AE63" s="717"/>
      <c r="AF63" s="753">
        <f t="shared" si="0"/>
        <v>0</v>
      </c>
    </row>
    <row r="64" spans="1:32">
      <c r="A64" s="677">
        <v>50</v>
      </c>
      <c r="B64" s="677"/>
      <c r="C64" s="677"/>
      <c r="D64" s="677"/>
      <c r="E64" s="662"/>
      <c r="F64" s="676"/>
      <c r="G64" s="367"/>
      <c r="H64" s="368"/>
      <c r="I64" s="368"/>
      <c r="J64" s="369"/>
      <c r="K64" s="370"/>
      <c r="L64" s="371"/>
      <c r="M64" s="372"/>
      <c r="N64" s="373"/>
      <c r="O64" s="663"/>
      <c r="P64" s="374"/>
      <c r="Q64" s="375"/>
      <c r="R64" s="676"/>
      <c r="S64" s="357"/>
      <c r="T64" s="677"/>
      <c r="U64" s="716"/>
      <c r="V64" s="755"/>
      <c r="W64" s="755"/>
      <c r="X64" s="778"/>
      <c r="Y64" s="755"/>
      <c r="Z64" s="755"/>
      <c r="AA64" s="716"/>
      <c r="AB64" s="755"/>
      <c r="AC64" s="717"/>
      <c r="AD64" s="717"/>
      <c r="AE64" s="717"/>
      <c r="AF64" s="753">
        <f t="shared" si="0"/>
        <v>0</v>
      </c>
    </row>
    <row r="65" spans="1:32">
      <c r="A65" s="677">
        <v>51</v>
      </c>
      <c r="B65" s="379" t="s">
        <v>981</v>
      </c>
      <c r="C65" s="379" t="s">
        <v>416</v>
      </c>
      <c r="D65" s="379" t="s">
        <v>528</v>
      </c>
      <c r="E65" s="675" t="s">
        <v>1513</v>
      </c>
      <c r="F65" s="676">
        <v>945100.14</v>
      </c>
      <c r="G65" s="676">
        <v>77207.17</v>
      </c>
      <c r="H65" s="676">
        <v>-35501.22</v>
      </c>
      <c r="I65" s="676">
        <v>-2563.5099999999602</v>
      </c>
      <c r="J65" s="676">
        <v>-25324.03</v>
      </c>
      <c r="K65" s="676">
        <v>-2851.8199999999601</v>
      </c>
      <c r="L65" s="676">
        <v>-38329.089999999997</v>
      </c>
      <c r="M65" s="676">
        <v>-10234.5</v>
      </c>
      <c r="N65" s="676">
        <v>-3308.3499999999499</v>
      </c>
      <c r="O65" s="676">
        <v>-6784.3099999999504</v>
      </c>
      <c r="P65" s="676">
        <v>-28025.86</v>
      </c>
      <c r="Q65" s="676">
        <v>-25813.22</v>
      </c>
      <c r="R65" s="676">
        <v>-36000.230000000003</v>
      </c>
      <c r="S65" s="551">
        <f>((F65+R65)+((G65+H65+I65+J65+K65+L65+M65+N65+O65+P65+Q65)*2))/24</f>
        <v>29418.43458333335</v>
      </c>
      <c r="T65" s="677"/>
      <c r="U65" s="716">
        <f t="shared" ref="U65:U79" si="16">+S65</f>
        <v>29418.43458333335</v>
      </c>
      <c r="V65" s="755"/>
      <c r="W65" s="755"/>
      <c r="X65" s="778"/>
      <c r="Y65" s="755"/>
      <c r="Z65" s="755"/>
      <c r="AA65" s="716"/>
      <c r="AB65" s="755"/>
      <c r="AC65" s="717"/>
      <c r="AD65" s="718">
        <f t="shared" ref="AD65:AD80" si="17">+U65</f>
        <v>29418.43458333335</v>
      </c>
      <c r="AE65" s="717"/>
      <c r="AF65" s="753">
        <f t="shared" si="0"/>
        <v>0</v>
      </c>
    </row>
    <row r="66" spans="1:32">
      <c r="A66" s="677">
        <v>52</v>
      </c>
      <c r="B66" s="379" t="s">
        <v>1009</v>
      </c>
      <c r="C66" s="379" t="s">
        <v>416</v>
      </c>
      <c r="D66" s="379" t="s">
        <v>528</v>
      </c>
      <c r="E66" s="675" t="s">
        <v>1518</v>
      </c>
      <c r="F66" s="676">
        <v>2449138.14</v>
      </c>
      <c r="G66" s="676">
        <v>3224853.65</v>
      </c>
      <c r="H66" s="676">
        <v>4270584.4000000004</v>
      </c>
      <c r="I66" s="676">
        <v>4555591.4800000004</v>
      </c>
      <c r="J66" s="676">
        <v>2924868.02</v>
      </c>
      <c r="K66" s="676">
        <v>1818952.73</v>
      </c>
      <c r="L66" s="676">
        <v>1233736.6000000001</v>
      </c>
      <c r="M66" s="676">
        <v>615442.89000000095</v>
      </c>
      <c r="N66" s="676">
        <v>109138.91000000099</v>
      </c>
      <c r="O66" s="676">
        <v>-122104.77999999899</v>
      </c>
      <c r="P66" s="676">
        <v>783535.89000000095</v>
      </c>
      <c r="Q66" s="676">
        <v>2056616.36</v>
      </c>
      <c r="R66" s="676">
        <v>3791764.54</v>
      </c>
      <c r="S66" s="551">
        <f t="shared" ref="S66:S74" si="18">((F66+R66)+((G66+H66+I66+J66+K66+L66+M66+N66+O66+P66+Q66)*2))/24</f>
        <v>2049305.6241666672</v>
      </c>
      <c r="T66" s="677"/>
      <c r="U66" s="716">
        <f t="shared" si="16"/>
        <v>2049305.6241666672</v>
      </c>
      <c r="V66" s="755"/>
      <c r="W66" s="755"/>
      <c r="X66" s="778"/>
      <c r="Y66" s="755"/>
      <c r="Z66" s="755"/>
      <c r="AA66" s="716"/>
      <c r="AB66" s="755"/>
      <c r="AC66" s="717"/>
      <c r="AD66" s="718">
        <f t="shared" si="17"/>
        <v>2049305.6241666672</v>
      </c>
      <c r="AE66" s="717"/>
      <c r="AF66" s="753">
        <f t="shared" si="0"/>
        <v>0</v>
      </c>
    </row>
    <row r="67" spans="1:32">
      <c r="A67" s="677">
        <v>53</v>
      </c>
      <c r="B67" s="379" t="s">
        <v>984</v>
      </c>
      <c r="C67" s="379" t="s">
        <v>416</v>
      </c>
      <c r="D67" s="379" t="s">
        <v>528</v>
      </c>
      <c r="E67" s="675" t="s">
        <v>1518</v>
      </c>
      <c r="F67" s="676">
        <v>7070459.8200000003</v>
      </c>
      <c r="G67" s="676">
        <v>8797923.8399999999</v>
      </c>
      <c r="H67" s="676">
        <v>13570803.08</v>
      </c>
      <c r="I67" s="676">
        <v>14612696.369999999</v>
      </c>
      <c r="J67" s="676">
        <v>7368251.1799999997</v>
      </c>
      <c r="K67" s="676">
        <v>4720081.41</v>
      </c>
      <c r="L67" s="676">
        <v>2456323.9900000002</v>
      </c>
      <c r="M67" s="676">
        <v>159505.82</v>
      </c>
      <c r="N67" s="676">
        <v>-943408.66</v>
      </c>
      <c r="O67" s="676">
        <v>-2231209.11</v>
      </c>
      <c r="P67" s="676">
        <v>-170826.56999999899</v>
      </c>
      <c r="Q67" s="676">
        <v>5610894.5300000003</v>
      </c>
      <c r="R67" s="676">
        <v>11509546.060000001</v>
      </c>
      <c r="S67" s="551">
        <f t="shared" si="18"/>
        <v>5270086.5683333343</v>
      </c>
      <c r="T67" s="677"/>
      <c r="U67" s="716">
        <f t="shared" si="16"/>
        <v>5270086.5683333343</v>
      </c>
      <c r="V67" s="755"/>
      <c r="W67" s="755"/>
      <c r="X67" s="778"/>
      <c r="Y67" s="755"/>
      <c r="Z67" s="755"/>
      <c r="AA67" s="716"/>
      <c r="AB67" s="755"/>
      <c r="AC67" s="717"/>
      <c r="AD67" s="718">
        <f t="shared" si="17"/>
        <v>5270086.5683333343</v>
      </c>
      <c r="AE67" s="717"/>
      <c r="AF67" s="753">
        <f t="shared" si="0"/>
        <v>0</v>
      </c>
    </row>
    <row r="68" spans="1:32">
      <c r="A68" s="677">
        <v>54</v>
      </c>
      <c r="B68" s="379" t="s">
        <v>1009</v>
      </c>
      <c r="C68" s="379" t="s">
        <v>416</v>
      </c>
      <c r="D68" s="379" t="s">
        <v>562</v>
      </c>
      <c r="E68" s="675" t="s">
        <v>1519</v>
      </c>
      <c r="F68" s="676">
        <v>161397.89000000001</v>
      </c>
      <c r="G68" s="676">
        <v>20520.34</v>
      </c>
      <c r="H68" s="676">
        <v>224215.24</v>
      </c>
      <c r="I68" s="676">
        <v>16515.099999999999</v>
      </c>
      <c r="J68" s="676">
        <v>56070.1</v>
      </c>
      <c r="K68" s="676">
        <v>38983.660000000003</v>
      </c>
      <c r="L68" s="676">
        <v>25519.71</v>
      </c>
      <c r="M68" s="676">
        <v>24177.96</v>
      </c>
      <c r="N68" s="676">
        <v>33844.92</v>
      </c>
      <c r="O68" s="676">
        <v>55496.84</v>
      </c>
      <c r="P68" s="676">
        <v>30727.86</v>
      </c>
      <c r="Q68" s="676">
        <v>97435.35</v>
      </c>
      <c r="R68" s="676">
        <v>23387.360000000001</v>
      </c>
      <c r="S68" s="551">
        <f t="shared" si="18"/>
        <v>59658.308749999997</v>
      </c>
      <c r="T68" s="677"/>
      <c r="U68" s="716">
        <f t="shared" si="16"/>
        <v>59658.308749999997</v>
      </c>
      <c r="V68" s="755"/>
      <c r="W68" s="755"/>
      <c r="X68" s="778"/>
      <c r="Y68" s="755"/>
      <c r="Z68" s="755"/>
      <c r="AA68" s="716"/>
      <c r="AB68" s="755"/>
      <c r="AC68" s="717"/>
      <c r="AD68" s="718">
        <f t="shared" si="17"/>
        <v>59658.308749999997</v>
      </c>
      <c r="AE68" s="717"/>
      <c r="AF68" s="753">
        <f t="shared" si="0"/>
        <v>0</v>
      </c>
    </row>
    <row r="69" spans="1:32">
      <c r="A69" s="677">
        <v>55</v>
      </c>
      <c r="B69" s="379" t="s">
        <v>984</v>
      </c>
      <c r="C69" s="379" t="s">
        <v>416</v>
      </c>
      <c r="D69" s="379" t="s">
        <v>562</v>
      </c>
      <c r="E69" s="675" t="s">
        <v>1519</v>
      </c>
      <c r="F69" s="676">
        <v>150854.79</v>
      </c>
      <c r="G69" s="676">
        <v>159573</v>
      </c>
      <c r="H69" s="676">
        <v>259737.60000000001</v>
      </c>
      <c r="I69" s="676">
        <v>194116.22</v>
      </c>
      <c r="J69" s="676">
        <v>129670.29</v>
      </c>
      <c r="K69" s="676">
        <v>129990.04</v>
      </c>
      <c r="L69" s="676">
        <v>65209.33</v>
      </c>
      <c r="M69" s="676">
        <v>172461.87</v>
      </c>
      <c r="N69" s="676">
        <v>106331.78</v>
      </c>
      <c r="O69" s="676">
        <v>228476.34</v>
      </c>
      <c r="P69" s="676">
        <v>161198.41</v>
      </c>
      <c r="Q69" s="676">
        <v>250522.76</v>
      </c>
      <c r="R69" s="676">
        <v>266649.46999999997</v>
      </c>
      <c r="S69" s="551">
        <f t="shared" si="18"/>
        <v>172169.98083333333</v>
      </c>
      <c r="T69" s="677"/>
      <c r="U69" s="716">
        <f t="shared" si="16"/>
        <v>172169.98083333333</v>
      </c>
      <c r="V69" s="755"/>
      <c r="W69" s="755"/>
      <c r="X69" s="778"/>
      <c r="Y69" s="755"/>
      <c r="Z69" s="755"/>
      <c r="AA69" s="716"/>
      <c r="AB69" s="755"/>
      <c r="AC69" s="717"/>
      <c r="AD69" s="718">
        <f t="shared" si="17"/>
        <v>172169.98083333333</v>
      </c>
      <c r="AE69" s="717"/>
      <c r="AF69" s="753">
        <f t="shared" si="0"/>
        <v>0</v>
      </c>
    </row>
    <row r="70" spans="1:32">
      <c r="A70" s="677">
        <v>56</v>
      </c>
      <c r="B70" s="379" t="s">
        <v>1009</v>
      </c>
      <c r="C70" s="379" t="s">
        <v>416</v>
      </c>
      <c r="D70" s="379" t="s">
        <v>968</v>
      </c>
      <c r="E70" s="675" t="s">
        <v>1520</v>
      </c>
      <c r="F70" s="676">
        <v>1518612.94</v>
      </c>
      <c r="G70" s="676">
        <v>0</v>
      </c>
      <c r="H70" s="676">
        <v>0</v>
      </c>
      <c r="I70" s="676">
        <v>0</v>
      </c>
      <c r="J70" s="676">
        <v>0</v>
      </c>
      <c r="K70" s="676">
        <v>0</v>
      </c>
      <c r="L70" s="676">
        <v>0</v>
      </c>
      <c r="M70" s="676">
        <v>0</v>
      </c>
      <c r="N70" s="676">
        <v>0</v>
      </c>
      <c r="O70" s="676">
        <v>0</v>
      </c>
      <c r="P70" s="676">
        <v>0</v>
      </c>
      <c r="Q70" s="676">
        <v>0</v>
      </c>
      <c r="R70" s="676">
        <v>0</v>
      </c>
      <c r="S70" s="551">
        <f t="shared" si="18"/>
        <v>63275.539166666662</v>
      </c>
      <c r="T70" s="677"/>
      <c r="U70" s="716">
        <f t="shared" si="16"/>
        <v>63275.539166666662</v>
      </c>
      <c r="V70" s="755"/>
      <c r="W70" s="755"/>
      <c r="X70" s="778"/>
      <c r="Y70" s="755"/>
      <c r="Z70" s="755"/>
      <c r="AA70" s="716"/>
      <c r="AB70" s="755"/>
      <c r="AC70" s="717"/>
      <c r="AD70" s="718">
        <f t="shared" si="17"/>
        <v>63275.539166666662</v>
      </c>
      <c r="AE70" s="717"/>
      <c r="AF70" s="753">
        <f t="shared" si="0"/>
        <v>0</v>
      </c>
    </row>
    <row r="71" spans="1:32">
      <c r="A71" s="677">
        <v>57</v>
      </c>
      <c r="B71" s="379" t="s">
        <v>984</v>
      </c>
      <c r="C71" s="379" t="s">
        <v>416</v>
      </c>
      <c r="D71" s="379" t="s">
        <v>968</v>
      </c>
      <c r="E71" s="675" t="s">
        <v>1520</v>
      </c>
      <c r="F71" s="676">
        <v>5330310.5</v>
      </c>
      <c r="G71" s="676"/>
      <c r="H71" s="676"/>
      <c r="I71" s="676"/>
      <c r="J71" s="676"/>
      <c r="K71" s="676"/>
      <c r="L71" s="676"/>
      <c r="M71" s="676"/>
      <c r="N71" s="676"/>
      <c r="O71" s="676"/>
      <c r="P71" s="676"/>
      <c r="Q71" s="676"/>
      <c r="R71" s="676"/>
      <c r="S71" s="551">
        <f t="shared" si="18"/>
        <v>222096.27083333334</v>
      </c>
      <c r="T71" s="677"/>
      <c r="U71" s="716">
        <f t="shared" si="16"/>
        <v>222096.27083333334</v>
      </c>
      <c r="V71" s="755"/>
      <c r="W71" s="755"/>
      <c r="X71" s="778"/>
      <c r="Y71" s="755"/>
      <c r="Z71" s="755"/>
      <c r="AA71" s="716"/>
      <c r="AB71" s="755"/>
      <c r="AC71" s="717"/>
      <c r="AD71" s="718">
        <f t="shared" si="17"/>
        <v>222096.27083333334</v>
      </c>
      <c r="AE71" s="717"/>
      <c r="AF71" s="753">
        <f t="shared" si="0"/>
        <v>0</v>
      </c>
    </row>
    <row r="72" spans="1:32">
      <c r="A72" s="677">
        <v>58</v>
      </c>
      <c r="B72" s="379" t="s">
        <v>981</v>
      </c>
      <c r="C72" s="379" t="s">
        <v>417</v>
      </c>
      <c r="D72" s="379" t="s">
        <v>1141</v>
      </c>
      <c r="E72" s="675" t="s">
        <v>1514</v>
      </c>
      <c r="F72" s="676">
        <v>1902279.41</v>
      </c>
      <c r="G72" s="676">
        <v>2597806.41</v>
      </c>
      <c r="H72" s="676">
        <v>945119.02</v>
      </c>
      <c r="I72" s="676">
        <v>2906113.03</v>
      </c>
      <c r="J72" s="676">
        <v>4127184.76</v>
      </c>
      <c r="K72" s="676">
        <v>1054693.96</v>
      </c>
      <c r="L72" s="676">
        <v>924373.96</v>
      </c>
      <c r="M72" s="676">
        <v>794790.47</v>
      </c>
      <c r="N72" s="676">
        <v>860599.65</v>
      </c>
      <c r="O72" s="676">
        <v>823984.28</v>
      </c>
      <c r="P72" s="676">
        <v>729266.75</v>
      </c>
      <c r="Q72" s="676">
        <v>903384.87</v>
      </c>
      <c r="R72" s="676">
        <v>1539318.94</v>
      </c>
      <c r="S72" s="551">
        <f t="shared" si="18"/>
        <v>1532343.0279166668</v>
      </c>
      <c r="T72" s="677"/>
      <c r="U72" s="716">
        <f t="shared" si="16"/>
        <v>1532343.0279166668</v>
      </c>
      <c r="V72" s="755"/>
      <c r="W72" s="755"/>
      <c r="X72" s="778"/>
      <c r="Y72" s="755"/>
      <c r="Z72" s="755"/>
      <c r="AA72" s="716"/>
      <c r="AB72" s="755"/>
      <c r="AC72" s="717"/>
      <c r="AD72" s="718">
        <f t="shared" si="17"/>
        <v>1532343.0279166668</v>
      </c>
      <c r="AE72" s="717"/>
      <c r="AF72" s="753">
        <f t="shared" si="0"/>
        <v>0</v>
      </c>
    </row>
    <row r="73" spans="1:32">
      <c r="A73" s="677">
        <v>59</v>
      </c>
      <c r="B73" s="379" t="s">
        <v>981</v>
      </c>
      <c r="C73" s="379" t="s">
        <v>417</v>
      </c>
      <c r="D73" s="379" t="s">
        <v>463</v>
      </c>
      <c r="E73" s="675" t="s">
        <v>1515</v>
      </c>
      <c r="F73" s="676">
        <v>0</v>
      </c>
      <c r="G73" s="676">
        <v>0</v>
      </c>
      <c r="H73" s="676">
        <v>0</v>
      </c>
      <c r="I73" s="676">
        <v>-3804.8</v>
      </c>
      <c r="J73" s="676">
        <v>-3804.8</v>
      </c>
      <c r="K73" s="676">
        <v>-3804.8</v>
      </c>
      <c r="L73" s="676">
        <v>-3804.8</v>
      </c>
      <c r="M73" s="676">
        <v>-3804.8</v>
      </c>
      <c r="N73" s="676">
        <v>-3804.8</v>
      </c>
      <c r="O73" s="676">
        <v>0</v>
      </c>
      <c r="P73" s="676">
        <v>-1908.26</v>
      </c>
      <c r="Q73" s="676">
        <v>-1908.26</v>
      </c>
      <c r="R73" s="676">
        <v>-1908.26</v>
      </c>
      <c r="S73" s="551">
        <f>((F73+R73)+((G73+H73+I73+J73+K73+L73+M73+N73+O73+P73+Q73)*2))/24</f>
        <v>-2299.9541666666664</v>
      </c>
      <c r="T73" s="677"/>
      <c r="U73" s="716">
        <f t="shared" si="16"/>
        <v>-2299.9541666666664</v>
      </c>
      <c r="V73" s="755"/>
      <c r="W73" s="755"/>
      <c r="X73" s="778"/>
      <c r="Y73" s="755"/>
      <c r="Z73" s="755"/>
      <c r="AA73" s="716"/>
      <c r="AB73" s="755"/>
      <c r="AC73" s="717"/>
      <c r="AD73" s="718">
        <f t="shared" si="17"/>
        <v>-2299.9541666666664</v>
      </c>
      <c r="AE73" s="717"/>
      <c r="AF73" s="753">
        <f t="shared" si="0"/>
        <v>0</v>
      </c>
    </row>
    <row r="74" spans="1:32">
      <c r="A74" s="677">
        <v>60</v>
      </c>
      <c r="B74" s="379" t="s">
        <v>981</v>
      </c>
      <c r="C74" s="379" t="s">
        <v>417</v>
      </c>
      <c r="D74" s="379" t="s">
        <v>494</v>
      </c>
      <c r="E74" s="675" t="s">
        <v>1516</v>
      </c>
      <c r="F74" s="676">
        <v>359.95999999999901</v>
      </c>
      <c r="G74" s="676">
        <v>566.5</v>
      </c>
      <c r="H74" s="676">
        <v>1764.32</v>
      </c>
      <c r="I74" s="676">
        <v>1105.6600000000001</v>
      </c>
      <c r="J74" s="676">
        <v>991.9</v>
      </c>
      <c r="K74" s="676">
        <v>666.52</v>
      </c>
      <c r="L74" s="676">
        <v>551.62</v>
      </c>
      <c r="M74" s="676">
        <v>590.4</v>
      </c>
      <c r="N74" s="676">
        <v>330.14</v>
      </c>
      <c r="O74" s="676">
        <v>1586.19</v>
      </c>
      <c r="P74" s="676">
        <v>529.12</v>
      </c>
      <c r="Q74" s="676">
        <v>515.58000000000004</v>
      </c>
      <c r="R74" s="676">
        <v>658.36</v>
      </c>
      <c r="S74" s="551">
        <f t="shared" si="18"/>
        <v>808.92583333333334</v>
      </c>
      <c r="T74" s="677"/>
      <c r="U74" s="716">
        <f t="shared" si="16"/>
        <v>808.92583333333334</v>
      </c>
      <c r="V74" s="755"/>
      <c r="W74" s="755"/>
      <c r="X74" s="778"/>
      <c r="Y74" s="755"/>
      <c r="Z74" s="755"/>
      <c r="AA74" s="716"/>
      <c r="AB74" s="755"/>
      <c r="AC74" s="717"/>
      <c r="AD74" s="718">
        <f t="shared" si="17"/>
        <v>808.92583333333334</v>
      </c>
      <c r="AE74" s="717"/>
      <c r="AF74" s="753">
        <f t="shared" si="0"/>
        <v>0</v>
      </c>
    </row>
    <row r="75" spans="1:32">
      <c r="A75" s="677">
        <v>61</v>
      </c>
      <c r="B75" s="379" t="s">
        <v>981</v>
      </c>
      <c r="C75" s="379" t="s">
        <v>417</v>
      </c>
      <c r="D75" s="379" t="s">
        <v>495</v>
      </c>
      <c r="E75" s="675" t="s">
        <v>1517</v>
      </c>
      <c r="F75" s="676">
        <v>257648.3</v>
      </c>
      <c r="G75" s="676">
        <v>303949.43</v>
      </c>
      <c r="H75" s="676">
        <v>355535.21</v>
      </c>
      <c r="I75" s="676">
        <v>262964.24</v>
      </c>
      <c r="J75" s="676">
        <v>307173.12</v>
      </c>
      <c r="K75" s="676">
        <v>104646.39</v>
      </c>
      <c r="L75" s="676">
        <v>152666.29</v>
      </c>
      <c r="M75" s="676">
        <v>7580.0199999999904</v>
      </c>
      <c r="N75" s="676">
        <v>7990.0199999999904</v>
      </c>
      <c r="O75" s="676">
        <v>8314.0099999999893</v>
      </c>
      <c r="P75" s="676">
        <v>8084.0099999999902</v>
      </c>
      <c r="Q75" s="676">
        <v>8084.0099999999902</v>
      </c>
      <c r="R75" s="676">
        <v>8084.0099999999902</v>
      </c>
      <c r="S75" s="551">
        <f>((F75+R75)+((G75+H75+I75+J75+K75+L75+M75+N75+O75+P75+Q75)*2))/24</f>
        <v>138321.07541666666</v>
      </c>
      <c r="T75" s="677"/>
      <c r="U75" s="716">
        <f t="shared" si="16"/>
        <v>138321.07541666666</v>
      </c>
      <c r="V75" s="755"/>
      <c r="W75" s="755"/>
      <c r="X75" s="778"/>
      <c r="Y75" s="755"/>
      <c r="Z75" s="755"/>
      <c r="AA75" s="716"/>
      <c r="AB75" s="755"/>
      <c r="AC75" s="717"/>
      <c r="AD75" s="718">
        <f t="shared" si="17"/>
        <v>138321.07541666666</v>
      </c>
      <c r="AE75" s="717"/>
      <c r="AF75" s="753">
        <f t="shared" si="0"/>
        <v>0</v>
      </c>
    </row>
    <row r="76" spans="1:32">
      <c r="A76" s="677">
        <v>62</v>
      </c>
      <c r="B76" s="379" t="s">
        <v>981</v>
      </c>
      <c r="C76" s="379" t="s">
        <v>417</v>
      </c>
      <c r="D76" s="379" t="s">
        <v>580</v>
      </c>
      <c r="E76" s="675" t="s">
        <v>1882</v>
      </c>
      <c r="F76" s="676">
        <v>0</v>
      </c>
      <c r="G76" s="676">
        <v>10173859.369999999</v>
      </c>
      <c r="H76" s="676">
        <v>7365699.0300000003</v>
      </c>
      <c r="I76" s="676">
        <v>11008430.640000001</v>
      </c>
      <c r="J76" s="676">
        <v>8320373.6100000003</v>
      </c>
      <c r="K76" s="676">
        <v>9136725.1199999992</v>
      </c>
      <c r="L76" s="676">
        <v>9109102.8499999996</v>
      </c>
      <c r="M76" s="676">
        <v>10662515.24</v>
      </c>
      <c r="N76" s="676">
        <v>12105733.43</v>
      </c>
      <c r="O76" s="676">
        <v>10372514.91</v>
      </c>
      <c r="P76" s="676">
        <v>10522789.140000001</v>
      </c>
      <c r="Q76" s="676">
        <v>5534647.2800000003</v>
      </c>
      <c r="R76" s="676">
        <v>3362650.77</v>
      </c>
      <c r="S76" s="551">
        <f t="shared" ref="S76:S80" si="19">((F76+R76)+((G76+H76+I76+J76+K76+L76+M76+N76+O76+P76+Q76)*2))/24</f>
        <v>8832809.6670833323</v>
      </c>
      <c r="T76" s="677"/>
      <c r="U76" s="716">
        <f t="shared" si="16"/>
        <v>8832809.6670833323</v>
      </c>
      <c r="V76" s="755"/>
      <c r="W76" s="755"/>
      <c r="X76" s="778"/>
      <c r="Y76" s="755"/>
      <c r="Z76" s="755"/>
      <c r="AA76" s="716"/>
      <c r="AB76" s="755"/>
      <c r="AC76" s="717"/>
      <c r="AD76" s="718">
        <f t="shared" si="17"/>
        <v>8832809.6670833323</v>
      </c>
      <c r="AE76" s="717"/>
      <c r="AF76" s="753"/>
    </row>
    <row r="77" spans="1:32">
      <c r="A77" s="677">
        <v>63</v>
      </c>
      <c r="B77" s="379" t="s">
        <v>1009</v>
      </c>
      <c r="C77" s="379" t="s">
        <v>417</v>
      </c>
      <c r="D77" s="379" t="s">
        <v>581</v>
      </c>
      <c r="E77" s="675" t="s">
        <v>1883</v>
      </c>
      <c r="F77" s="676">
        <v>0</v>
      </c>
      <c r="G77" s="676">
        <v>803513.12</v>
      </c>
      <c r="H77" s="676">
        <v>1136244.72</v>
      </c>
      <c r="I77" s="676">
        <v>1476991.49</v>
      </c>
      <c r="J77" s="676">
        <v>710674.26</v>
      </c>
      <c r="K77" s="676">
        <v>782041.4</v>
      </c>
      <c r="L77" s="676">
        <v>921213.06</v>
      </c>
      <c r="M77" s="676">
        <v>1056901.3799999999</v>
      </c>
      <c r="N77" s="676">
        <v>1182944.8400000001</v>
      </c>
      <c r="O77" s="676">
        <v>1218165.53</v>
      </c>
      <c r="P77" s="676">
        <v>1231042.8400000001</v>
      </c>
      <c r="Q77" s="676">
        <v>281899.87</v>
      </c>
      <c r="R77" s="676">
        <v>282015.99</v>
      </c>
      <c r="S77" s="551">
        <f t="shared" si="19"/>
        <v>911886.70874999987</v>
      </c>
      <c r="T77" s="677"/>
      <c r="U77" s="716">
        <f t="shared" si="16"/>
        <v>911886.70874999987</v>
      </c>
      <c r="V77" s="755"/>
      <c r="W77" s="755"/>
      <c r="X77" s="778"/>
      <c r="Y77" s="755"/>
      <c r="Z77" s="755"/>
      <c r="AA77" s="716"/>
      <c r="AB77" s="755"/>
      <c r="AC77" s="717"/>
      <c r="AD77" s="718">
        <f t="shared" si="17"/>
        <v>911886.70874999987</v>
      </c>
      <c r="AE77" s="717"/>
      <c r="AF77" s="753"/>
    </row>
    <row r="78" spans="1:32">
      <c r="A78" s="677">
        <v>64</v>
      </c>
      <c r="B78" s="379" t="s">
        <v>981</v>
      </c>
      <c r="C78" s="379" t="s">
        <v>417</v>
      </c>
      <c r="D78" s="379" t="s">
        <v>483</v>
      </c>
      <c r="E78" s="675" t="s">
        <v>1884</v>
      </c>
      <c r="F78" s="676">
        <v>0</v>
      </c>
      <c r="G78" s="676">
        <v>-71714</v>
      </c>
      <c r="H78" s="676">
        <v>-71714</v>
      </c>
      <c r="I78" s="676">
        <v>-78024</v>
      </c>
      <c r="J78" s="676">
        <v>-78024</v>
      </c>
      <c r="K78" s="676">
        <v>-78024</v>
      </c>
      <c r="L78" s="676">
        <v>-86412</v>
      </c>
      <c r="M78" s="676">
        <v>-86412</v>
      </c>
      <c r="N78" s="676">
        <v>-86412</v>
      </c>
      <c r="O78" s="676">
        <v>-93428.9</v>
      </c>
      <c r="P78" s="676">
        <v>-93428.9</v>
      </c>
      <c r="Q78" s="676">
        <v>-93428.9</v>
      </c>
      <c r="R78" s="676">
        <v>-103941.2</v>
      </c>
      <c r="S78" s="551">
        <f t="shared" si="19"/>
        <v>-80749.441666666666</v>
      </c>
      <c r="T78" s="677"/>
      <c r="U78" s="716">
        <f t="shared" si="16"/>
        <v>-80749.441666666666</v>
      </c>
      <c r="V78" s="755"/>
      <c r="W78" s="755"/>
      <c r="X78" s="778"/>
      <c r="Y78" s="755"/>
      <c r="Z78" s="755"/>
      <c r="AA78" s="716"/>
      <c r="AB78" s="755"/>
      <c r="AC78" s="717"/>
      <c r="AD78" s="718">
        <f t="shared" si="17"/>
        <v>-80749.441666666666</v>
      </c>
      <c r="AE78" s="717"/>
      <c r="AF78" s="753"/>
    </row>
    <row r="79" spans="1:32">
      <c r="A79" s="677">
        <v>65</v>
      </c>
      <c r="B79" s="379" t="s">
        <v>1885</v>
      </c>
      <c r="C79" s="379" t="s">
        <v>417</v>
      </c>
      <c r="D79" s="379" t="s">
        <v>1142</v>
      </c>
      <c r="E79" s="675" t="s">
        <v>1886</v>
      </c>
      <c r="F79" s="676">
        <v>0</v>
      </c>
      <c r="G79" s="676">
        <v>0</v>
      </c>
      <c r="H79" s="676">
        <v>0</v>
      </c>
      <c r="I79" s="676">
        <v>-12407398.130000001</v>
      </c>
      <c r="J79" s="676">
        <v>0</v>
      </c>
      <c r="K79" s="676">
        <v>0</v>
      </c>
      <c r="L79" s="676">
        <v>0</v>
      </c>
      <c r="M79" s="676">
        <v>0</v>
      </c>
      <c r="N79" s="676">
        <v>0</v>
      </c>
      <c r="O79" s="676">
        <v>0</v>
      </c>
      <c r="P79" s="676">
        <v>0</v>
      </c>
      <c r="Q79" s="676">
        <v>0</v>
      </c>
      <c r="R79" s="676">
        <v>0</v>
      </c>
      <c r="S79" s="551">
        <f t="shared" si="19"/>
        <v>-1033949.8441666667</v>
      </c>
      <c r="T79" s="677"/>
      <c r="U79" s="716">
        <f t="shared" si="16"/>
        <v>-1033949.8441666667</v>
      </c>
      <c r="V79" s="755"/>
      <c r="W79" s="755"/>
      <c r="X79" s="778"/>
      <c r="Y79" s="755"/>
      <c r="Z79" s="755"/>
      <c r="AA79" s="716"/>
      <c r="AB79" s="755"/>
      <c r="AC79" s="717"/>
      <c r="AD79" s="718">
        <f t="shared" si="17"/>
        <v>-1033949.8441666667</v>
      </c>
      <c r="AE79" s="717"/>
      <c r="AF79" s="753"/>
    </row>
    <row r="80" spans="1:32">
      <c r="A80" s="677">
        <v>66</v>
      </c>
      <c r="B80" s="379" t="s">
        <v>1885</v>
      </c>
      <c r="C80" s="379" t="s">
        <v>416</v>
      </c>
      <c r="D80" s="379" t="s">
        <v>382</v>
      </c>
      <c r="E80" s="675" t="s">
        <v>1520</v>
      </c>
      <c r="F80" s="676">
        <v>0</v>
      </c>
      <c r="G80" s="676">
        <v>5838301.9000000004</v>
      </c>
      <c r="H80" s="676">
        <v>4633485.24</v>
      </c>
      <c r="I80" s="676">
        <v>3540579.51</v>
      </c>
      <c r="J80" s="676">
        <v>3642714.65</v>
      </c>
      <c r="K80" s="676">
        <v>4098905.74</v>
      </c>
      <c r="L80" s="676">
        <v>4827107.67</v>
      </c>
      <c r="M80" s="676">
        <v>5806606.46</v>
      </c>
      <c r="N80" s="676">
        <v>6744026.6699999999</v>
      </c>
      <c r="O80" s="676">
        <v>7810745.5800000001</v>
      </c>
      <c r="P80" s="676">
        <v>8303914.0999999996</v>
      </c>
      <c r="Q80" s="676">
        <v>7709249.4000000004</v>
      </c>
      <c r="R80" s="676">
        <v>6456802.7800000003</v>
      </c>
      <c r="S80" s="551">
        <f t="shared" si="19"/>
        <v>5515336.5258333338</v>
      </c>
      <c r="T80" s="677"/>
      <c r="U80" s="716">
        <f>+S80</f>
        <v>5515336.5258333338</v>
      </c>
      <c r="V80" s="755"/>
      <c r="W80" s="755"/>
      <c r="X80" s="778"/>
      <c r="Y80" s="755"/>
      <c r="Z80" s="755"/>
      <c r="AA80" s="716"/>
      <c r="AB80" s="755"/>
      <c r="AC80" s="717"/>
      <c r="AD80" s="718">
        <f t="shared" si="17"/>
        <v>5515336.5258333338</v>
      </c>
      <c r="AE80" s="717"/>
      <c r="AF80" s="753"/>
    </row>
    <row r="81" spans="1:32">
      <c r="A81" s="677">
        <v>67</v>
      </c>
      <c r="B81" s="677"/>
      <c r="C81" s="677"/>
      <c r="D81" s="677"/>
      <c r="E81" s="662" t="s">
        <v>418</v>
      </c>
      <c r="F81" s="676">
        <f t="shared" ref="F81:Q81" si="20">SUM(F65:F80)</f>
        <v>19786161.890000001</v>
      </c>
      <c r="G81" s="676">
        <f t="shared" si="20"/>
        <v>31926360.730000004</v>
      </c>
      <c r="H81" s="676">
        <f t="shared" si="20"/>
        <v>32655972.640000001</v>
      </c>
      <c r="I81" s="676">
        <f t="shared" si="20"/>
        <v>26083313.299999997</v>
      </c>
      <c r="J81" s="676">
        <f t="shared" si="20"/>
        <v>27480819.059999999</v>
      </c>
      <c r="K81" s="676">
        <f t="shared" si="20"/>
        <v>21801006.350000001</v>
      </c>
      <c r="L81" s="676">
        <f t="shared" si="20"/>
        <v>19587259.190000001</v>
      </c>
      <c r="M81" s="676">
        <f t="shared" si="20"/>
        <v>19200121.210000001</v>
      </c>
      <c r="N81" s="676">
        <f t="shared" si="20"/>
        <v>20114006.550000001</v>
      </c>
      <c r="O81" s="676">
        <f t="shared" si="20"/>
        <v>18065756.579999998</v>
      </c>
      <c r="P81" s="676">
        <f t="shared" si="20"/>
        <v>21476898.530000001</v>
      </c>
      <c r="Q81" s="676">
        <f t="shared" si="20"/>
        <v>22332099.629999995</v>
      </c>
      <c r="R81" s="676">
        <f>SUM(R65:R80)</f>
        <v>27099028.59</v>
      </c>
      <c r="S81" s="551">
        <f>SUM(S65:S80)</f>
        <v>23680517.4175</v>
      </c>
      <c r="T81" s="677"/>
      <c r="U81" s="716"/>
      <c r="V81" s="755"/>
      <c r="W81" s="755"/>
      <c r="X81" s="778"/>
      <c r="Y81" s="755"/>
      <c r="Z81" s="755"/>
      <c r="AA81" s="716"/>
      <c r="AB81" s="755"/>
      <c r="AC81" s="717"/>
      <c r="AD81" s="717"/>
      <c r="AE81" s="717"/>
      <c r="AF81" s="753">
        <f t="shared" si="0"/>
        <v>0</v>
      </c>
    </row>
    <row r="82" spans="1:32">
      <c r="A82" s="677">
        <v>68</v>
      </c>
      <c r="B82" s="677"/>
      <c r="C82" s="677"/>
      <c r="D82" s="677"/>
      <c r="E82" s="662" t="s">
        <v>104</v>
      </c>
      <c r="F82" s="676"/>
      <c r="G82" s="367"/>
      <c r="H82" s="368"/>
      <c r="I82" s="368"/>
      <c r="J82" s="369"/>
      <c r="K82" s="370"/>
      <c r="L82" s="371"/>
      <c r="M82" s="372"/>
      <c r="N82" s="373"/>
      <c r="O82" s="663"/>
      <c r="P82" s="374"/>
      <c r="Q82" s="375"/>
      <c r="R82" s="676"/>
      <c r="S82" s="357"/>
      <c r="T82" s="677"/>
      <c r="U82" s="716"/>
      <c r="V82" s="755"/>
      <c r="W82" s="755"/>
      <c r="X82" s="778"/>
      <c r="Y82" s="755"/>
      <c r="Z82" s="755"/>
      <c r="AA82" s="716"/>
      <c r="AB82" s="755"/>
      <c r="AC82" s="717"/>
      <c r="AD82" s="717"/>
      <c r="AE82" s="717"/>
      <c r="AF82" s="753">
        <f t="shared" si="0"/>
        <v>0</v>
      </c>
    </row>
    <row r="83" spans="1:32">
      <c r="A83" s="677">
        <v>69</v>
      </c>
      <c r="B83" s="379" t="s">
        <v>981</v>
      </c>
      <c r="C83" s="379" t="s">
        <v>419</v>
      </c>
      <c r="D83" s="379" t="s">
        <v>411</v>
      </c>
      <c r="E83" s="662" t="s">
        <v>420</v>
      </c>
      <c r="F83" s="676">
        <v>0</v>
      </c>
      <c r="G83" s="676">
        <v>0</v>
      </c>
      <c r="H83" s="676">
        <v>0</v>
      </c>
      <c r="I83" s="676">
        <v>0</v>
      </c>
      <c r="J83" s="676">
        <v>0</v>
      </c>
      <c r="K83" s="676">
        <v>0</v>
      </c>
      <c r="L83" s="676">
        <v>0</v>
      </c>
      <c r="M83" s="676">
        <v>0</v>
      </c>
      <c r="N83" s="676">
        <v>0</v>
      </c>
      <c r="O83" s="676">
        <v>0</v>
      </c>
      <c r="P83" s="676">
        <v>0</v>
      </c>
      <c r="Q83" s="676">
        <v>0</v>
      </c>
      <c r="R83" s="676">
        <v>0</v>
      </c>
      <c r="S83" s="551">
        <f>((F83+R83)+((G83+H83+I83+J83+K83+L83+M83+N83+O83+P83+Q83)*2))/24</f>
        <v>0</v>
      </c>
      <c r="T83" s="677"/>
      <c r="U83" s="716">
        <f t="shared" ref="U83:U84" si="21">+S83</f>
        <v>0</v>
      </c>
      <c r="V83" s="755"/>
      <c r="W83" s="755"/>
      <c r="X83" s="778"/>
      <c r="Y83" s="755"/>
      <c r="Z83" s="755"/>
      <c r="AA83" s="716"/>
      <c r="AB83" s="755"/>
      <c r="AC83" s="717"/>
      <c r="AD83" s="717"/>
      <c r="AE83" s="717"/>
      <c r="AF83" s="753">
        <f t="shared" si="0"/>
        <v>0</v>
      </c>
    </row>
    <row r="84" spans="1:32">
      <c r="A84" s="677">
        <v>70</v>
      </c>
      <c r="B84" s="379" t="s">
        <v>981</v>
      </c>
      <c r="C84" s="379" t="s">
        <v>419</v>
      </c>
      <c r="D84" s="379" t="s">
        <v>421</v>
      </c>
      <c r="E84" s="662" t="s">
        <v>422</v>
      </c>
      <c r="F84" s="676">
        <v>0</v>
      </c>
      <c r="G84" s="676">
        <v>0</v>
      </c>
      <c r="H84" s="676">
        <v>0</v>
      </c>
      <c r="I84" s="676">
        <v>0</v>
      </c>
      <c r="J84" s="676">
        <v>0</v>
      </c>
      <c r="K84" s="676">
        <v>0</v>
      </c>
      <c r="L84" s="676">
        <v>0</v>
      </c>
      <c r="M84" s="676">
        <v>0</v>
      </c>
      <c r="N84" s="676">
        <v>0</v>
      </c>
      <c r="O84" s="676">
        <v>0</v>
      </c>
      <c r="P84" s="676">
        <v>0</v>
      </c>
      <c r="Q84" s="676">
        <v>0</v>
      </c>
      <c r="R84" s="676">
        <v>0</v>
      </c>
      <c r="S84" s="551">
        <f>((F84+R84)+((G84+H84+I84+J84+K84+L84+M84+N84+O84+P84+Q84)*2))/24</f>
        <v>0</v>
      </c>
      <c r="T84" s="677"/>
      <c r="U84" s="716">
        <f t="shared" si="21"/>
        <v>0</v>
      </c>
      <c r="V84" s="755"/>
      <c r="W84" s="755"/>
      <c r="X84" s="778"/>
      <c r="Y84" s="755"/>
      <c r="Z84" s="755"/>
      <c r="AA84" s="716"/>
      <c r="AB84" s="755"/>
      <c r="AC84" s="717"/>
      <c r="AD84" s="717"/>
      <c r="AE84" s="717"/>
      <c r="AF84" s="753">
        <f t="shared" si="0"/>
        <v>0</v>
      </c>
    </row>
    <row r="85" spans="1:32">
      <c r="A85" s="677">
        <v>71</v>
      </c>
      <c r="B85" s="677"/>
      <c r="C85" s="677"/>
      <c r="D85" s="677"/>
      <c r="E85" s="662"/>
      <c r="F85" s="676"/>
      <c r="G85" s="367"/>
      <c r="H85" s="368"/>
      <c r="I85" s="368"/>
      <c r="J85" s="369"/>
      <c r="K85" s="370"/>
      <c r="L85" s="371"/>
      <c r="M85" s="372"/>
      <c r="N85" s="373"/>
      <c r="O85" s="663"/>
      <c r="P85" s="374"/>
      <c r="Q85" s="375"/>
      <c r="R85" s="676"/>
      <c r="S85" s="551"/>
      <c r="T85" s="677"/>
      <c r="U85" s="716"/>
      <c r="V85" s="755"/>
      <c r="W85" s="755"/>
      <c r="X85" s="778">
        <f t="shared" ref="X85:X87" si="22">+S85</f>
        <v>0</v>
      </c>
      <c r="Y85" s="755"/>
      <c r="Z85" s="755"/>
      <c r="AA85" s="716"/>
      <c r="AB85" s="755"/>
      <c r="AC85" s="717"/>
      <c r="AD85" s="717"/>
      <c r="AE85" s="717"/>
      <c r="AF85" s="753">
        <f t="shared" si="0"/>
        <v>0</v>
      </c>
    </row>
    <row r="86" spans="1:32">
      <c r="A86" s="677">
        <v>72</v>
      </c>
      <c r="B86" s="379" t="s">
        <v>981</v>
      </c>
      <c r="C86" s="379" t="s">
        <v>423</v>
      </c>
      <c r="D86" s="379" t="s">
        <v>731</v>
      </c>
      <c r="E86" s="662" t="s">
        <v>424</v>
      </c>
      <c r="F86" s="676">
        <v>109738.76</v>
      </c>
      <c r="G86" s="676">
        <v>116759.12</v>
      </c>
      <c r="H86" s="676">
        <v>7020.36</v>
      </c>
      <c r="I86" s="676">
        <v>7020.36</v>
      </c>
      <c r="J86" s="676">
        <v>7020.36</v>
      </c>
      <c r="K86" s="676">
        <v>9.0949470177292804E-13</v>
      </c>
      <c r="L86" s="676">
        <v>9.0949470177292804E-13</v>
      </c>
      <c r="M86" s="676">
        <v>9.0949470177292804E-13</v>
      </c>
      <c r="N86" s="676">
        <v>9.0949470177292804E-13</v>
      </c>
      <c r="O86" s="676">
        <v>9.0949470177292804E-13</v>
      </c>
      <c r="P86" s="676">
        <v>9.0949470177292804E-13</v>
      </c>
      <c r="Q86" s="676">
        <v>9.0949470177292804E-13</v>
      </c>
      <c r="R86" s="676">
        <v>13039.55</v>
      </c>
      <c r="S86" s="551">
        <f t="shared" ref="S86:S94" si="23">((F86+R86)+((G86+H86+I86+J86+K86+L86+M86+N86+O86+P86+Q86)*2))/24</f>
        <v>16600.779583333333</v>
      </c>
      <c r="T86" s="677"/>
      <c r="U86" s="716"/>
      <c r="V86" s="755"/>
      <c r="W86" s="755"/>
      <c r="X86" s="778">
        <f t="shared" si="22"/>
        <v>16600.779583333333</v>
      </c>
      <c r="Y86" s="755"/>
      <c r="Z86" s="755"/>
      <c r="AA86" s="716"/>
      <c r="AB86" s="755">
        <f t="shared" ref="AB86:AB94" si="24">+S86</f>
        <v>16600.779583333333</v>
      </c>
      <c r="AC86" s="717"/>
      <c r="AD86" s="717"/>
      <c r="AE86" s="717"/>
      <c r="AF86" s="753">
        <f t="shared" ref="AF86:AF149" si="25">+U86+V86-AD86</f>
        <v>0</v>
      </c>
    </row>
    <row r="87" spans="1:32">
      <c r="A87" s="677">
        <v>73</v>
      </c>
      <c r="B87" s="379" t="s">
        <v>981</v>
      </c>
      <c r="C87" s="379" t="s">
        <v>423</v>
      </c>
      <c r="D87" s="379" t="s">
        <v>425</v>
      </c>
      <c r="E87" s="662" t="s">
        <v>1413</v>
      </c>
      <c r="F87" s="676">
        <v>0</v>
      </c>
      <c r="G87" s="676">
        <v>0</v>
      </c>
      <c r="H87" s="676">
        <v>109738.76</v>
      </c>
      <c r="I87" s="676">
        <v>73733.149999999994</v>
      </c>
      <c r="J87" s="676">
        <v>73733.149999999994</v>
      </c>
      <c r="K87" s="676">
        <v>73733.149999999994</v>
      </c>
      <c r="L87" s="676">
        <v>73733.149999999994</v>
      </c>
      <c r="M87" s="676">
        <v>20174.68</v>
      </c>
      <c r="N87" s="676">
        <v>19934.080000000002</v>
      </c>
      <c r="O87" s="676">
        <v>-7.2759576141834308E-12</v>
      </c>
      <c r="P87" s="676">
        <v>-7.2759576141834308E-12</v>
      </c>
      <c r="Q87" s="676">
        <v>-7.2759576141834308E-12</v>
      </c>
      <c r="R87" s="676">
        <v>74428.789999999994</v>
      </c>
      <c r="S87" s="551">
        <f t="shared" si="23"/>
        <v>40166.209583333337</v>
      </c>
      <c r="T87" s="677"/>
      <c r="U87" s="716"/>
      <c r="V87" s="755"/>
      <c r="W87" s="755"/>
      <c r="X87" s="778">
        <f t="shared" si="22"/>
        <v>40166.209583333337</v>
      </c>
      <c r="Y87" s="755"/>
      <c r="Z87" s="755"/>
      <c r="AA87" s="716"/>
      <c r="AB87" s="755">
        <f t="shared" si="24"/>
        <v>40166.209583333337</v>
      </c>
      <c r="AC87" s="717"/>
      <c r="AD87" s="717"/>
      <c r="AE87" s="717"/>
      <c r="AF87" s="753">
        <f t="shared" si="25"/>
        <v>0</v>
      </c>
    </row>
    <row r="88" spans="1:32">
      <c r="A88" s="677">
        <v>74</v>
      </c>
      <c r="B88" s="379" t="s">
        <v>981</v>
      </c>
      <c r="C88" s="379" t="s">
        <v>423</v>
      </c>
      <c r="D88" s="379" t="s">
        <v>426</v>
      </c>
      <c r="E88" s="662" t="s">
        <v>1414</v>
      </c>
      <c r="F88" s="676">
        <v>19792.61</v>
      </c>
      <c r="G88" s="676">
        <v>19792.61</v>
      </c>
      <c r="H88" s="676">
        <v>0</v>
      </c>
      <c r="I88" s="676">
        <v>0</v>
      </c>
      <c r="J88" s="676">
        <v>0</v>
      </c>
      <c r="K88" s="676">
        <v>0</v>
      </c>
      <c r="L88" s="676">
        <v>0</v>
      </c>
      <c r="M88" s="676">
        <v>0</v>
      </c>
      <c r="N88" s="676">
        <v>0</v>
      </c>
      <c r="O88" s="676">
        <v>0</v>
      </c>
      <c r="P88" s="676">
        <v>16217.62</v>
      </c>
      <c r="Q88" s="676">
        <v>16217.62</v>
      </c>
      <c r="R88" s="676">
        <v>34554.699999999997</v>
      </c>
      <c r="S88" s="551">
        <f t="shared" si="23"/>
        <v>6616.7920833333337</v>
      </c>
      <c r="T88" s="677"/>
      <c r="U88" s="716"/>
      <c r="V88" s="755"/>
      <c r="W88" s="755"/>
      <c r="X88" s="778">
        <f t="shared" ref="X88:X94" si="26">+S88</f>
        <v>6616.7920833333337</v>
      </c>
      <c r="Y88" s="755"/>
      <c r="Z88" s="755"/>
      <c r="AA88" s="716"/>
      <c r="AB88" s="755">
        <f t="shared" si="24"/>
        <v>6616.7920833333337</v>
      </c>
      <c r="AC88" s="717"/>
      <c r="AD88" s="717"/>
      <c r="AE88" s="717"/>
      <c r="AF88" s="753">
        <f t="shared" si="25"/>
        <v>0</v>
      </c>
    </row>
    <row r="89" spans="1:32">
      <c r="A89" s="677">
        <v>75</v>
      </c>
      <c r="B89" s="379" t="s">
        <v>981</v>
      </c>
      <c r="C89" s="379" t="s">
        <v>423</v>
      </c>
      <c r="D89" s="379" t="s">
        <v>427</v>
      </c>
      <c r="E89" s="662" t="s">
        <v>428</v>
      </c>
      <c r="F89" s="676">
        <v>0</v>
      </c>
      <c r="G89" s="676">
        <v>0</v>
      </c>
      <c r="H89" s="676">
        <v>0</v>
      </c>
      <c r="I89" s="676">
        <v>0</v>
      </c>
      <c r="J89" s="676">
        <v>0</v>
      </c>
      <c r="K89" s="676">
        <v>0</v>
      </c>
      <c r="L89" s="676">
        <v>0</v>
      </c>
      <c r="M89" s="676">
        <v>0</v>
      </c>
      <c r="N89" s="676">
        <v>0</v>
      </c>
      <c r="O89" s="676">
        <v>0</v>
      </c>
      <c r="P89" s="676">
        <v>0</v>
      </c>
      <c r="Q89" s="676">
        <v>0</v>
      </c>
      <c r="R89" s="676">
        <v>0</v>
      </c>
      <c r="S89" s="551">
        <f t="shared" si="23"/>
        <v>0</v>
      </c>
      <c r="T89" s="677"/>
      <c r="U89" s="716"/>
      <c r="V89" s="755"/>
      <c r="W89" s="755"/>
      <c r="X89" s="778">
        <f t="shared" si="26"/>
        <v>0</v>
      </c>
      <c r="Y89" s="755"/>
      <c r="Z89" s="755"/>
      <c r="AA89" s="716"/>
      <c r="AB89" s="755">
        <f t="shared" si="24"/>
        <v>0</v>
      </c>
      <c r="AC89" s="717"/>
      <c r="AD89" s="717"/>
      <c r="AE89" s="717"/>
      <c r="AF89" s="753">
        <f t="shared" si="25"/>
        <v>0</v>
      </c>
    </row>
    <row r="90" spans="1:32">
      <c r="A90" s="677">
        <v>76</v>
      </c>
      <c r="B90" s="379" t="s">
        <v>981</v>
      </c>
      <c r="C90" s="379" t="s">
        <v>423</v>
      </c>
      <c r="D90" s="379" t="s">
        <v>429</v>
      </c>
      <c r="E90" s="662" t="s">
        <v>1887</v>
      </c>
      <c r="F90" s="676">
        <v>0</v>
      </c>
      <c r="G90" s="676">
        <v>0</v>
      </c>
      <c r="H90" s="676">
        <v>0</v>
      </c>
      <c r="I90" s="676">
        <v>0</v>
      </c>
      <c r="J90" s="676">
        <v>0</v>
      </c>
      <c r="K90" s="676">
        <v>0</v>
      </c>
      <c r="L90" s="676">
        <v>0</v>
      </c>
      <c r="M90" s="676">
        <v>0</v>
      </c>
      <c r="N90" s="676">
        <v>0</v>
      </c>
      <c r="O90" s="676">
        <v>0</v>
      </c>
      <c r="P90" s="676">
        <v>0</v>
      </c>
      <c r="Q90" s="676">
        <v>0</v>
      </c>
      <c r="R90" s="676">
        <v>0</v>
      </c>
      <c r="S90" s="551">
        <f t="shared" si="23"/>
        <v>0</v>
      </c>
      <c r="T90" s="677"/>
      <c r="U90" s="716"/>
      <c r="V90" s="755"/>
      <c r="W90" s="755"/>
      <c r="X90" s="778">
        <f t="shared" si="26"/>
        <v>0</v>
      </c>
      <c r="Y90" s="755"/>
      <c r="Z90" s="755"/>
      <c r="AA90" s="716"/>
      <c r="AB90" s="755">
        <f t="shared" si="24"/>
        <v>0</v>
      </c>
      <c r="AC90" s="717"/>
      <c r="AD90" s="717"/>
      <c r="AE90" s="717"/>
      <c r="AF90" s="753">
        <f t="shared" si="25"/>
        <v>0</v>
      </c>
    </row>
    <row r="91" spans="1:32">
      <c r="A91" s="677">
        <v>77</v>
      </c>
      <c r="B91" s="379" t="s">
        <v>981</v>
      </c>
      <c r="C91" s="379" t="s">
        <v>423</v>
      </c>
      <c r="D91" s="379" t="s">
        <v>430</v>
      </c>
      <c r="E91" s="662" t="s">
        <v>431</v>
      </c>
      <c r="F91" s="676">
        <v>0</v>
      </c>
      <c r="G91" s="676">
        <v>0</v>
      </c>
      <c r="H91" s="676">
        <v>0</v>
      </c>
      <c r="I91" s="676">
        <v>0</v>
      </c>
      <c r="J91" s="676">
        <v>0</v>
      </c>
      <c r="K91" s="676">
        <v>0</v>
      </c>
      <c r="L91" s="676">
        <v>0</v>
      </c>
      <c r="M91" s="676">
        <v>0</v>
      </c>
      <c r="N91" s="676">
        <v>0</v>
      </c>
      <c r="O91" s="676">
        <v>0</v>
      </c>
      <c r="P91" s="676">
        <v>0</v>
      </c>
      <c r="Q91" s="676">
        <v>0</v>
      </c>
      <c r="R91" s="676">
        <v>0</v>
      </c>
      <c r="S91" s="551">
        <f t="shared" si="23"/>
        <v>0</v>
      </c>
      <c r="T91" s="677"/>
      <c r="U91" s="716"/>
      <c r="V91" s="755"/>
      <c r="W91" s="755"/>
      <c r="X91" s="778">
        <f t="shared" si="26"/>
        <v>0</v>
      </c>
      <c r="Y91" s="755"/>
      <c r="Z91" s="755"/>
      <c r="AA91" s="716"/>
      <c r="AB91" s="755">
        <f t="shared" si="24"/>
        <v>0</v>
      </c>
      <c r="AC91" s="717"/>
      <c r="AD91" s="717"/>
      <c r="AE91" s="717"/>
      <c r="AF91" s="753">
        <f t="shared" si="25"/>
        <v>0</v>
      </c>
    </row>
    <row r="92" spans="1:32">
      <c r="A92" s="677">
        <v>79</v>
      </c>
      <c r="B92" s="379" t="s">
        <v>981</v>
      </c>
      <c r="C92" s="379" t="s">
        <v>423</v>
      </c>
      <c r="D92" s="379" t="s">
        <v>432</v>
      </c>
      <c r="E92" s="662" t="s">
        <v>433</v>
      </c>
      <c r="F92" s="676">
        <v>0</v>
      </c>
      <c r="G92" s="676">
        <v>0</v>
      </c>
      <c r="H92" s="676">
        <v>0</v>
      </c>
      <c r="I92" s="676">
        <v>0</v>
      </c>
      <c r="J92" s="676">
        <v>0</v>
      </c>
      <c r="K92" s="676">
        <v>0</v>
      </c>
      <c r="L92" s="676">
        <v>813.04</v>
      </c>
      <c r="M92" s="676">
        <v>975.64</v>
      </c>
      <c r="N92" s="676">
        <v>975.64</v>
      </c>
      <c r="O92" s="676">
        <v>1385.39</v>
      </c>
      <c r="P92" s="676">
        <v>1446.87</v>
      </c>
      <c r="Q92" s="676">
        <v>0</v>
      </c>
      <c r="R92" s="676">
        <v>0</v>
      </c>
      <c r="S92" s="551">
        <f t="shared" si="23"/>
        <v>466.38166666666666</v>
      </c>
      <c r="T92" s="677"/>
      <c r="U92" s="716"/>
      <c r="V92" s="755"/>
      <c r="W92" s="755"/>
      <c r="X92" s="778">
        <f t="shared" si="26"/>
        <v>466.38166666666666</v>
      </c>
      <c r="Y92" s="755"/>
      <c r="Z92" s="755"/>
      <c r="AA92" s="716"/>
      <c r="AB92" s="755">
        <f t="shared" si="24"/>
        <v>466.38166666666666</v>
      </c>
      <c r="AC92" s="717"/>
      <c r="AD92" s="717"/>
      <c r="AE92" s="717"/>
      <c r="AF92" s="753">
        <f t="shared" si="25"/>
        <v>0</v>
      </c>
    </row>
    <row r="93" spans="1:32">
      <c r="A93" s="677">
        <v>80</v>
      </c>
      <c r="B93" s="379" t="s">
        <v>981</v>
      </c>
      <c r="C93" s="379" t="s">
        <v>423</v>
      </c>
      <c r="D93" s="379" t="s">
        <v>434</v>
      </c>
      <c r="E93" s="662" t="s">
        <v>435</v>
      </c>
      <c r="F93" s="676">
        <v>0</v>
      </c>
      <c r="G93" s="676">
        <v>0</v>
      </c>
      <c r="H93" s="676">
        <v>0</v>
      </c>
      <c r="I93" s="676">
        <v>0</v>
      </c>
      <c r="J93" s="676">
        <v>0</v>
      </c>
      <c r="K93" s="676">
        <v>0</v>
      </c>
      <c r="L93" s="676">
        <v>0</v>
      </c>
      <c r="M93" s="676">
        <v>0</v>
      </c>
      <c r="N93" s="676">
        <v>0</v>
      </c>
      <c r="O93" s="676">
        <v>0</v>
      </c>
      <c r="P93" s="676">
        <v>0</v>
      </c>
      <c r="Q93" s="676">
        <v>0</v>
      </c>
      <c r="R93" s="676">
        <v>0</v>
      </c>
      <c r="S93" s="551">
        <f t="shared" si="23"/>
        <v>0</v>
      </c>
      <c r="T93" s="677"/>
      <c r="U93" s="716"/>
      <c r="V93" s="755"/>
      <c r="W93" s="755"/>
      <c r="X93" s="778">
        <f t="shared" si="26"/>
        <v>0</v>
      </c>
      <c r="Y93" s="755"/>
      <c r="Z93" s="755"/>
      <c r="AA93" s="716"/>
      <c r="AB93" s="755">
        <f t="shared" si="24"/>
        <v>0</v>
      </c>
      <c r="AC93" s="717"/>
      <c r="AD93" s="717"/>
      <c r="AE93" s="717"/>
      <c r="AF93" s="753">
        <f t="shared" si="25"/>
        <v>0</v>
      </c>
    </row>
    <row r="94" spans="1:32">
      <c r="A94" s="677">
        <v>81</v>
      </c>
      <c r="B94" s="379" t="s">
        <v>981</v>
      </c>
      <c r="C94" s="379" t="s">
        <v>423</v>
      </c>
      <c r="D94" s="379" t="s">
        <v>436</v>
      </c>
      <c r="E94" s="662" t="s">
        <v>437</v>
      </c>
      <c r="F94" s="366">
        <v>0</v>
      </c>
      <c r="G94" s="366">
        <v>0</v>
      </c>
      <c r="H94" s="366">
        <v>0</v>
      </c>
      <c r="I94" s="366">
        <v>0</v>
      </c>
      <c r="J94" s="366">
        <v>0</v>
      </c>
      <c r="K94" s="366">
        <v>0</v>
      </c>
      <c r="L94" s="366">
        <v>0</v>
      </c>
      <c r="M94" s="366">
        <v>0</v>
      </c>
      <c r="N94" s="366">
        <v>0</v>
      </c>
      <c r="O94" s="366">
        <v>0</v>
      </c>
      <c r="P94" s="366">
        <v>0</v>
      </c>
      <c r="Q94" s="366">
        <v>18085.240000000002</v>
      </c>
      <c r="R94" s="366">
        <v>18085.240000000002</v>
      </c>
      <c r="S94" s="551">
        <f t="shared" si="23"/>
        <v>2260.6550000000002</v>
      </c>
      <c r="T94" s="677"/>
      <c r="U94" s="716"/>
      <c r="V94" s="755"/>
      <c r="W94" s="755"/>
      <c r="X94" s="778">
        <f t="shared" si="26"/>
        <v>2260.6550000000002</v>
      </c>
      <c r="Y94" s="755"/>
      <c r="Z94" s="755"/>
      <c r="AA94" s="716"/>
      <c r="AB94" s="755">
        <f t="shared" si="24"/>
        <v>2260.6550000000002</v>
      </c>
      <c r="AC94" s="717"/>
      <c r="AD94" s="717"/>
      <c r="AE94" s="717"/>
      <c r="AF94" s="753">
        <f t="shared" si="25"/>
        <v>0</v>
      </c>
    </row>
    <row r="95" spans="1:32">
      <c r="A95" s="677">
        <v>82</v>
      </c>
      <c r="B95" s="677"/>
      <c r="C95" s="677"/>
      <c r="D95" s="677"/>
      <c r="E95" s="662" t="s">
        <v>438</v>
      </c>
      <c r="F95" s="358">
        <f t="shared" ref="F95:S95" si="27">SUM(F83:F94)</f>
        <v>129531.37</v>
      </c>
      <c r="G95" s="358">
        <f t="shared" si="27"/>
        <v>136551.72999999998</v>
      </c>
      <c r="H95" s="358">
        <f t="shared" si="27"/>
        <v>116759.12</v>
      </c>
      <c r="I95" s="358">
        <f t="shared" si="27"/>
        <v>80753.509999999995</v>
      </c>
      <c r="J95" s="358">
        <f t="shared" si="27"/>
        <v>80753.509999999995</v>
      </c>
      <c r="K95" s="358">
        <f t="shared" si="27"/>
        <v>73733.149999999994</v>
      </c>
      <c r="L95" s="358">
        <f t="shared" si="27"/>
        <v>74546.189999999988</v>
      </c>
      <c r="M95" s="358">
        <f t="shared" si="27"/>
        <v>21150.32</v>
      </c>
      <c r="N95" s="358">
        <f t="shared" si="27"/>
        <v>20909.72</v>
      </c>
      <c r="O95" s="358">
        <f t="shared" si="27"/>
        <v>1385.3899999999937</v>
      </c>
      <c r="P95" s="358">
        <f t="shared" si="27"/>
        <v>17664.489999999994</v>
      </c>
      <c r="Q95" s="358">
        <f t="shared" si="27"/>
        <v>34302.86</v>
      </c>
      <c r="R95" s="358">
        <f t="shared" si="27"/>
        <v>140108.28</v>
      </c>
      <c r="S95" s="553">
        <f t="shared" si="27"/>
        <v>66110.817916666667</v>
      </c>
      <c r="T95" s="677"/>
      <c r="U95" s="716"/>
      <c r="V95" s="755"/>
      <c r="W95" s="755"/>
      <c r="X95" s="778"/>
      <c r="Y95" s="755"/>
      <c r="Z95" s="755"/>
      <c r="AA95" s="716"/>
      <c r="AB95" s="755"/>
      <c r="AC95" s="717"/>
      <c r="AD95" s="717"/>
      <c r="AE95" s="717"/>
      <c r="AF95" s="753">
        <f t="shared" si="25"/>
        <v>0</v>
      </c>
    </row>
    <row r="96" spans="1:32">
      <c r="A96" s="677">
        <v>83</v>
      </c>
      <c r="B96" s="677"/>
      <c r="C96" s="677"/>
      <c r="D96" s="677"/>
      <c r="E96" s="662"/>
      <c r="F96" s="676"/>
      <c r="G96" s="367"/>
      <c r="H96" s="368"/>
      <c r="I96" s="368"/>
      <c r="J96" s="369"/>
      <c r="K96" s="370"/>
      <c r="L96" s="371"/>
      <c r="M96" s="372"/>
      <c r="N96" s="373"/>
      <c r="O96" s="376"/>
      <c r="P96" s="374"/>
      <c r="Q96" s="375"/>
      <c r="R96" s="676"/>
      <c r="S96" s="357"/>
      <c r="T96" s="677"/>
      <c r="U96" s="716"/>
      <c r="V96" s="755"/>
      <c r="W96" s="755"/>
      <c r="X96" s="778"/>
      <c r="Y96" s="755"/>
      <c r="Z96" s="755"/>
      <c r="AA96" s="716"/>
      <c r="AB96" s="755"/>
      <c r="AC96" s="717"/>
      <c r="AD96" s="717"/>
      <c r="AE96" s="717"/>
      <c r="AF96" s="753">
        <f t="shared" si="25"/>
        <v>0</v>
      </c>
    </row>
    <row r="97" spans="1:32">
      <c r="A97" s="677">
        <v>84</v>
      </c>
      <c r="B97" s="379" t="s">
        <v>981</v>
      </c>
      <c r="C97" s="379" t="s">
        <v>439</v>
      </c>
      <c r="D97" s="677"/>
      <c r="E97" s="662" t="s">
        <v>440</v>
      </c>
      <c r="F97" s="676">
        <v>0</v>
      </c>
      <c r="G97" s="676">
        <v>0</v>
      </c>
      <c r="H97" s="676">
        <v>0</v>
      </c>
      <c r="I97" s="676">
        <v>0</v>
      </c>
      <c r="J97" s="676">
        <v>0</v>
      </c>
      <c r="K97" s="676">
        <v>0</v>
      </c>
      <c r="L97" s="676">
        <v>0</v>
      </c>
      <c r="M97" s="676">
        <v>0</v>
      </c>
      <c r="N97" s="676">
        <v>0</v>
      </c>
      <c r="O97" s="676">
        <v>0</v>
      </c>
      <c r="P97" s="676">
        <v>0</v>
      </c>
      <c r="Q97" s="676">
        <v>0</v>
      </c>
      <c r="R97" s="676">
        <v>0</v>
      </c>
      <c r="S97" s="357">
        <f>((F97+R97)+((G97+H97+I97+J97+K97+L97+M97+N97+O97+P97+Q97)*2))/24</f>
        <v>0</v>
      </c>
      <c r="T97" s="677"/>
      <c r="U97" s="716"/>
      <c r="V97" s="755"/>
      <c r="W97" s="755"/>
      <c r="X97" s="778"/>
      <c r="Y97" s="755"/>
      <c r="Z97" s="755"/>
      <c r="AA97" s="716"/>
      <c r="AB97" s="755"/>
      <c r="AC97" s="717"/>
      <c r="AD97" s="717"/>
      <c r="AE97" s="717"/>
      <c r="AF97" s="753">
        <f t="shared" si="25"/>
        <v>0</v>
      </c>
    </row>
    <row r="98" spans="1:32">
      <c r="A98" s="677">
        <v>85</v>
      </c>
      <c r="B98" s="677"/>
      <c r="C98" s="677"/>
      <c r="D98" s="677"/>
      <c r="E98" s="662"/>
      <c r="F98" s="676"/>
      <c r="G98" s="367"/>
      <c r="H98" s="368"/>
      <c r="I98" s="368"/>
      <c r="J98" s="369"/>
      <c r="K98" s="370"/>
      <c r="L98" s="371"/>
      <c r="M98" s="372"/>
      <c r="N98" s="373"/>
      <c r="O98" s="663"/>
      <c r="P98" s="374"/>
      <c r="Q98" s="375"/>
      <c r="R98" s="676"/>
      <c r="S98" s="357"/>
      <c r="T98" s="677"/>
      <c r="U98" s="716"/>
      <c r="V98" s="755"/>
      <c r="W98" s="755"/>
      <c r="X98" s="778"/>
      <c r="Y98" s="755"/>
      <c r="Z98" s="755"/>
      <c r="AA98" s="716"/>
      <c r="AB98" s="755"/>
      <c r="AC98" s="717"/>
      <c r="AD98" s="717"/>
      <c r="AE98" s="717"/>
      <c r="AF98" s="753">
        <f t="shared" si="25"/>
        <v>0</v>
      </c>
    </row>
    <row r="99" spans="1:32">
      <c r="A99" s="677">
        <v>86</v>
      </c>
      <c r="B99" s="677"/>
      <c r="C99" s="677"/>
      <c r="D99" s="677"/>
      <c r="E99" s="662" t="s">
        <v>441</v>
      </c>
      <c r="F99" s="676">
        <f t="shared" ref="F99:S99" si="28">+F97+F95+F81</f>
        <v>19915693.260000002</v>
      </c>
      <c r="G99" s="676">
        <f t="shared" si="28"/>
        <v>32062912.460000005</v>
      </c>
      <c r="H99" s="676">
        <f t="shared" si="28"/>
        <v>32772731.760000002</v>
      </c>
      <c r="I99" s="676">
        <f t="shared" si="28"/>
        <v>26164066.809999999</v>
      </c>
      <c r="J99" s="676">
        <f t="shared" si="28"/>
        <v>27561572.57</v>
      </c>
      <c r="K99" s="676">
        <f t="shared" si="28"/>
        <v>21874739.5</v>
      </c>
      <c r="L99" s="676">
        <f t="shared" si="28"/>
        <v>19661805.380000003</v>
      </c>
      <c r="M99" s="676">
        <f t="shared" si="28"/>
        <v>19221271.530000001</v>
      </c>
      <c r="N99" s="676">
        <f t="shared" si="28"/>
        <v>20134916.27</v>
      </c>
      <c r="O99" s="676">
        <f t="shared" si="28"/>
        <v>18067141.969999999</v>
      </c>
      <c r="P99" s="676">
        <f t="shared" si="28"/>
        <v>21494563.02</v>
      </c>
      <c r="Q99" s="676">
        <f t="shared" si="28"/>
        <v>22366402.489999995</v>
      </c>
      <c r="R99" s="676">
        <f t="shared" si="28"/>
        <v>27239136.870000001</v>
      </c>
      <c r="S99" s="551">
        <f t="shared" si="28"/>
        <v>23746628.235416666</v>
      </c>
      <c r="T99" s="677"/>
      <c r="U99" s="716"/>
      <c r="V99" s="755"/>
      <c r="W99" s="755"/>
      <c r="X99" s="778"/>
      <c r="Y99" s="755"/>
      <c r="Z99" s="755"/>
      <c r="AA99" s="716"/>
      <c r="AB99" s="755"/>
      <c r="AC99" s="717"/>
      <c r="AD99" s="717"/>
      <c r="AE99" s="717"/>
      <c r="AF99" s="753">
        <f t="shared" si="25"/>
        <v>0</v>
      </c>
    </row>
    <row r="100" spans="1:32">
      <c r="A100" s="677">
        <v>87</v>
      </c>
      <c r="B100" s="677"/>
      <c r="C100" s="677"/>
      <c r="D100" s="677"/>
      <c r="E100" s="662"/>
      <c r="F100" s="676"/>
      <c r="G100" s="367"/>
      <c r="H100" s="368"/>
      <c r="I100" s="368"/>
      <c r="J100" s="369"/>
      <c r="K100" s="370"/>
      <c r="L100" s="371"/>
      <c r="M100" s="372"/>
      <c r="N100" s="373"/>
      <c r="O100" s="663"/>
      <c r="P100" s="374"/>
      <c r="Q100" s="375"/>
      <c r="R100" s="676"/>
      <c r="S100" s="357">
        <f>((F100+R100)+((G100+H100+I100+J100+K100+L100+M100+N100+O100+P100+Q100)*2))/24</f>
        <v>0</v>
      </c>
      <c r="T100" s="677"/>
      <c r="U100" s="716"/>
      <c r="V100" s="755"/>
      <c r="W100" s="755"/>
      <c r="X100" s="778"/>
      <c r="Y100" s="755"/>
      <c r="Z100" s="755"/>
      <c r="AA100" s="716"/>
      <c r="AB100" s="755"/>
      <c r="AC100" s="717"/>
      <c r="AD100" s="717"/>
      <c r="AE100" s="717"/>
      <c r="AF100" s="753">
        <f t="shared" si="25"/>
        <v>0</v>
      </c>
    </row>
    <row r="101" spans="1:32">
      <c r="A101" s="677">
        <v>88</v>
      </c>
      <c r="B101" s="379" t="s">
        <v>1009</v>
      </c>
      <c r="C101" s="379" t="s">
        <v>442</v>
      </c>
      <c r="D101" s="379" t="s">
        <v>731</v>
      </c>
      <c r="E101" s="675" t="s">
        <v>1525</v>
      </c>
      <c r="F101" s="676">
        <v>-122637.92</v>
      </c>
      <c r="G101" s="676">
        <v>-124312.5</v>
      </c>
      <c r="H101" s="676">
        <v>-124312.5</v>
      </c>
      <c r="I101" s="676">
        <v>-124312.5</v>
      </c>
      <c r="J101" s="676">
        <v>-124312.5</v>
      </c>
      <c r="K101" s="676">
        <v>-124312.5</v>
      </c>
      <c r="L101" s="676">
        <v>-124312.5</v>
      </c>
      <c r="M101" s="676">
        <v>-124312.5</v>
      </c>
      <c r="N101" s="676">
        <v>-124312.5</v>
      </c>
      <c r="O101" s="676">
        <v>-124312.5</v>
      </c>
      <c r="P101" s="676">
        <v>-124312.5</v>
      </c>
      <c r="Q101" s="676">
        <v>-124312.5</v>
      </c>
      <c r="R101" s="676">
        <v>-124312.5</v>
      </c>
      <c r="S101" s="551">
        <f>((F101+R101)+((G101+H101+I101+J101+K101+L101+M101+N101+O101+P101+Q101)*2))/24</f>
        <v>-124242.72583333333</v>
      </c>
      <c r="T101" s="677"/>
      <c r="U101" s="716">
        <f t="shared" ref="U101:U119" si="29">+S101</f>
        <v>-124242.72583333333</v>
      </c>
      <c r="V101" s="755"/>
      <c r="W101" s="755"/>
      <c r="X101" s="778"/>
      <c r="Y101" s="755"/>
      <c r="Z101" s="755"/>
      <c r="AA101" s="716"/>
      <c r="AB101" s="755"/>
      <c r="AC101" s="717"/>
      <c r="AD101" s="718">
        <f t="shared" ref="AD101:AD119" si="30">+U101</f>
        <v>-124242.72583333333</v>
      </c>
      <c r="AE101" s="717"/>
      <c r="AF101" s="753">
        <f t="shared" si="25"/>
        <v>0</v>
      </c>
    </row>
    <row r="102" spans="1:32">
      <c r="A102" s="677">
        <v>89</v>
      </c>
      <c r="B102" s="379" t="s">
        <v>984</v>
      </c>
      <c r="C102" s="379" t="s">
        <v>442</v>
      </c>
      <c r="D102" s="379" t="s">
        <v>731</v>
      </c>
      <c r="E102" s="675" t="s">
        <v>1525</v>
      </c>
      <c r="F102" s="676">
        <v>-288682.78000000003</v>
      </c>
      <c r="G102" s="676">
        <v>-286609.34000000003</v>
      </c>
      <c r="H102" s="676">
        <v>-286609.34000000003</v>
      </c>
      <c r="I102" s="676">
        <v>-286609.34000000003</v>
      </c>
      <c r="J102" s="676">
        <v>-286609.34000000003</v>
      </c>
      <c r="K102" s="676">
        <v>-286609.34000000003</v>
      </c>
      <c r="L102" s="676">
        <v>-286609.34000000003</v>
      </c>
      <c r="M102" s="676">
        <v>-286609.34000000003</v>
      </c>
      <c r="N102" s="676">
        <v>-286609.34000000003</v>
      </c>
      <c r="O102" s="676">
        <v>-286609.34000000003</v>
      </c>
      <c r="P102" s="676">
        <v>-286609.34000000003</v>
      </c>
      <c r="Q102" s="676">
        <v>-286609.34000000003</v>
      </c>
      <c r="R102" s="676">
        <v>-286609.34000000003</v>
      </c>
      <c r="S102" s="551">
        <f t="shared" ref="S102:S114" si="31">((F102+R102)+((G102+H102+I102+J102+K102+L102+M102+N102+O102+P102+Q102)*2))/24</f>
        <v>-286695.73333333334</v>
      </c>
      <c r="T102" s="677"/>
      <c r="U102" s="716">
        <f t="shared" si="29"/>
        <v>-286695.73333333334</v>
      </c>
      <c r="V102" s="755"/>
      <c r="W102" s="755"/>
      <c r="X102" s="778"/>
      <c r="Y102" s="755"/>
      <c r="Z102" s="755"/>
      <c r="AA102" s="716"/>
      <c r="AB102" s="755"/>
      <c r="AC102" s="717"/>
      <c r="AD102" s="718">
        <f t="shared" si="30"/>
        <v>-286695.73333333334</v>
      </c>
      <c r="AE102" s="717"/>
      <c r="AF102" s="753">
        <f t="shared" si="25"/>
        <v>0</v>
      </c>
    </row>
    <row r="103" spans="1:32">
      <c r="A103" s="677">
        <v>90</v>
      </c>
      <c r="B103" s="379" t="s">
        <v>1009</v>
      </c>
      <c r="C103" s="379" t="s">
        <v>442</v>
      </c>
      <c r="D103" s="379" t="s">
        <v>1142</v>
      </c>
      <c r="E103" s="675" t="s">
        <v>1526</v>
      </c>
      <c r="F103" s="676">
        <v>282955.15999999997</v>
      </c>
      <c r="G103" s="676">
        <v>11327.84</v>
      </c>
      <c r="H103" s="676">
        <v>22213.93</v>
      </c>
      <c r="I103" s="676">
        <v>32387.98</v>
      </c>
      <c r="J103" s="676">
        <v>54779.91</v>
      </c>
      <c r="K103" s="676">
        <v>78665.52</v>
      </c>
      <c r="L103" s="676">
        <v>100681.26</v>
      </c>
      <c r="M103" s="676">
        <v>151328.31</v>
      </c>
      <c r="N103" s="676">
        <v>204997.67</v>
      </c>
      <c r="O103" s="676">
        <v>246804.94</v>
      </c>
      <c r="P103" s="676">
        <v>284071.87</v>
      </c>
      <c r="Q103" s="676">
        <v>310348.12</v>
      </c>
      <c r="R103" s="676">
        <v>325220.74</v>
      </c>
      <c r="S103" s="551">
        <f t="shared" si="31"/>
        <v>150141.27499999999</v>
      </c>
      <c r="T103" s="677"/>
      <c r="U103" s="716">
        <f t="shared" si="29"/>
        <v>150141.27499999999</v>
      </c>
      <c r="V103" s="755"/>
      <c r="W103" s="755"/>
      <c r="X103" s="778"/>
      <c r="Y103" s="755"/>
      <c r="Z103" s="755"/>
      <c r="AA103" s="716"/>
      <c r="AB103" s="755"/>
      <c r="AC103" s="717"/>
      <c r="AD103" s="718">
        <f t="shared" si="30"/>
        <v>150141.27499999999</v>
      </c>
      <c r="AE103" s="717"/>
      <c r="AF103" s="753">
        <f t="shared" si="25"/>
        <v>0</v>
      </c>
    </row>
    <row r="104" spans="1:32">
      <c r="A104" s="677">
        <v>91</v>
      </c>
      <c r="B104" s="379" t="s">
        <v>984</v>
      </c>
      <c r="C104" s="379" t="s">
        <v>442</v>
      </c>
      <c r="D104" s="379" t="s">
        <v>1142</v>
      </c>
      <c r="E104" s="675" t="s">
        <v>1526</v>
      </c>
      <c r="F104" s="676">
        <v>1101392.3700000001</v>
      </c>
      <c r="G104" s="676">
        <v>49071.930000000197</v>
      </c>
      <c r="H104" s="676">
        <v>83217.950000000201</v>
      </c>
      <c r="I104" s="676">
        <v>113578.86</v>
      </c>
      <c r="J104" s="676">
        <v>183011.42</v>
      </c>
      <c r="K104" s="676">
        <v>280115.62</v>
      </c>
      <c r="L104" s="676">
        <v>371146.91</v>
      </c>
      <c r="M104" s="676">
        <v>586783.9</v>
      </c>
      <c r="N104" s="676">
        <v>727245.54</v>
      </c>
      <c r="O104" s="676">
        <v>861027.18</v>
      </c>
      <c r="P104" s="676">
        <v>995353.46</v>
      </c>
      <c r="Q104" s="676">
        <v>1079903.93</v>
      </c>
      <c r="R104" s="676">
        <v>1144052.1599999999</v>
      </c>
      <c r="S104" s="551">
        <f t="shared" si="31"/>
        <v>537764.91374999995</v>
      </c>
      <c r="T104" s="677"/>
      <c r="U104" s="716">
        <f t="shared" si="29"/>
        <v>537764.91374999995</v>
      </c>
      <c r="V104" s="755"/>
      <c r="W104" s="755"/>
      <c r="X104" s="778"/>
      <c r="Y104" s="755"/>
      <c r="Z104" s="755"/>
      <c r="AA104" s="716"/>
      <c r="AB104" s="755"/>
      <c r="AC104" s="717"/>
      <c r="AD104" s="718">
        <f t="shared" si="30"/>
        <v>537764.91374999995</v>
      </c>
      <c r="AE104" s="717"/>
      <c r="AF104" s="753">
        <f t="shared" si="25"/>
        <v>0</v>
      </c>
    </row>
    <row r="105" spans="1:32">
      <c r="A105" s="677">
        <v>92</v>
      </c>
      <c r="B105" s="379" t="s">
        <v>1009</v>
      </c>
      <c r="C105" s="379" t="s">
        <v>442</v>
      </c>
      <c r="D105" s="379" t="s">
        <v>989</v>
      </c>
      <c r="E105" s="675" t="s">
        <v>1527</v>
      </c>
      <c r="F105" s="676">
        <v>-109625.87</v>
      </c>
      <c r="G105" s="676">
        <v>-5087.0099999999902</v>
      </c>
      <c r="H105" s="676">
        <v>-11592.06</v>
      </c>
      <c r="I105" s="676">
        <v>-22824.77</v>
      </c>
      <c r="J105" s="676">
        <v>-33531.83</v>
      </c>
      <c r="K105" s="676">
        <v>-39091.54</v>
      </c>
      <c r="L105" s="676">
        <v>-46511.82</v>
      </c>
      <c r="M105" s="676">
        <v>-56105.72</v>
      </c>
      <c r="N105" s="676">
        <v>-61630.54</v>
      </c>
      <c r="O105" s="676">
        <v>-72130.33</v>
      </c>
      <c r="P105" s="676">
        <v>-89524.45</v>
      </c>
      <c r="Q105" s="676">
        <v>-98226.01</v>
      </c>
      <c r="R105" s="676">
        <v>-105119.37</v>
      </c>
      <c r="S105" s="551">
        <f t="shared" si="31"/>
        <v>-53635.724999999999</v>
      </c>
      <c r="T105" s="677"/>
      <c r="U105" s="716">
        <f t="shared" si="29"/>
        <v>-53635.724999999999</v>
      </c>
      <c r="V105" s="755"/>
      <c r="W105" s="755"/>
      <c r="X105" s="778"/>
      <c r="Y105" s="755"/>
      <c r="Z105" s="755"/>
      <c r="AA105" s="716"/>
      <c r="AB105" s="755"/>
      <c r="AC105" s="717"/>
      <c r="AD105" s="718">
        <f t="shared" si="30"/>
        <v>-53635.724999999999</v>
      </c>
      <c r="AE105" s="717"/>
      <c r="AF105" s="753">
        <f t="shared" si="25"/>
        <v>0</v>
      </c>
    </row>
    <row r="106" spans="1:32">
      <c r="A106" s="677">
        <v>93</v>
      </c>
      <c r="B106" s="379" t="s">
        <v>984</v>
      </c>
      <c r="C106" s="379" t="s">
        <v>442</v>
      </c>
      <c r="D106" s="379" t="s">
        <v>989</v>
      </c>
      <c r="E106" s="675" t="s">
        <v>1527</v>
      </c>
      <c r="F106" s="676">
        <v>-420596.92</v>
      </c>
      <c r="G106" s="676">
        <v>-21507.34</v>
      </c>
      <c r="H106" s="676">
        <v>-43443.11</v>
      </c>
      <c r="I106" s="676">
        <v>-59322.21</v>
      </c>
      <c r="J106" s="676">
        <v>-74592.69</v>
      </c>
      <c r="K106" s="676">
        <v>-89640.48</v>
      </c>
      <c r="L106" s="676">
        <v>-101404.6</v>
      </c>
      <c r="M106" s="676">
        <v>-124327.71</v>
      </c>
      <c r="N106" s="676">
        <v>-139121.70000000001</v>
      </c>
      <c r="O106" s="676">
        <v>-160352.97</v>
      </c>
      <c r="P106" s="676">
        <v>-203725.22</v>
      </c>
      <c r="Q106" s="676">
        <v>-225037.69</v>
      </c>
      <c r="R106" s="676">
        <v>-247474.88</v>
      </c>
      <c r="S106" s="551">
        <f t="shared" si="31"/>
        <v>-131375.96833333335</v>
      </c>
      <c r="T106" s="677"/>
      <c r="U106" s="716">
        <f t="shared" si="29"/>
        <v>-131375.96833333335</v>
      </c>
      <c r="V106" s="755"/>
      <c r="W106" s="755"/>
      <c r="X106" s="778"/>
      <c r="Y106" s="755"/>
      <c r="Z106" s="755"/>
      <c r="AA106" s="716"/>
      <c r="AB106" s="755"/>
      <c r="AC106" s="717"/>
      <c r="AD106" s="718">
        <f t="shared" si="30"/>
        <v>-131375.96833333335</v>
      </c>
      <c r="AE106" s="717"/>
      <c r="AF106" s="753">
        <f t="shared" si="25"/>
        <v>0</v>
      </c>
    </row>
    <row r="107" spans="1:32">
      <c r="A107" s="677">
        <v>94</v>
      </c>
      <c r="B107" s="379" t="s">
        <v>1009</v>
      </c>
      <c r="C107" s="379" t="s">
        <v>442</v>
      </c>
      <c r="D107" s="379" t="s">
        <v>1143</v>
      </c>
      <c r="E107" s="675" t="s">
        <v>1528</v>
      </c>
      <c r="F107" s="676">
        <v>-175003.87</v>
      </c>
      <c r="G107" s="676">
        <v>-38111.449999999997</v>
      </c>
      <c r="H107" s="676">
        <v>-39869.29</v>
      </c>
      <c r="I107" s="676">
        <v>-61466.66</v>
      </c>
      <c r="J107" s="676">
        <v>-40298.74</v>
      </c>
      <c r="K107" s="676">
        <v>-59310.23</v>
      </c>
      <c r="L107" s="676">
        <v>-56447.34</v>
      </c>
      <c r="M107" s="676">
        <v>-92652.3</v>
      </c>
      <c r="N107" s="676">
        <v>-117529.4</v>
      </c>
      <c r="O107" s="676">
        <v>-142688.54</v>
      </c>
      <c r="P107" s="676">
        <v>-162904.01</v>
      </c>
      <c r="Q107" s="676">
        <v>-191713.73</v>
      </c>
      <c r="R107" s="676">
        <v>-223987.58</v>
      </c>
      <c r="S107" s="551">
        <f t="shared" si="31"/>
        <v>-100207.28458333334</v>
      </c>
      <c r="T107" s="677"/>
      <c r="U107" s="716">
        <f t="shared" si="29"/>
        <v>-100207.28458333334</v>
      </c>
      <c r="V107" s="755"/>
      <c r="W107" s="755"/>
      <c r="X107" s="778"/>
      <c r="Y107" s="755"/>
      <c r="Z107" s="755"/>
      <c r="AA107" s="716"/>
      <c r="AB107" s="755"/>
      <c r="AC107" s="717"/>
      <c r="AD107" s="718">
        <f t="shared" si="30"/>
        <v>-100207.28458333334</v>
      </c>
      <c r="AE107" s="717"/>
      <c r="AF107" s="753">
        <f t="shared" si="25"/>
        <v>0</v>
      </c>
    </row>
    <row r="108" spans="1:32">
      <c r="A108" s="677">
        <v>95</v>
      </c>
      <c r="B108" s="379" t="s">
        <v>984</v>
      </c>
      <c r="C108" s="379" t="s">
        <v>442</v>
      </c>
      <c r="D108" s="379" t="s">
        <v>1143</v>
      </c>
      <c r="E108" s="675" t="s">
        <v>1528</v>
      </c>
      <c r="F108" s="676">
        <v>-678722.01</v>
      </c>
      <c r="G108" s="676">
        <v>-145961.84</v>
      </c>
      <c r="H108" s="676">
        <v>-177647.74</v>
      </c>
      <c r="I108" s="676">
        <v>-269231.44</v>
      </c>
      <c r="J108" s="676">
        <v>-215433.89</v>
      </c>
      <c r="K108" s="676">
        <v>-225081.71</v>
      </c>
      <c r="L108" s="676">
        <v>-269526.67</v>
      </c>
      <c r="M108" s="676">
        <v>-402230.81</v>
      </c>
      <c r="N108" s="676">
        <v>-482900.77</v>
      </c>
      <c r="O108" s="676">
        <v>-593285.81000000006</v>
      </c>
      <c r="P108" s="676">
        <v>-682880.71</v>
      </c>
      <c r="Q108" s="676">
        <v>-802882.52</v>
      </c>
      <c r="R108" s="676">
        <v>-950124.39</v>
      </c>
      <c r="S108" s="551">
        <f t="shared" si="31"/>
        <v>-423457.25916666671</v>
      </c>
      <c r="T108" s="677"/>
      <c r="U108" s="716">
        <f t="shared" si="29"/>
        <v>-423457.25916666671</v>
      </c>
      <c r="V108" s="755"/>
      <c r="W108" s="755"/>
      <c r="X108" s="778"/>
      <c r="Y108" s="755"/>
      <c r="Z108" s="755"/>
      <c r="AA108" s="716"/>
      <c r="AB108" s="755"/>
      <c r="AC108" s="717"/>
      <c r="AD108" s="718">
        <f t="shared" si="30"/>
        <v>-423457.25916666671</v>
      </c>
      <c r="AE108" s="717"/>
      <c r="AF108" s="753">
        <f t="shared" si="25"/>
        <v>0</v>
      </c>
    </row>
    <row r="109" spans="1:32">
      <c r="A109" s="677">
        <v>96</v>
      </c>
      <c r="B109" s="379" t="s">
        <v>1009</v>
      </c>
      <c r="C109" s="379" t="s">
        <v>443</v>
      </c>
      <c r="D109" s="379" t="s">
        <v>731</v>
      </c>
      <c r="E109" s="675" t="s">
        <v>1529</v>
      </c>
      <c r="F109" s="676">
        <v>-9984</v>
      </c>
      <c r="G109" s="676">
        <v>-10060</v>
      </c>
      <c r="H109" s="676">
        <v>-10060</v>
      </c>
      <c r="I109" s="676">
        <v>-10060</v>
      </c>
      <c r="J109" s="676">
        <v>-10060</v>
      </c>
      <c r="K109" s="676">
        <v>-10060</v>
      </c>
      <c r="L109" s="676">
        <v>-10060</v>
      </c>
      <c r="M109" s="676">
        <v>-10060</v>
      </c>
      <c r="N109" s="676">
        <v>-10060</v>
      </c>
      <c r="O109" s="676">
        <v>-10060</v>
      </c>
      <c r="P109" s="676">
        <v>-10060</v>
      </c>
      <c r="Q109" s="676">
        <v>-10060</v>
      </c>
      <c r="R109" s="676">
        <v>-10060</v>
      </c>
      <c r="S109" s="551">
        <f t="shared" si="31"/>
        <v>-10056.833333333334</v>
      </c>
      <c r="T109" s="677"/>
      <c r="U109" s="716">
        <f t="shared" si="29"/>
        <v>-10056.833333333334</v>
      </c>
      <c r="V109" s="755"/>
      <c r="W109" s="755"/>
      <c r="X109" s="778"/>
      <c r="Y109" s="755"/>
      <c r="Z109" s="755"/>
      <c r="AA109" s="716"/>
      <c r="AB109" s="755"/>
      <c r="AC109" s="717"/>
      <c r="AD109" s="718">
        <f t="shared" si="30"/>
        <v>-10056.833333333334</v>
      </c>
      <c r="AE109" s="717"/>
      <c r="AF109" s="753">
        <f t="shared" si="25"/>
        <v>0</v>
      </c>
    </row>
    <row r="110" spans="1:32">
      <c r="A110" s="677">
        <v>97</v>
      </c>
      <c r="B110" s="379" t="s">
        <v>984</v>
      </c>
      <c r="C110" s="379" t="s">
        <v>443</v>
      </c>
      <c r="D110" s="379" t="s">
        <v>731</v>
      </c>
      <c r="E110" s="675" t="s">
        <v>1529</v>
      </c>
      <c r="F110" s="676">
        <v>-30016</v>
      </c>
      <c r="G110" s="676">
        <v>-29940</v>
      </c>
      <c r="H110" s="676">
        <v>-29940</v>
      </c>
      <c r="I110" s="676">
        <v>-29940</v>
      </c>
      <c r="J110" s="676">
        <v>-29940</v>
      </c>
      <c r="K110" s="676">
        <v>-29940</v>
      </c>
      <c r="L110" s="676">
        <v>-29940</v>
      </c>
      <c r="M110" s="676">
        <v>-29940</v>
      </c>
      <c r="N110" s="676">
        <v>-29940</v>
      </c>
      <c r="O110" s="676">
        <v>-29940</v>
      </c>
      <c r="P110" s="676">
        <v>-29940</v>
      </c>
      <c r="Q110" s="676">
        <v>-29940</v>
      </c>
      <c r="R110" s="676">
        <v>-29940</v>
      </c>
      <c r="S110" s="551">
        <f t="shared" si="31"/>
        <v>-29943.166666666668</v>
      </c>
      <c r="T110" s="677"/>
      <c r="U110" s="716">
        <f t="shared" si="29"/>
        <v>-29943.166666666668</v>
      </c>
      <c r="V110" s="755"/>
      <c r="W110" s="755"/>
      <c r="X110" s="778"/>
      <c r="Y110" s="755"/>
      <c r="Z110" s="755"/>
      <c r="AA110" s="716"/>
      <c r="AB110" s="755"/>
      <c r="AC110" s="717"/>
      <c r="AD110" s="718">
        <f t="shared" si="30"/>
        <v>-29943.166666666668</v>
      </c>
      <c r="AE110" s="717"/>
      <c r="AF110" s="753">
        <f t="shared" si="25"/>
        <v>0</v>
      </c>
    </row>
    <row r="111" spans="1:32">
      <c r="A111" s="677">
        <v>98</v>
      </c>
      <c r="B111" s="379" t="s">
        <v>1009</v>
      </c>
      <c r="C111" s="379" t="s">
        <v>443</v>
      </c>
      <c r="D111" s="379" t="s">
        <v>1142</v>
      </c>
      <c r="E111" s="675" t="s">
        <v>1531</v>
      </c>
      <c r="F111" s="676">
        <v>0</v>
      </c>
      <c r="G111" s="676">
        <v>0</v>
      </c>
      <c r="H111" s="676">
        <v>0</v>
      </c>
      <c r="I111" s="676">
        <v>0</v>
      </c>
      <c r="J111" s="676">
        <v>0</v>
      </c>
      <c r="K111" s="676">
        <v>0</v>
      </c>
      <c r="L111" s="676">
        <v>0</v>
      </c>
      <c r="M111" s="676">
        <v>0</v>
      </c>
      <c r="N111" s="676">
        <v>0</v>
      </c>
      <c r="O111" s="676">
        <v>0</v>
      </c>
      <c r="P111" s="676">
        <v>0</v>
      </c>
      <c r="Q111" s="676">
        <v>0</v>
      </c>
      <c r="R111" s="676">
        <v>0</v>
      </c>
      <c r="S111" s="551">
        <f>((F111+R111)+((G111+H111+I111+J111+K111+L111+M111+N111+O111+P111+Q111)*2))/24</f>
        <v>0</v>
      </c>
      <c r="T111" s="677"/>
      <c r="U111" s="716">
        <f t="shared" si="29"/>
        <v>0</v>
      </c>
      <c r="V111" s="755"/>
      <c r="W111" s="755"/>
      <c r="X111" s="778"/>
      <c r="Y111" s="755"/>
      <c r="Z111" s="755"/>
      <c r="AA111" s="716"/>
      <c r="AB111" s="755"/>
      <c r="AC111" s="717"/>
      <c r="AD111" s="718">
        <f t="shared" si="30"/>
        <v>0</v>
      </c>
      <c r="AE111" s="717"/>
      <c r="AF111" s="753">
        <f t="shared" si="25"/>
        <v>0</v>
      </c>
    </row>
    <row r="112" spans="1:32">
      <c r="A112" s="677">
        <v>99</v>
      </c>
      <c r="B112" s="379" t="s">
        <v>984</v>
      </c>
      <c r="C112" s="379" t="s">
        <v>443</v>
      </c>
      <c r="D112" s="379" t="s">
        <v>1142</v>
      </c>
      <c r="E112" s="675" t="s">
        <v>1531</v>
      </c>
      <c r="F112" s="676">
        <v>0</v>
      </c>
      <c r="G112" s="676">
        <v>0</v>
      </c>
      <c r="H112" s="676">
        <v>0</v>
      </c>
      <c r="I112" s="676">
        <v>0</v>
      </c>
      <c r="J112" s="676">
        <v>0</v>
      </c>
      <c r="K112" s="676">
        <v>182.61</v>
      </c>
      <c r="L112" s="676">
        <v>1543.52</v>
      </c>
      <c r="M112" s="676">
        <v>1543.52</v>
      </c>
      <c r="N112" s="676">
        <v>1543.52</v>
      </c>
      <c r="O112" s="676">
        <v>21528.560000000001</v>
      </c>
      <c r="P112" s="676">
        <v>21528.560000000001</v>
      </c>
      <c r="Q112" s="676">
        <v>21528.560000000001</v>
      </c>
      <c r="R112" s="676">
        <v>21528.560000000001</v>
      </c>
      <c r="S112" s="551">
        <f t="shared" si="31"/>
        <v>6680.2608333333337</v>
      </c>
      <c r="T112" s="677"/>
      <c r="U112" s="716">
        <f t="shared" si="29"/>
        <v>6680.2608333333337</v>
      </c>
      <c r="V112" s="755"/>
      <c r="W112" s="755"/>
      <c r="X112" s="778"/>
      <c r="Y112" s="755"/>
      <c r="Z112" s="755"/>
      <c r="AA112" s="716"/>
      <c r="AB112" s="755"/>
      <c r="AC112" s="717"/>
      <c r="AD112" s="718">
        <f t="shared" si="30"/>
        <v>6680.2608333333337</v>
      </c>
      <c r="AE112" s="717"/>
      <c r="AF112" s="753">
        <f t="shared" si="25"/>
        <v>0</v>
      </c>
    </row>
    <row r="113" spans="1:32">
      <c r="A113" s="677">
        <v>100</v>
      </c>
      <c r="B113" s="379" t="s">
        <v>984</v>
      </c>
      <c r="C113" s="379" t="s">
        <v>443</v>
      </c>
      <c r="D113" s="379" t="s">
        <v>989</v>
      </c>
      <c r="E113" s="675" t="s">
        <v>1532</v>
      </c>
      <c r="F113" s="676">
        <v>0</v>
      </c>
      <c r="G113" s="676">
        <v>0</v>
      </c>
      <c r="H113" s="676">
        <v>0</v>
      </c>
      <c r="I113" s="676">
        <v>0</v>
      </c>
      <c r="J113" s="676">
        <v>0</v>
      </c>
      <c r="K113" s="676">
        <v>0</v>
      </c>
      <c r="L113" s="676">
        <v>0</v>
      </c>
      <c r="M113" s="676">
        <v>0</v>
      </c>
      <c r="N113" s="676">
        <v>0</v>
      </c>
      <c r="O113" s="676">
        <v>0</v>
      </c>
      <c r="P113" s="676">
        <v>0</v>
      </c>
      <c r="Q113" s="676">
        <v>0</v>
      </c>
      <c r="R113" s="676">
        <v>0</v>
      </c>
      <c r="S113" s="551">
        <f t="shared" si="31"/>
        <v>0</v>
      </c>
      <c r="T113" s="677"/>
      <c r="U113" s="716">
        <f t="shared" si="29"/>
        <v>0</v>
      </c>
      <c r="V113" s="755"/>
      <c r="W113" s="755"/>
      <c r="X113" s="778"/>
      <c r="Y113" s="755"/>
      <c r="Z113" s="755"/>
      <c r="AA113" s="716"/>
      <c r="AB113" s="755"/>
      <c r="AC113" s="717"/>
      <c r="AD113" s="718">
        <f t="shared" si="30"/>
        <v>0</v>
      </c>
      <c r="AE113" s="717"/>
      <c r="AF113" s="753">
        <f t="shared" si="25"/>
        <v>0</v>
      </c>
    </row>
    <row r="114" spans="1:32">
      <c r="A114" s="677">
        <v>101</v>
      </c>
      <c r="B114" s="379" t="s">
        <v>1009</v>
      </c>
      <c r="C114" s="379" t="s">
        <v>443</v>
      </c>
      <c r="D114" s="379" t="s">
        <v>1143</v>
      </c>
      <c r="E114" s="675" t="s">
        <v>1530</v>
      </c>
      <c r="F114" s="676">
        <v>-76</v>
      </c>
      <c r="G114" s="676">
        <v>0</v>
      </c>
      <c r="H114" s="676">
        <v>0</v>
      </c>
      <c r="I114" s="676">
        <v>0</v>
      </c>
      <c r="J114" s="676">
        <v>0</v>
      </c>
      <c r="K114" s="676">
        <v>0</v>
      </c>
      <c r="L114" s="676">
        <v>0</v>
      </c>
      <c r="M114" s="676">
        <v>0</v>
      </c>
      <c r="N114" s="676">
        <v>0</v>
      </c>
      <c r="O114" s="676">
        <v>0</v>
      </c>
      <c r="P114" s="676">
        <v>0</v>
      </c>
      <c r="Q114" s="676">
        <v>0</v>
      </c>
      <c r="R114" s="676">
        <v>2611</v>
      </c>
      <c r="S114" s="551">
        <f t="shared" si="31"/>
        <v>105.625</v>
      </c>
      <c r="T114" s="677"/>
      <c r="U114" s="716">
        <f t="shared" si="29"/>
        <v>105.625</v>
      </c>
      <c r="V114" s="755"/>
      <c r="W114" s="755"/>
      <c r="X114" s="778"/>
      <c r="Y114" s="755"/>
      <c r="Z114" s="755"/>
      <c r="AA114" s="716"/>
      <c r="AB114" s="755"/>
      <c r="AC114" s="717"/>
      <c r="AD114" s="718">
        <f t="shared" si="30"/>
        <v>105.625</v>
      </c>
      <c r="AE114" s="717"/>
      <c r="AF114" s="753">
        <f t="shared" si="25"/>
        <v>0</v>
      </c>
    </row>
    <row r="115" spans="1:32">
      <c r="A115" s="677">
        <v>102</v>
      </c>
      <c r="B115" s="379" t="s">
        <v>984</v>
      </c>
      <c r="C115" s="379" t="s">
        <v>443</v>
      </c>
      <c r="D115" s="379" t="s">
        <v>1143</v>
      </c>
      <c r="E115" s="675" t="s">
        <v>1530</v>
      </c>
      <c r="F115" s="676">
        <v>76</v>
      </c>
      <c r="G115" s="676">
        <v>0</v>
      </c>
      <c r="H115" s="676">
        <v>0</v>
      </c>
      <c r="I115" s="676">
        <v>0</v>
      </c>
      <c r="J115" s="676">
        <v>0</v>
      </c>
      <c r="K115" s="676">
        <v>0</v>
      </c>
      <c r="L115" s="676">
        <v>0</v>
      </c>
      <c r="M115" s="676">
        <v>0</v>
      </c>
      <c r="N115" s="676">
        <v>0</v>
      </c>
      <c r="O115" s="676">
        <v>0</v>
      </c>
      <c r="P115" s="676">
        <v>0</v>
      </c>
      <c r="Q115" s="676">
        <v>0</v>
      </c>
      <c r="R115" s="676">
        <v>-14139.56</v>
      </c>
      <c r="S115" s="551">
        <f>((F115+R115)+((G115+H115+I115+J115+K115+L115+M115+N115+O115+P115+Q115)*2))/24</f>
        <v>-585.98166666666668</v>
      </c>
      <c r="T115" s="677"/>
      <c r="U115" s="716">
        <f t="shared" si="29"/>
        <v>-585.98166666666668</v>
      </c>
      <c r="V115" s="755"/>
      <c r="W115" s="755"/>
      <c r="X115" s="778"/>
      <c r="Y115" s="755"/>
      <c r="Z115" s="755"/>
      <c r="AA115" s="716"/>
      <c r="AB115" s="755"/>
      <c r="AC115" s="717"/>
      <c r="AD115" s="718">
        <f t="shared" si="30"/>
        <v>-585.98166666666668</v>
      </c>
      <c r="AE115" s="717"/>
      <c r="AF115" s="753">
        <f t="shared" si="25"/>
        <v>0</v>
      </c>
    </row>
    <row r="116" spans="1:32">
      <c r="A116" s="677">
        <v>103</v>
      </c>
      <c r="B116" s="379" t="s">
        <v>981</v>
      </c>
      <c r="C116" s="379" t="s">
        <v>444</v>
      </c>
      <c r="D116" s="379" t="s">
        <v>731</v>
      </c>
      <c r="E116" s="675" t="s">
        <v>1521</v>
      </c>
      <c r="F116" s="676">
        <v>-20000</v>
      </c>
      <c r="G116" s="676">
        <v>-10000</v>
      </c>
      <c r="H116" s="676">
        <v>-10000</v>
      </c>
      <c r="I116" s="676">
        <v>-10000</v>
      </c>
      <c r="J116" s="676">
        <v>-10000</v>
      </c>
      <c r="K116" s="676">
        <v>-10000</v>
      </c>
      <c r="L116" s="676">
        <v>-10000</v>
      </c>
      <c r="M116" s="676">
        <v>-10000</v>
      </c>
      <c r="N116" s="676">
        <v>-10000</v>
      </c>
      <c r="O116" s="676">
        <v>-10000</v>
      </c>
      <c r="P116" s="676">
        <v>-10000</v>
      </c>
      <c r="Q116" s="676">
        <v>-10000</v>
      </c>
      <c r="R116" s="676">
        <v>-10000</v>
      </c>
      <c r="S116" s="551">
        <f>((F116+R116)+((G116+H116+I116+J116+K116+L116+M116+N116+O116+P116+Q116)*2))/24</f>
        <v>-10416.666666666666</v>
      </c>
      <c r="T116" s="677"/>
      <c r="U116" s="716">
        <f t="shared" si="29"/>
        <v>-10416.666666666666</v>
      </c>
      <c r="V116" s="755"/>
      <c r="W116" s="755"/>
      <c r="X116" s="778"/>
      <c r="Y116" s="755"/>
      <c r="Z116" s="755"/>
      <c r="AA116" s="716"/>
      <c r="AB116" s="755"/>
      <c r="AC116" s="717"/>
      <c r="AD116" s="718">
        <f t="shared" si="30"/>
        <v>-10416.666666666666</v>
      </c>
      <c r="AE116" s="717"/>
      <c r="AF116" s="753">
        <f t="shared" si="25"/>
        <v>0</v>
      </c>
    </row>
    <row r="117" spans="1:32">
      <c r="A117" s="677">
        <v>104</v>
      </c>
      <c r="B117" s="379" t="s">
        <v>981</v>
      </c>
      <c r="C117" s="379" t="s">
        <v>444</v>
      </c>
      <c r="D117" s="379" t="s">
        <v>1142</v>
      </c>
      <c r="E117" s="675" t="s">
        <v>1522</v>
      </c>
      <c r="F117" s="676">
        <v>32877.919999999998</v>
      </c>
      <c r="G117" s="676">
        <v>1003.22</v>
      </c>
      <c r="H117" s="676">
        <v>1003.22</v>
      </c>
      <c r="I117" s="676">
        <v>1708.18</v>
      </c>
      <c r="J117" s="676">
        <v>1708.18</v>
      </c>
      <c r="K117" s="676">
        <v>3677.61</v>
      </c>
      <c r="L117" s="676">
        <v>25095.45</v>
      </c>
      <c r="M117" s="676">
        <v>25095.45</v>
      </c>
      <c r="N117" s="676">
        <v>25095.45</v>
      </c>
      <c r="O117" s="676">
        <v>31605.26</v>
      </c>
      <c r="P117" s="676">
        <v>31605.26</v>
      </c>
      <c r="Q117" s="676">
        <v>34847.89</v>
      </c>
      <c r="R117" s="676">
        <v>34847.89</v>
      </c>
      <c r="S117" s="551">
        <f>((F117+R117)+((G117+H117+I117+J117+K117+L117+M117+N117+O117+P117+Q117)*2))/24</f>
        <v>18025.672916666666</v>
      </c>
      <c r="T117" s="677"/>
      <c r="U117" s="716">
        <f t="shared" si="29"/>
        <v>18025.672916666666</v>
      </c>
      <c r="V117" s="755"/>
      <c r="W117" s="755"/>
      <c r="X117" s="778"/>
      <c r="Y117" s="755"/>
      <c r="Z117" s="755"/>
      <c r="AA117" s="716"/>
      <c r="AB117" s="755"/>
      <c r="AC117" s="717"/>
      <c r="AD117" s="718">
        <f t="shared" si="30"/>
        <v>18025.672916666666</v>
      </c>
      <c r="AE117" s="717"/>
      <c r="AF117" s="753">
        <f t="shared" si="25"/>
        <v>0</v>
      </c>
    </row>
    <row r="118" spans="1:32">
      <c r="A118" s="677">
        <v>105</v>
      </c>
      <c r="B118" s="379" t="s">
        <v>981</v>
      </c>
      <c r="C118" s="379" t="s">
        <v>444</v>
      </c>
      <c r="D118" s="379" t="s">
        <v>989</v>
      </c>
      <c r="E118" s="675" t="s">
        <v>1523</v>
      </c>
      <c r="F118" s="676">
        <v>-916.75</v>
      </c>
      <c r="G118" s="676">
        <v>0</v>
      </c>
      <c r="H118" s="676">
        <v>0</v>
      </c>
      <c r="I118" s="676">
        <v>0</v>
      </c>
      <c r="J118" s="676">
        <v>0</v>
      </c>
      <c r="K118" s="676">
        <v>0</v>
      </c>
      <c r="L118" s="676">
        <v>0</v>
      </c>
      <c r="M118" s="676">
        <v>0</v>
      </c>
      <c r="N118" s="676">
        <v>0</v>
      </c>
      <c r="O118" s="676">
        <v>0</v>
      </c>
      <c r="P118" s="676">
        <v>0</v>
      </c>
      <c r="Q118" s="676">
        <v>0</v>
      </c>
      <c r="R118" s="676">
        <v>0</v>
      </c>
      <c r="S118" s="551">
        <f>((F118+R118)+((G118+H118+I118+J118+K118+L118+M118+N118+O118+P118+Q118)*2))/24</f>
        <v>-38.197916666666664</v>
      </c>
      <c r="T118" s="677"/>
      <c r="U118" s="716">
        <f t="shared" si="29"/>
        <v>-38.197916666666664</v>
      </c>
      <c r="V118" s="755"/>
      <c r="W118" s="755"/>
      <c r="X118" s="778"/>
      <c r="Y118" s="755"/>
      <c r="Z118" s="755"/>
      <c r="AA118" s="716"/>
      <c r="AB118" s="755"/>
      <c r="AC118" s="717"/>
      <c r="AD118" s="718">
        <f t="shared" si="30"/>
        <v>-38.197916666666664</v>
      </c>
      <c r="AE118" s="717"/>
      <c r="AF118" s="753">
        <f t="shared" si="25"/>
        <v>0</v>
      </c>
    </row>
    <row r="119" spans="1:32">
      <c r="A119" s="677">
        <v>106</v>
      </c>
      <c r="B119" s="379" t="s">
        <v>981</v>
      </c>
      <c r="C119" s="379" t="s">
        <v>444</v>
      </c>
      <c r="D119" s="379" t="s">
        <v>1143</v>
      </c>
      <c r="E119" s="675" t="s">
        <v>1524</v>
      </c>
      <c r="F119" s="366">
        <v>-21961.17</v>
      </c>
      <c r="G119" s="366">
        <v>0</v>
      </c>
      <c r="H119" s="366">
        <v>0</v>
      </c>
      <c r="I119" s="366">
        <v>0</v>
      </c>
      <c r="J119" s="366">
        <v>0</v>
      </c>
      <c r="K119" s="366">
        <v>0</v>
      </c>
      <c r="L119" s="366">
        <v>-30095.45</v>
      </c>
      <c r="M119" s="366">
        <v>-30095.45</v>
      </c>
      <c r="N119" s="366">
        <v>-30095.45</v>
      </c>
      <c r="O119" s="366">
        <v>-30095.45</v>
      </c>
      <c r="P119" s="366">
        <v>-30095.45</v>
      </c>
      <c r="Q119" s="366">
        <v>-30095.45</v>
      </c>
      <c r="R119" s="366">
        <v>-39847.89</v>
      </c>
      <c r="S119" s="552">
        <f>((F119+R119)+((G119+H119+I119+J119+K119+L119+M119+N119+O119+P119+Q119)*2))/24</f>
        <v>-17623.102500000001</v>
      </c>
      <c r="T119" s="677"/>
      <c r="U119" s="716">
        <f t="shared" si="29"/>
        <v>-17623.102500000001</v>
      </c>
      <c r="V119" s="755"/>
      <c r="W119" s="755"/>
      <c r="X119" s="778"/>
      <c r="Y119" s="755"/>
      <c r="Z119" s="755"/>
      <c r="AA119" s="716"/>
      <c r="AB119" s="755"/>
      <c r="AC119" s="717"/>
      <c r="AD119" s="718">
        <f t="shared" si="30"/>
        <v>-17623.102500000001</v>
      </c>
      <c r="AE119" s="717"/>
      <c r="AF119" s="753">
        <f t="shared" si="25"/>
        <v>0</v>
      </c>
    </row>
    <row r="120" spans="1:32">
      <c r="A120" s="677">
        <v>107</v>
      </c>
      <c r="B120" s="677"/>
      <c r="C120" s="677"/>
      <c r="D120" s="677"/>
      <c r="E120" s="662" t="s">
        <v>445</v>
      </c>
      <c r="F120" s="674">
        <f t="shared" ref="F120:S120" si="32">SUM(F101:F119)</f>
        <v>-460921.83999999991</v>
      </c>
      <c r="G120" s="674">
        <f t="shared" si="32"/>
        <v>-610186.48999999987</v>
      </c>
      <c r="H120" s="674">
        <f t="shared" si="32"/>
        <v>-627038.93999999983</v>
      </c>
      <c r="I120" s="674">
        <f t="shared" si="32"/>
        <v>-726091.9</v>
      </c>
      <c r="J120" s="674">
        <f t="shared" si="32"/>
        <v>-585279.48</v>
      </c>
      <c r="K120" s="674">
        <f t="shared" si="32"/>
        <v>-511404.44000000006</v>
      </c>
      <c r="L120" s="674">
        <f t="shared" si="32"/>
        <v>-466440.58</v>
      </c>
      <c r="M120" s="674">
        <f t="shared" si="32"/>
        <v>-401582.64999999997</v>
      </c>
      <c r="N120" s="674">
        <f t="shared" si="32"/>
        <v>-333317.52</v>
      </c>
      <c r="O120" s="674">
        <f t="shared" si="32"/>
        <v>-298509</v>
      </c>
      <c r="P120" s="674">
        <f t="shared" si="32"/>
        <v>-297492.52999999991</v>
      </c>
      <c r="Q120" s="674">
        <f t="shared" si="32"/>
        <v>-362248.74</v>
      </c>
      <c r="R120" s="674">
        <f t="shared" si="32"/>
        <v>-513355.16000000015</v>
      </c>
      <c r="S120" s="554">
        <f t="shared" si="32"/>
        <v>-475560.8975000002</v>
      </c>
      <c r="T120" s="677"/>
      <c r="U120" s="716"/>
      <c r="V120" s="755"/>
      <c r="W120" s="755"/>
      <c r="X120" s="778"/>
      <c r="Y120" s="755"/>
      <c r="Z120" s="755"/>
      <c r="AA120" s="716"/>
      <c r="AB120" s="755"/>
      <c r="AC120" s="717"/>
      <c r="AD120" s="717"/>
      <c r="AE120" s="717"/>
      <c r="AF120" s="753">
        <f t="shared" si="25"/>
        <v>0</v>
      </c>
    </row>
    <row r="121" spans="1:32">
      <c r="A121" s="677">
        <v>108</v>
      </c>
      <c r="B121" s="677"/>
      <c r="C121" s="677"/>
      <c r="D121" s="677"/>
      <c r="E121" s="662"/>
      <c r="F121" s="359"/>
      <c r="G121" s="359"/>
      <c r="H121" s="359"/>
      <c r="I121" s="359"/>
      <c r="J121" s="359"/>
      <c r="K121" s="359"/>
      <c r="L121" s="359"/>
      <c r="M121" s="359"/>
      <c r="N121" s="359"/>
      <c r="O121" s="359"/>
      <c r="P121" s="359"/>
      <c r="Q121" s="359"/>
      <c r="R121" s="359"/>
      <c r="S121" s="357"/>
      <c r="T121" s="677"/>
      <c r="U121" s="716"/>
      <c r="V121" s="755"/>
      <c r="W121" s="755"/>
      <c r="X121" s="778"/>
      <c r="Y121" s="755"/>
      <c r="Z121" s="755"/>
      <c r="AA121" s="716"/>
      <c r="AB121" s="755"/>
      <c r="AC121" s="717"/>
      <c r="AD121" s="717"/>
      <c r="AE121" s="717"/>
      <c r="AF121" s="753">
        <f t="shared" si="25"/>
        <v>0</v>
      </c>
    </row>
    <row r="122" spans="1:32">
      <c r="A122" s="677">
        <v>109</v>
      </c>
      <c r="B122" s="677"/>
      <c r="C122" s="677"/>
      <c r="D122" s="677"/>
      <c r="E122" s="662" t="s">
        <v>446</v>
      </c>
      <c r="F122" s="358">
        <f t="shared" ref="F122:S122" si="33">+F99+F120</f>
        <v>19454771.420000002</v>
      </c>
      <c r="G122" s="358">
        <f t="shared" si="33"/>
        <v>31452725.970000006</v>
      </c>
      <c r="H122" s="358">
        <f t="shared" si="33"/>
        <v>32145692.82</v>
      </c>
      <c r="I122" s="358">
        <f t="shared" si="33"/>
        <v>25437974.91</v>
      </c>
      <c r="J122" s="358">
        <f t="shared" si="33"/>
        <v>26976293.09</v>
      </c>
      <c r="K122" s="358">
        <f t="shared" si="33"/>
        <v>21363335.059999999</v>
      </c>
      <c r="L122" s="358">
        <f t="shared" si="33"/>
        <v>19195364.800000004</v>
      </c>
      <c r="M122" s="358">
        <f t="shared" si="33"/>
        <v>18819688.880000003</v>
      </c>
      <c r="N122" s="358">
        <f t="shared" si="33"/>
        <v>19801598.75</v>
      </c>
      <c r="O122" s="358">
        <f t="shared" si="33"/>
        <v>17768632.969999999</v>
      </c>
      <c r="P122" s="358">
        <f t="shared" si="33"/>
        <v>21197070.489999998</v>
      </c>
      <c r="Q122" s="358">
        <f t="shared" si="33"/>
        <v>22004153.749999996</v>
      </c>
      <c r="R122" s="358">
        <f t="shared" si="33"/>
        <v>26725781.710000001</v>
      </c>
      <c r="S122" s="553">
        <f t="shared" si="33"/>
        <v>23271067.337916665</v>
      </c>
      <c r="T122" s="677"/>
      <c r="U122" s="716"/>
      <c r="V122" s="755"/>
      <c r="W122" s="755"/>
      <c r="X122" s="778"/>
      <c r="Y122" s="755"/>
      <c r="Z122" s="755"/>
      <c r="AA122" s="716"/>
      <c r="AB122" s="755"/>
      <c r="AC122" s="717"/>
      <c r="AD122" s="717"/>
      <c r="AE122" s="717"/>
      <c r="AF122" s="753">
        <f t="shared" si="25"/>
        <v>0</v>
      </c>
    </row>
    <row r="123" spans="1:32">
      <c r="A123" s="677">
        <v>110</v>
      </c>
      <c r="B123" s="677"/>
      <c r="C123" s="677"/>
      <c r="D123" s="677"/>
      <c r="E123" s="662"/>
      <c r="F123" s="676"/>
      <c r="G123" s="367"/>
      <c r="H123" s="368"/>
      <c r="I123" s="368"/>
      <c r="J123" s="369"/>
      <c r="K123" s="370"/>
      <c r="L123" s="371"/>
      <c r="M123" s="372"/>
      <c r="N123" s="373"/>
      <c r="O123" s="663"/>
      <c r="P123" s="374"/>
      <c r="Q123" s="375"/>
      <c r="R123" s="676"/>
      <c r="S123" s="357"/>
      <c r="T123" s="677"/>
      <c r="U123" s="716"/>
      <c r="V123" s="755"/>
      <c r="W123" s="755"/>
      <c r="X123" s="778"/>
      <c r="Y123" s="755"/>
      <c r="Z123" s="755"/>
      <c r="AA123" s="716"/>
      <c r="AB123" s="755"/>
      <c r="AC123" s="717"/>
      <c r="AD123" s="717"/>
      <c r="AE123" s="717"/>
      <c r="AF123" s="753">
        <f t="shared" si="25"/>
        <v>0</v>
      </c>
    </row>
    <row r="124" spans="1:32">
      <c r="A124" s="677">
        <v>111</v>
      </c>
      <c r="B124" s="379" t="s">
        <v>981</v>
      </c>
      <c r="C124" s="379" t="s">
        <v>447</v>
      </c>
      <c r="D124" s="379" t="s">
        <v>631</v>
      </c>
      <c r="E124" s="675" t="s">
        <v>1533</v>
      </c>
      <c r="F124" s="676">
        <v>1148188.3600000001</v>
      </c>
      <c r="G124" s="676">
        <v>1066587.8600000001</v>
      </c>
      <c r="H124" s="676">
        <v>1095338.69</v>
      </c>
      <c r="I124" s="676">
        <v>1107745.56</v>
      </c>
      <c r="J124" s="676">
        <v>1038046.72</v>
      </c>
      <c r="K124" s="676">
        <v>1078038.79</v>
      </c>
      <c r="L124" s="676">
        <v>1054031.1299999999</v>
      </c>
      <c r="M124" s="676">
        <v>1071865.8899999999</v>
      </c>
      <c r="N124" s="676">
        <v>1036434.56</v>
      </c>
      <c r="O124" s="676">
        <v>985139.99</v>
      </c>
      <c r="P124" s="676">
        <v>1046597.64</v>
      </c>
      <c r="Q124" s="676">
        <v>1045860.97</v>
      </c>
      <c r="R124" s="676">
        <v>1079770.6299999999</v>
      </c>
      <c r="S124" s="551">
        <f>((F124+R124)+((G124+H124+I124+J124+K124+L124+M124+N124+O124+P124+Q124)*2))/24</f>
        <v>1061638.9412500001</v>
      </c>
      <c r="T124" s="677"/>
      <c r="U124" s="716">
        <f t="shared" ref="U124:U148" si="34">+S124</f>
        <v>1061638.9412500001</v>
      </c>
      <c r="V124" s="755"/>
      <c r="W124" s="755"/>
      <c r="X124" s="778"/>
      <c r="Y124" s="755"/>
      <c r="Z124" s="755"/>
      <c r="AA124" s="716"/>
      <c r="AB124" s="755"/>
      <c r="AC124" s="717"/>
      <c r="AD124" s="718">
        <f t="shared" ref="AD124:AD148" si="35">+U124</f>
        <v>1061638.9412500001</v>
      </c>
      <c r="AE124" s="717"/>
      <c r="AF124" s="753">
        <f t="shared" si="25"/>
        <v>0</v>
      </c>
    </row>
    <row r="125" spans="1:32">
      <c r="A125" s="677">
        <v>112</v>
      </c>
      <c r="B125" s="379" t="s">
        <v>1144</v>
      </c>
      <c r="C125" s="379" t="s">
        <v>447</v>
      </c>
      <c r="D125" s="379" t="s">
        <v>631</v>
      </c>
      <c r="E125" s="675" t="s">
        <v>1534</v>
      </c>
      <c r="F125" s="676">
        <v>286270.45</v>
      </c>
      <c r="G125" s="676">
        <v>296702.57</v>
      </c>
      <c r="H125" s="676">
        <v>296956.48</v>
      </c>
      <c r="I125" s="676">
        <v>311992.88</v>
      </c>
      <c r="J125" s="676">
        <v>313145.15999999997</v>
      </c>
      <c r="K125" s="676">
        <v>316290.89</v>
      </c>
      <c r="L125" s="676">
        <v>313205.25</v>
      </c>
      <c r="M125" s="676">
        <v>317461.34999999998</v>
      </c>
      <c r="N125" s="676">
        <v>310609.33</v>
      </c>
      <c r="O125" s="676">
        <v>314118.74</v>
      </c>
      <c r="P125" s="676">
        <v>367328.16</v>
      </c>
      <c r="Q125" s="676">
        <v>362816.84</v>
      </c>
      <c r="R125" s="676">
        <v>369715.35</v>
      </c>
      <c r="S125" s="551">
        <f t="shared" ref="S125:S142" si="36">((F125+R125)+((G125+H125+I125+J125+K125+L125+M125+N125+O125+P125+Q125)*2))/24</f>
        <v>320718.37916666671</v>
      </c>
      <c r="T125" s="677"/>
      <c r="U125" s="716">
        <f t="shared" si="34"/>
        <v>320718.37916666671</v>
      </c>
      <c r="V125" s="755"/>
      <c r="W125" s="755"/>
      <c r="X125" s="778"/>
      <c r="Y125" s="755"/>
      <c r="Z125" s="755"/>
      <c r="AA125" s="716"/>
      <c r="AB125" s="755"/>
      <c r="AC125" s="717"/>
      <c r="AD125" s="718">
        <f t="shared" si="35"/>
        <v>320718.37916666671</v>
      </c>
      <c r="AE125" s="717"/>
      <c r="AF125" s="753">
        <f t="shared" si="25"/>
        <v>0</v>
      </c>
    </row>
    <row r="126" spans="1:32">
      <c r="A126" s="677">
        <v>113</v>
      </c>
      <c r="B126" s="379" t="s">
        <v>1145</v>
      </c>
      <c r="C126" s="379" t="s">
        <v>447</v>
      </c>
      <c r="D126" s="379" t="s">
        <v>631</v>
      </c>
      <c r="E126" s="675" t="s">
        <v>1535</v>
      </c>
      <c r="F126" s="676">
        <v>565509.80000000005</v>
      </c>
      <c r="G126" s="676">
        <v>557942.81000000006</v>
      </c>
      <c r="H126" s="676">
        <v>529928.81999999995</v>
      </c>
      <c r="I126" s="676">
        <v>548886.77</v>
      </c>
      <c r="J126" s="676">
        <v>632294.38</v>
      </c>
      <c r="K126" s="676">
        <v>752330.31</v>
      </c>
      <c r="L126" s="676">
        <v>763438.39</v>
      </c>
      <c r="M126" s="676">
        <v>793373.22</v>
      </c>
      <c r="N126" s="676">
        <v>785538.39</v>
      </c>
      <c r="O126" s="676">
        <v>840933.18</v>
      </c>
      <c r="P126" s="676">
        <v>784135.39</v>
      </c>
      <c r="Q126" s="676">
        <v>823376.38</v>
      </c>
      <c r="R126" s="676">
        <v>759358.35</v>
      </c>
      <c r="S126" s="551">
        <f t="shared" si="36"/>
        <v>706217.6762499999</v>
      </c>
      <c r="T126" s="677"/>
      <c r="U126" s="716">
        <f t="shared" si="34"/>
        <v>706217.6762499999</v>
      </c>
      <c r="V126" s="755"/>
      <c r="W126" s="755"/>
      <c r="X126" s="778"/>
      <c r="Y126" s="755"/>
      <c r="Z126" s="755"/>
      <c r="AA126" s="716"/>
      <c r="AB126" s="755"/>
      <c r="AC126" s="717"/>
      <c r="AD126" s="718">
        <f t="shared" si="35"/>
        <v>706217.6762499999</v>
      </c>
      <c r="AE126" s="717"/>
      <c r="AF126" s="753">
        <f t="shared" si="25"/>
        <v>0</v>
      </c>
    </row>
    <row r="127" spans="1:32">
      <c r="A127" s="677">
        <v>114</v>
      </c>
      <c r="B127" s="379" t="s">
        <v>1146</v>
      </c>
      <c r="C127" s="379" t="s">
        <v>447</v>
      </c>
      <c r="D127" s="379" t="s">
        <v>631</v>
      </c>
      <c r="E127" s="675" t="s">
        <v>1536</v>
      </c>
      <c r="F127" s="676">
        <v>487398.36</v>
      </c>
      <c r="G127" s="676">
        <v>520148.81</v>
      </c>
      <c r="H127" s="676">
        <v>530813.31000000006</v>
      </c>
      <c r="I127" s="676">
        <v>528475.22</v>
      </c>
      <c r="J127" s="676">
        <v>522217.27</v>
      </c>
      <c r="K127" s="676">
        <v>513403.15</v>
      </c>
      <c r="L127" s="676">
        <v>490312.09</v>
      </c>
      <c r="M127" s="676">
        <v>558594.31000000006</v>
      </c>
      <c r="N127" s="676">
        <v>713660.09</v>
      </c>
      <c r="O127" s="676">
        <v>565130.98</v>
      </c>
      <c r="P127" s="676">
        <v>565532.80000000005</v>
      </c>
      <c r="Q127" s="676">
        <v>554393.81000000006</v>
      </c>
      <c r="R127" s="676">
        <v>555522.68999999994</v>
      </c>
      <c r="S127" s="551">
        <f t="shared" si="36"/>
        <v>548678.53041666665</v>
      </c>
      <c r="T127" s="677"/>
      <c r="U127" s="716">
        <f t="shared" si="34"/>
        <v>548678.53041666665</v>
      </c>
      <c r="V127" s="755"/>
      <c r="W127" s="755"/>
      <c r="X127" s="778"/>
      <c r="Y127" s="755"/>
      <c r="Z127" s="755"/>
      <c r="AA127" s="716"/>
      <c r="AB127" s="755"/>
      <c r="AC127" s="717"/>
      <c r="AD127" s="718">
        <f t="shared" si="35"/>
        <v>548678.53041666665</v>
      </c>
      <c r="AE127" s="717"/>
      <c r="AF127" s="753">
        <f t="shared" si="25"/>
        <v>0</v>
      </c>
    </row>
    <row r="128" spans="1:32">
      <c r="A128" s="677">
        <v>115</v>
      </c>
      <c r="B128" s="379" t="s">
        <v>1147</v>
      </c>
      <c r="C128" s="379" t="s">
        <v>447</v>
      </c>
      <c r="D128" s="379" t="s">
        <v>631</v>
      </c>
      <c r="E128" s="675" t="s">
        <v>1537</v>
      </c>
      <c r="F128" s="676">
        <v>407258.54</v>
      </c>
      <c r="G128" s="676">
        <v>422847.83</v>
      </c>
      <c r="H128" s="676">
        <v>439067.36</v>
      </c>
      <c r="I128" s="676">
        <v>431343.95</v>
      </c>
      <c r="J128" s="676">
        <v>463934.18</v>
      </c>
      <c r="K128" s="676">
        <v>471312.56</v>
      </c>
      <c r="L128" s="676">
        <v>485744.1</v>
      </c>
      <c r="M128" s="676">
        <v>450857.4</v>
      </c>
      <c r="N128" s="676">
        <v>463587.29</v>
      </c>
      <c r="O128" s="676">
        <v>474397.51</v>
      </c>
      <c r="P128" s="676">
        <v>475167.87</v>
      </c>
      <c r="Q128" s="676">
        <v>471439.59</v>
      </c>
      <c r="R128" s="676">
        <v>441378.52</v>
      </c>
      <c r="S128" s="551">
        <f t="shared" si="36"/>
        <v>456168.18083333335</v>
      </c>
      <c r="T128" s="677"/>
      <c r="U128" s="716">
        <f t="shared" si="34"/>
        <v>456168.18083333335</v>
      </c>
      <c r="V128" s="755"/>
      <c r="W128" s="755"/>
      <c r="X128" s="778"/>
      <c r="Y128" s="755"/>
      <c r="Z128" s="755"/>
      <c r="AA128" s="716"/>
      <c r="AB128" s="755"/>
      <c r="AC128" s="717"/>
      <c r="AD128" s="718">
        <f t="shared" si="35"/>
        <v>456168.18083333335</v>
      </c>
      <c r="AE128" s="717"/>
      <c r="AF128" s="753">
        <f t="shared" si="25"/>
        <v>0</v>
      </c>
    </row>
    <row r="129" spans="1:32">
      <c r="A129" s="677">
        <v>116</v>
      </c>
      <c r="B129" s="379" t="s">
        <v>1148</v>
      </c>
      <c r="C129" s="379" t="s">
        <v>447</v>
      </c>
      <c r="D129" s="379" t="s">
        <v>631</v>
      </c>
      <c r="E129" s="675" t="s">
        <v>1538</v>
      </c>
      <c r="F129" s="676">
        <v>135918.65</v>
      </c>
      <c r="G129" s="676">
        <v>142005.07999999999</v>
      </c>
      <c r="H129" s="676">
        <v>136239.81</v>
      </c>
      <c r="I129" s="676">
        <v>133922.47</v>
      </c>
      <c r="J129" s="676">
        <v>133522.87</v>
      </c>
      <c r="K129" s="676">
        <v>135561.39000000001</v>
      </c>
      <c r="L129" s="676">
        <v>114554.61</v>
      </c>
      <c r="M129" s="676">
        <v>121688.17</v>
      </c>
      <c r="N129" s="676">
        <v>121049.79</v>
      </c>
      <c r="O129" s="676">
        <v>119420.88</v>
      </c>
      <c r="P129" s="676">
        <v>121183.77</v>
      </c>
      <c r="Q129" s="676">
        <v>127331.22</v>
      </c>
      <c r="R129" s="676">
        <v>107415.88</v>
      </c>
      <c r="S129" s="551">
        <f t="shared" si="36"/>
        <v>127345.61041666666</v>
      </c>
      <c r="T129" s="677"/>
      <c r="U129" s="716">
        <f t="shared" si="34"/>
        <v>127345.61041666666</v>
      </c>
      <c r="V129" s="755"/>
      <c r="W129" s="755"/>
      <c r="X129" s="778"/>
      <c r="Y129" s="755"/>
      <c r="Z129" s="755"/>
      <c r="AA129" s="716"/>
      <c r="AB129" s="755"/>
      <c r="AC129" s="717"/>
      <c r="AD129" s="718">
        <f t="shared" si="35"/>
        <v>127345.61041666666</v>
      </c>
      <c r="AE129" s="717"/>
      <c r="AF129" s="753">
        <f t="shared" si="25"/>
        <v>0</v>
      </c>
    </row>
    <row r="130" spans="1:32">
      <c r="A130" s="677">
        <v>117</v>
      </c>
      <c r="B130" s="379" t="s">
        <v>1149</v>
      </c>
      <c r="C130" s="379" t="s">
        <v>447</v>
      </c>
      <c r="D130" s="379" t="s">
        <v>631</v>
      </c>
      <c r="E130" s="675" t="s">
        <v>1539</v>
      </c>
      <c r="F130" s="676">
        <v>291155.42</v>
      </c>
      <c r="G130" s="676">
        <v>256774.73</v>
      </c>
      <c r="H130" s="676">
        <v>257911.49</v>
      </c>
      <c r="I130" s="676">
        <v>291273.14</v>
      </c>
      <c r="J130" s="676">
        <v>323272.15000000002</v>
      </c>
      <c r="K130" s="676">
        <v>288981.40000000002</v>
      </c>
      <c r="L130" s="676">
        <v>302630.07</v>
      </c>
      <c r="M130" s="676">
        <v>298178.46000000002</v>
      </c>
      <c r="N130" s="676">
        <v>339653.89</v>
      </c>
      <c r="O130" s="676">
        <v>271255.34000000003</v>
      </c>
      <c r="P130" s="676">
        <v>313485.19</v>
      </c>
      <c r="Q130" s="676">
        <v>342981.09</v>
      </c>
      <c r="R130" s="676">
        <v>304137.73</v>
      </c>
      <c r="S130" s="551">
        <f t="shared" si="36"/>
        <v>298670.29374999995</v>
      </c>
      <c r="T130" s="677"/>
      <c r="U130" s="716">
        <f t="shared" si="34"/>
        <v>298670.29374999995</v>
      </c>
      <c r="V130" s="755"/>
      <c r="W130" s="755"/>
      <c r="X130" s="778"/>
      <c r="Y130" s="755"/>
      <c r="Z130" s="755"/>
      <c r="AA130" s="716"/>
      <c r="AB130" s="755"/>
      <c r="AC130" s="717"/>
      <c r="AD130" s="718">
        <f t="shared" si="35"/>
        <v>298670.29374999995</v>
      </c>
      <c r="AE130" s="717"/>
      <c r="AF130" s="753">
        <f t="shared" si="25"/>
        <v>0</v>
      </c>
    </row>
    <row r="131" spans="1:32">
      <c r="A131" s="677">
        <v>118</v>
      </c>
      <c r="B131" s="379" t="s">
        <v>1150</v>
      </c>
      <c r="C131" s="379" t="s">
        <v>447</v>
      </c>
      <c r="D131" s="379" t="s">
        <v>631</v>
      </c>
      <c r="E131" s="675" t="s">
        <v>1540</v>
      </c>
      <c r="F131" s="676">
        <v>363923.37</v>
      </c>
      <c r="G131" s="676">
        <v>364023.92</v>
      </c>
      <c r="H131" s="676">
        <v>361795.99</v>
      </c>
      <c r="I131" s="676">
        <v>362910.55</v>
      </c>
      <c r="J131" s="676">
        <v>295140.8</v>
      </c>
      <c r="K131" s="676">
        <v>330264.78000000003</v>
      </c>
      <c r="L131" s="676">
        <v>353339.79</v>
      </c>
      <c r="M131" s="676">
        <v>544471.72</v>
      </c>
      <c r="N131" s="676">
        <v>716071.25</v>
      </c>
      <c r="O131" s="676">
        <v>536277.96</v>
      </c>
      <c r="P131" s="676">
        <v>485547.63</v>
      </c>
      <c r="Q131" s="676">
        <v>472140.26</v>
      </c>
      <c r="R131" s="676">
        <v>377671.84</v>
      </c>
      <c r="S131" s="551">
        <f t="shared" si="36"/>
        <v>432731.85458333325</v>
      </c>
      <c r="T131" s="677"/>
      <c r="U131" s="716">
        <f t="shared" si="34"/>
        <v>432731.85458333325</v>
      </c>
      <c r="V131" s="755"/>
      <c r="W131" s="755"/>
      <c r="X131" s="778"/>
      <c r="Y131" s="755"/>
      <c r="Z131" s="755"/>
      <c r="AA131" s="716"/>
      <c r="AB131" s="755"/>
      <c r="AC131" s="717"/>
      <c r="AD131" s="718">
        <f t="shared" si="35"/>
        <v>432731.85458333325</v>
      </c>
      <c r="AE131" s="717"/>
      <c r="AF131" s="753">
        <f t="shared" si="25"/>
        <v>0</v>
      </c>
    </row>
    <row r="132" spans="1:32">
      <c r="A132" s="677">
        <v>119</v>
      </c>
      <c r="B132" s="379" t="s">
        <v>1151</v>
      </c>
      <c r="C132" s="379" t="s">
        <v>447</v>
      </c>
      <c r="D132" s="379" t="s">
        <v>631</v>
      </c>
      <c r="E132" s="675" t="s">
        <v>1541</v>
      </c>
      <c r="F132" s="676">
        <v>75781.679999999993</v>
      </c>
      <c r="G132" s="676">
        <v>91002.5</v>
      </c>
      <c r="H132" s="676">
        <v>90986.23</v>
      </c>
      <c r="I132" s="676">
        <v>80120.36</v>
      </c>
      <c r="J132" s="676">
        <v>79391.5</v>
      </c>
      <c r="K132" s="676">
        <v>79384.240000000005</v>
      </c>
      <c r="L132" s="676">
        <v>88942.11</v>
      </c>
      <c r="M132" s="676">
        <v>96893.64</v>
      </c>
      <c r="N132" s="676">
        <v>105341.28</v>
      </c>
      <c r="O132" s="676">
        <v>104635.52</v>
      </c>
      <c r="P132" s="676">
        <v>99291.48</v>
      </c>
      <c r="Q132" s="676">
        <v>132638.14000000001</v>
      </c>
      <c r="R132" s="676">
        <v>132295.67999999999</v>
      </c>
      <c r="S132" s="551">
        <f t="shared" si="36"/>
        <v>96055.473333333328</v>
      </c>
      <c r="T132" s="677"/>
      <c r="U132" s="716">
        <f t="shared" si="34"/>
        <v>96055.473333333328</v>
      </c>
      <c r="V132" s="755"/>
      <c r="W132" s="755"/>
      <c r="X132" s="778"/>
      <c r="Y132" s="755"/>
      <c r="Z132" s="755"/>
      <c r="AA132" s="716"/>
      <c r="AB132" s="755"/>
      <c r="AC132" s="717"/>
      <c r="AD132" s="718">
        <f t="shared" si="35"/>
        <v>96055.473333333328</v>
      </c>
      <c r="AE132" s="717"/>
      <c r="AF132" s="753">
        <f t="shared" si="25"/>
        <v>0</v>
      </c>
    </row>
    <row r="133" spans="1:32">
      <c r="A133" s="677">
        <v>120</v>
      </c>
      <c r="B133" s="379" t="s">
        <v>1152</v>
      </c>
      <c r="C133" s="379" t="s">
        <v>447</v>
      </c>
      <c r="D133" s="379" t="s">
        <v>631</v>
      </c>
      <c r="E133" s="675" t="s">
        <v>1542</v>
      </c>
      <c r="F133" s="676">
        <v>476417.96</v>
      </c>
      <c r="G133" s="676">
        <v>467459.95</v>
      </c>
      <c r="H133" s="676">
        <v>472879.54</v>
      </c>
      <c r="I133" s="676">
        <v>492583.51</v>
      </c>
      <c r="J133" s="676">
        <v>492493.29</v>
      </c>
      <c r="K133" s="676">
        <v>569146.01</v>
      </c>
      <c r="L133" s="676">
        <v>611348.47999999998</v>
      </c>
      <c r="M133" s="676">
        <v>688643.7</v>
      </c>
      <c r="N133" s="676">
        <v>656213.01</v>
      </c>
      <c r="O133" s="676">
        <v>673920.71</v>
      </c>
      <c r="P133" s="676">
        <v>712010.12</v>
      </c>
      <c r="Q133" s="676">
        <v>712732.27</v>
      </c>
      <c r="R133" s="676">
        <v>748426.94</v>
      </c>
      <c r="S133" s="551">
        <f t="shared" si="36"/>
        <v>596821.08666666667</v>
      </c>
      <c r="T133" s="677"/>
      <c r="U133" s="716">
        <f t="shared" si="34"/>
        <v>596821.08666666667</v>
      </c>
      <c r="V133" s="755"/>
      <c r="W133" s="755"/>
      <c r="X133" s="778"/>
      <c r="Y133" s="755"/>
      <c r="Z133" s="755"/>
      <c r="AA133" s="716"/>
      <c r="AB133" s="755"/>
      <c r="AC133" s="717"/>
      <c r="AD133" s="718">
        <f t="shared" si="35"/>
        <v>596821.08666666667</v>
      </c>
      <c r="AE133" s="717"/>
      <c r="AF133" s="753">
        <f t="shared" si="25"/>
        <v>0</v>
      </c>
    </row>
    <row r="134" spans="1:32">
      <c r="A134" s="677">
        <v>121</v>
      </c>
      <c r="B134" s="379" t="s">
        <v>1415</v>
      </c>
      <c r="C134" s="379" t="s">
        <v>447</v>
      </c>
      <c r="D134" s="379" t="s">
        <v>631</v>
      </c>
      <c r="E134" s="675" t="s">
        <v>1543</v>
      </c>
      <c r="F134" s="676">
        <v>536.36</v>
      </c>
      <c r="G134" s="676">
        <v>-9.9999999999909103E-3</v>
      </c>
      <c r="H134" s="676">
        <v>-9.9999999999909103E-3</v>
      </c>
      <c r="I134" s="676">
        <v>-0.119999999999991</v>
      </c>
      <c r="J134" s="676">
        <v>-0.119999999999991</v>
      </c>
      <c r="K134" s="676">
        <v>-0.119999999999991</v>
      </c>
      <c r="L134" s="676">
        <v>-0.12999999999999101</v>
      </c>
      <c r="M134" s="676">
        <v>-0.12999999999999101</v>
      </c>
      <c r="N134" s="676">
        <v>-0.12999999999999101</v>
      </c>
      <c r="O134" s="676">
        <v>-0.12999999999999101</v>
      </c>
      <c r="P134" s="676">
        <v>438.24</v>
      </c>
      <c r="Q134" s="676">
        <v>301</v>
      </c>
      <c r="R134" s="676">
        <v>0</v>
      </c>
      <c r="S134" s="551">
        <f t="shared" si="36"/>
        <v>83.876666666666679</v>
      </c>
      <c r="T134" s="677"/>
      <c r="U134" s="716">
        <f t="shared" si="34"/>
        <v>83.876666666666679</v>
      </c>
      <c r="V134" s="755"/>
      <c r="W134" s="755"/>
      <c r="X134" s="778"/>
      <c r="Y134" s="755"/>
      <c r="Z134" s="755"/>
      <c r="AA134" s="716"/>
      <c r="AB134" s="755"/>
      <c r="AC134" s="717"/>
      <c r="AD134" s="718">
        <f t="shared" si="35"/>
        <v>83.876666666666679</v>
      </c>
      <c r="AE134" s="717"/>
      <c r="AF134" s="753">
        <f t="shared" si="25"/>
        <v>0</v>
      </c>
    </row>
    <row r="135" spans="1:32">
      <c r="A135" s="677">
        <v>122</v>
      </c>
      <c r="B135" s="379" t="s">
        <v>1153</v>
      </c>
      <c r="C135" s="379" t="s">
        <v>447</v>
      </c>
      <c r="D135" s="379" t="s">
        <v>631</v>
      </c>
      <c r="E135" s="675" t="s">
        <v>1544</v>
      </c>
      <c r="F135" s="676">
        <v>307766.09000000003</v>
      </c>
      <c r="G135" s="676">
        <v>333531.90999999997</v>
      </c>
      <c r="H135" s="676">
        <v>337831.14</v>
      </c>
      <c r="I135" s="676">
        <v>376089.57</v>
      </c>
      <c r="J135" s="676">
        <v>373404.21</v>
      </c>
      <c r="K135" s="676">
        <v>400312.55</v>
      </c>
      <c r="L135" s="676">
        <v>401400.87</v>
      </c>
      <c r="M135" s="676">
        <v>394222.13</v>
      </c>
      <c r="N135" s="676">
        <v>334060.74</v>
      </c>
      <c r="O135" s="676">
        <v>334039.48</v>
      </c>
      <c r="P135" s="676">
        <v>327504.84999999998</v>
      </c>
      <c r="Q135" s="676">
        <v>342023.69</v>
      </c>
      <c r="R135" s="676">
        <v>335701.16</v>
      </c>
      <c r="S135" s="551">
        <f t="shared" si="36"/>
        <v>356346.23041666672</v>
      </c>
      <c r="T135" s="677"/>
      <c r="U135" s="716">
        <f t="shared" si="34"/>
        <v>356346.23041666672</v>
      </c>
      <c r="V135" s="755"/>
      <c r="W135" s="755"/>
      <c r="X135" s="778"/>
      <c r="Y135" s="755"/>
      <c r="Z135" s="755"/>
      <c r="AA135" s="716"/>
      <c r="AB135" s="755"/>
      <c r="AC135" s="717"/>
      <c r="AD135" s="718">
        <f t="shared" si="35"/>
        <v>356346.23041666672</v>
      </c>
      <c r="AE135" s="717"/>
      <c r="AF135" s="753">
        <f t="shared" si="25"/>
        <v>0</v>
      </c>
    </row>
    <row r="136" spans="1:32">
      <c r="A136" s="677">
        <v>123</v>
      </c>
      <c r="B136" s="379" t="s">
        <v>1154</v>
      </c>
      <c r="C136" s="379" t="s">
        <v>447</v>
      </c>
      <c r="D136" s="379" t="s">
        <v>631</v>
      </c>
      <c r="E136" s="675" t="s">
        <v>1545</v>
      </c>
      <c r="F136" s="676">
        <v>348930.45</v>
      </c>
      <c r="G136" s="676">
        <v>316020.49</v>
      </c>
      <c r="H136" s="676">
        <v>311190.42</v>
      </c>
      <c r="I136" s="676">
        <v>313079.14</v>
      </c>
      <c r="J136" s="676">
        <v>308208.81</v>
      </c>
      <c r="K136" s="676">
        <v>333227.8</v>
      </c>
      <c r="L136" s="676">
        <v>325831.02</v>
      </c>
      <c r="M136" s="676">
        <v>318188.95</v>
      </c>
      <c r="N136" s="676">
        <v>310247.08</v>
      </c>
      <c r="O136" s="676">
        <v>318837.53000000003</v>
      </c>
      <c r="P136" s="676">
        <v>339435.53</v>
      </c>
      <c r="Q136" s="676">
        <v>338797.96</v>
      </c>
      <c r="R136" s="676">
        <v>251761.23</v>
      </c>
      <c r="S136" s="551">
        <f t="shared" si="36"/>
        <v>319450.88083333336</v>
      </c>
      <c r="T136" s="677"/>
      <c r="U136" s="716">
        <f t="shared" si="34"/>
        <v>319450.88083333336</v>
      </c>
      <c r="V136" s="755"/>
      <c r="W136" s="755"/>
      <c r="X136" s="778"/>
      <c r="Y136" s="755"/>
      <c r="Z136" s="755"/>
      <c r="AA136" s="716"/>
      <c r="AB136" s="755"/>
      <c r="AC136" s="717"/>
      <c r="AD136" s="718">
        <f t="shared" si="35"/>
        <v>319450.88083333336</v>
      </c>
      <c r="AE136" s="717"/>
      <c r="AF136" s="753">
        <f t="shared" si="25"/>
        <v>0</v>
      </c>
    </row>
    <row r="137" spans="1:32">
      <c r="A137" s="677">
        <v>124</v>
      </c>
      <c r="B137" s="379" t="s">
        <v>1155</v>
      </c>
      <c r="C137" s="379" t="s">
        <v>447</v>
      </c>
      <c r="D137" s="379" t="s">
        <v>631</v>
      </c>
      <c r="E137" s="675" t="s">
        <v>1546</v>
      </c>
      <c r="F137" s="676">
        <v>144477.1</v>
      </c>
      <c r="G137" s="676">
        <v>141959.82</v>
      </c>
      <c r="H137" s="676">
        <v>143740.49</v>
      </c>
      <c r="I137" s="676">
        <v>148297.29999999999</v>
      </c>
      <c r="J137" s="676">
        <v>148045.94</v>
      </c>
      <c r="K137" s="676">
        <v>147676.54</v>
      </c>
      <c r="L137" s="676">
        <v>143696.63</v>
      </c>
      <c r="M137" s="676">
        <v>138270.57999999999</v>
      </c>
      <c r="N137" s="676">
        <v>150672.95999999999</v>
      </c>
      <c r="O137" s="676">
        <v>153418.91</v>
      </c>
      <c r="P137" s="676">
        <v>141472.29</v>
      </c>
      <c r="Q137" s="676">
        <v>143707.03</v>
      </c>
      <c r="R137" s="676">
        <v>142314.16</v>
      </c>
      <c r="S137" s="551">
        <f t="shared" si="36"/>
        <v>145362.84333333335</v>
      </c>
      <c r="T137" s="677"/>
      <c r="U137" s="716">
        <f t="shared" si="34"/>
        <v>145362.84333333335</v>
      </c>
      <c r="V137" s="755"/>
      <c r="W137" s="755"/>
      <c r="X137" s="778"/>
      <c r="Y137" s="755"/>
      <c r="Z137" s="755"/>
      <c r="AA137" s="716"/>
      <c r="AB137" s="755"/>
      <c r="AC137" s="717"/>
      <c r="AD137" s="718">
        <f t="shared" si="35"/>
        <v>145362.84333333335</v>
      </c>
      <c r="AE137" s="717"/>
      <c r="AF137" s="753">
        <f t="shared" si="25"/>
        <v>0</v>
      </c>
    </row>
    <row r="138" spans="1:32">
      <c r="A138" s="677">
        <v>125</v>
      </c>
      <c r="B138" s="379" t="s">
        <v>1156</v>
      </c>
      <c r="C138" s="379" t="s">
        <v>447</v>
      </c>
      <c r="D138" s="379" t="s">
        <v>631</v>
      </c>
      <c r="E138" s="675" t="s">
        <v>1547</v>
      </c>
      <c r="F138" s="676">
        <v>58203.88</v>
      </c>
      <c r="G138" s="676">
        <v>59485.39</v>
      </c>
      <c r="H138" s="676">
        <v>59610.83</v>
      </c>
      <c r="I138" s="676">
        <v>59165.21</v>
      </c>
      <c r="J138" s="676">
        <v>58764.37</v>
      </c>
      <c r="K138" s="676">
        <v>56733.97</v>
      </c>
      <c r="L138" s="676">
        <v>56958.17</v>
      </c>
      <c r="M138" s="676">
        <v>55829.18</v>
      </c>
      <c r="N138" s="676">
        <v>56518.74</v>
      </c>
      <c r="O138" s="676">
        <v>55774.22</v>
      </c>
      <c r="P138" s="676">
        <v>66490.77</v>
      </c>
      <c r="Q138" s="676">
        <v>62884.21</v>
      </c>
      <c r="R138" s="676">
        <v>62373.23</v>
      </c>
      <c r="S138" s="551">
        <f t="shared" si="36"/>
        <v>59041.967916666668</v>
      </c>
      <c r="T138" s="677"/>
      <c r="U138" s="716">
        <f t="shared" si="34"/>
        <v>59041.967916666668</v>
      </c>
      <c r="V138" s="755"/>
      <c r="W138" s="755"/>
      <c r="X138" s="778"/>
      <c r="Y138" s="755"/>
      <c r="Z138" s="755"/>
      <c r="AA138" s="716"/>
      <c r="AB138" s="755"/>
      <c r="AC138" s="717"/>
      <c r="AD138" s="718">
        <f t="shared" si="35"/>
        <v>59041.967916666668</v>
      </c>
      <c r="AE138" s="717"/>
      <c r="AF138" s="753">
        <f t="shared" si="25"/>
        <v>0</v>
      </c>
    </row>
    <row r="139" spans="1:32">
      <c r="A139" s="677">
        <v>126</v>
      </c>
      <c r="B139" s="379" t="s">
        <v>1157</v>
      </c>
      <c r="C139" s="379" t="s">
        <v>447</v>
      </c>
      <c r="D139" s="379" t="s">
        <v>631</v>
      </c>
      <c r="E139" s="675" t="s">
        <v>1548</v>
      </c>
      <c r="F139" s="676">
        <v>255478.3</v>
      </c>
      <c r="G139" s="676">
        <v>259044.32</v>
      </c>
      <c r="H139" s="676">
        <v>252470.7</v>
      </c>
      <c r="I139" s="676">
        <v>319141.57</v>
      </c>
      <c r="J139" s="676">
        <v>328578.74</v>
      </c>
      <c r="K139" s="676">
        <v>321366.49</v>
      </c>
      <c r="L139" s="676">
        <v>253625.88</v>
      </c>
      <c r="M139" s="676">
        <v>256666.02</v>
      </c>
      <c r="N139" s="676">
        <v>222846.84</v>
      </c>
      <c r="O139" s="676">
        <v>250737.87</v>
      </c>
      <c r="P139" s="676">
        <v>378460.07</v>
      </c>
      <c r="Q139" s="676">
        <v>402588.21</v>
      </c>
      <c r="R139" s="676">
        <v>446580.76</v>
      </c>
      <c r="S139" s="551">
        <f t="shared" si="36"/>
        <v>299713.02</v>
      </c>
      <c r="T139" s="677"/>
      <c r="U139" s="716">
        <f t="shared" si="34"/>
        <v>299713.02</v>
      </c>
      <c r="V139" s="755"/>
      <c r="W139" s="755"/>
      <c r="X139" s="778"/>
      <c r="Y139" s="755"/>
      <c r="Z139" s="755"/>
      <c r="AA139" s="716"/>
      <c r="AB139" s="755"/>
      <c r="AC139" s="717"/>
      <c r="AD139" s="718">
        <f t="shared" si="35"/>
        <v>299713.02</v>
      </c>
      <c r="AE139" s="717"/>
      <c r="AF139" s="753">
        <f t="shared" si="25"/>
        <v>0</v>
      </c>
    </row>
    <row r="140" spans="1:32">
      <c r="A140" s="677">
        <v>127</v>
      </c>
      <c r="B140" s="379" t="s">
        <v>1416</v>
      </c>
      <c r="C140" s="379" t="s">
        <v>447</v>
      </c>
      <c r="D140" s="379" t="s">
        <v>631</v>
      </c>
      <c r="E140" s="675" t="s">
        <v>1549</v>
      </c>
      <c r="F140" s="676">
        <v>-1541.61</v>
      </c>
      <c r="G140" s="676">
        <v>0</v>
      </c>
      <c r="H140" s="676">
        <v>0</v>
      </c>
      <c r="I140" s="676">
        <v>-0.01</v>
      </c>
      <c r="J140" s="676">
        <v>-0.01</v>
      </c>
      <c r="K140" s="676">
        <v>9811.2099999999991</v>
      </c>
      <c r="L140" s="676">
        <v>-1.00000000002183E-2</v>
      </c>
      <c r="M140" s="676">
        <v>-1.00000000002183E-2</v>
      </c>
      <c r="N140" s="676">
        <v>-1.00000000002183E-2</v>
      </c>
      <c r="O140" s="676">
        <v>-1.00000000002183E-2</v>
      </c>
      <c r="P140" s="676">
        <v>-1.00000000002183E-2</v>
      </c>
      <c r="Q140" s="676">
        <v>-1.00000000002183E-2</v>
      </c>
      <c r="R140" s="676">
        <v>-2.1827852025868599E-13</v>
      </c>
      <c r="S140" s="551">
        <f t="shared" si="36"/>
        <v>753.36041666666642</v>
      </c>
      <c r="T140" s="677"/>
      <c r="U140" s="716">
        <f t="shared" si="34"/>
        <v>753.36041666666642</v>
      </c>
      <c r="V140" s="755"/>
      <c r="W140" s="755"/>
      <c r="X140" s="778"/>
      <c r="Y140" s="755"/>
      <c r="Z140" s="755"/>
      <c r="AA140" s="716"/>
      <c r="AB140" s="755"/>
      <c r="AC140" s="717"/>
      <c r="AD140" s="718">
        <f t="shared" si="35"/>
        <v>753.36041666666642</v>
      </c>
      <c r="AE140" s="717"/>
      <c r="AF140" s="753">
        <f t="shared" si="25"/>
        <v>0</v>
      </c>
    </row>
    <row r="141" spans="1:32">
      <c r="A141" s="677">
        <v>128</v>
      </c>
      <c r="B141" s="379" t="s">
        <v>981</v>
      </c>
      <c r="C141" s="379" t="s">
        <v>447</v>
      </c>
      <c r="D141" s="379" t="s">
        <v>1158</v>
      </c>
      <c r="E141" s="675" t="s">
        <v>1550</v>
      </c>
      <c r="F141" s="676">
        <v>342609.97</v>
      </c>
      <c r="G141" s="676">
        <v>270974.21000000002</v>
      </c>
      <c r="H141" s="676">
        <v>314373.59999999998</v>
      </c>
      <c r="I141" s="676">
        <v>314373.59999999998</v>
      </c>
      <c r="J141" s="676">
        <v>360932.07</v>
      </c>
      <c r="K141" s="676">
        <v>366522.79</v>
      </c>
      <c r="L141" s="676">
        <v>366522.79</v>
      </c>
      <c r="M141" s="676">
        <v>305781.68</v>
      </c>
      <c r="N141" s="676">
        <v>309144.18</v>
      </c>
      <c r="O141" s="676">
        <v>428507.61</v>
      </c>
      <c r="P141" s="676">
        <v>362627.49</v>
      </c>
      <c r="Q141" s="676">
        <v>361977.49</v>
      </c>
      <c r="R141" s="676">
        <v>361977.49</v>
      </c>
      <c r="S141" s="551">
        <f t="shared" si="36"/>
        <v>342835.9366666667</v>
      </c>
      <c r="T141" s="677"/>
      <c r="U141" s="716">
        <f t="shared" si="34"/>
        <v>342835.9366666667</v>
      </c>
      <c r="V141" s="755"/>
      <c r="W141" s="755"/>
      <c r="X141" s="778"/>
      <c r="Y141" s="755"/>
      <c r="Z141" s="755"/>
      <c r="AA141" s="716"/>
      <c r="AB141" s="755"/>
      <c r="AC141" s="717"/>
      <c r="AD141" s="718">
        <f t="shared" si="35"/>
        <v>342835.9366666667</v>
      </c>
      <c r="AE141" s="717"/>
      <c r="AF141" s="753">
        <f t="shared" si="25"/>
        <v>0</v>
      </c>
    </row>
    <row r="142" spans="1:32">
      <c r="A142" s="677"/>
      <c r="B142" s="379"/>
      <c r="C142" s="379" t="s">
        <v>447</v>
      </c>
      <c r="D142" s="379" t="s">
        <v>1159</v>
      </c>
      <c r="E142" s="675" t="s">
        <v>1888</v>
      </c>
      <c r="F142" s="676">
        <v>0</v>
      </c>
      <c r="G142" s="676">
        <v>0</v>
      </c>
      <c r="H142" s="676">
        <v>0</v>
      </c>
      <c r="I142" s="676">
        <v>0</v>
      </c>
      <c r="J142" s="676">
        <v>0</v>
      </c>
      <c r="K142" s="676">
        <v>30.08</v>
      </c>
      <c r="L142" s="676">
        <v>30.08</v>
      </c>
      <c r="M142" s="676">
        <v>30.08</v>
      </c>
      <c r="N142" s="676">
        <v>30.08</v>
      </c>
      <c r="O142" s="676">
        <v>0</v>
      </c>
      <c r="P142" s="676">
        <v>0</v>
      </c>
      <c r="Q142" s="676">
        <v>0</v>
      </c>
      <c r="R142" s="676">
        <v>0</v>
      </c>
      <c r="S142" s="551">
        <f t="shared" si="36"/>
        <v>10.026666666666666</v>
      </c>
      <c r="T142" s="677"/>
      <c r="U142" s="716">
        <f>+S142</f>
        <v>10.026666666666666</v>
      </c>
      <c r="V142" s="755"/>
      <c r="W142" s="755"/>
      <c r="X142" s="778"/>
      <c r="Y142" s="755"/>
      <c r="Z142" s="755"/>
      <c r="AA142" s="716"/>
      <c r="AB142" s="755"/>
      <c r="AC142" s="717"/>
      <c r="AD142" s="718">
        <f t="shared" si="35"/>
        <v>10.026666666666666</v>
      </c>
      <c r="AE142" s="717"/>
      <c r="AF142" s="753">
        <f t="shared" si="25"/>
        <v>0</v>
      </c>
    </row>
    <row r="143" spans="1:32">
      <c r="A143" s="677">
        <v>129</v>
      </c>
      <c r="B143" s="379" t="s">
        <v>981</v>
      </c>
      <c r="C143" s="379" t="s">
        <v>448</v>
      </c>
      <c r="D143" s="379" t="s">
        <v>1160</v>
      </c>
      <c r="E143" s="675" t="s">
        <v>1551</v>
      </c>
      <c r="F143" s="676">
        <v>0</v>
      </c>
      <c r="G143" s="676">
        <v>5554.66</v>
      </c>
      <c r="H143" s="676">
        <v>7006</v>
      </c>
      <c r="I143" s="676">
        <v>12453.95</v>
      </c>
      <c r="J143" s="676">
        <v>24053.51</v>
      </c>
      <c r="K143" s="676">
        <v>31758.91</v>
      </c>
      <c r="L143" s="676">
        <v>35174.400000000001</v>
      </c>
      <c r="M143" s="676">
        <v>40466.97</v>
      </c>
      <c r="N143" s="676">
        <v>46492.78</v>
      </c>
      <c r="O143" s="676">
        <v>49842.92</v>
      </c>
      <c r="P143" s="676">
        <v>52568.959999999999</v>
      </c>
      <c r="Q143" s="676">
        <v>56544.08</v>
      </c>
      <c r="R143" s="676">
        <v>0</v>
      </c>
      <c r="S143" s="551">
        <f t="shared" ref="S143:S148" si="37">((F143+R143)+((G143+H143+I143+J143+K143+L143+M143+N143+O143+P143+Q143)*2))/24</f>
        <v>30159.761666666669</v>
      </c>
      <c r="T143" s="677"/>
      <c r="U143" s="716">
        <f t="shared" si="34"/>
        <v>30159.761666666669</v>
      </c>
      <c r="V143" s="755"/>
      <c r="W143" s="755"/>
      <c r="X143" s="778"/>
      <c r="Y143" s="755"/>
      <c r="Z143" s="755"/>
      <c r="AA143" s="716"/>
      <c r="AB143" s="755"/>
      <c r="AC143" s="717"/>
      <c r="AD143" s="718">
        <f t="shared" si="35"/>
        <v>30159.761666666669</v>
      </c>
      <c r="AE143" s="717"/>
      <c r="AF143" s="753">
        <f t="shared" si="25"/>
        <v>0</v>
      </c>
    </row>
    <row r="144" spans="1:32">
      <c r="A144" s="677">
        <v>130</v>
      </c>
      <c r="B144" s="379" t="s">
        <v>981</v>
      </c>
      <c r="C144" s="379" t="s">
        <v>448</v>
      </c>
      <c r="D144" s="379" t="s">
        <v>1161</v>
      </c>
      <c r="E144" s="675" t="s">
        <v>1889</v>
      </c>
      <c r="F144" s="676">
        <v>0</v>
      </c>
      <c r="G144" s="676">
        <v>1200.6099999999999</v>
      </c>
      <c r="H144" s="676">
        <v>0</v>
      </c>
      <c r="I144" s="676">
        <v>0</v>
      </c>
      <c r="J144" s="676">
        <v>0</v>
      </c>
      <c r="K144" s="676">
        <v>0</v>
      </c>
      <c r="L144" s="676">
        <v>0</v>
      </c>
      <c r="M144" s="676">
        <v>0</v>
      </c>
      <c r="N144" s="676">
        <v>0</v>
      </c>
      <c r="O144" s="676">
        <v>0</v>
      </c>
      <c r="P144" s="676">
        <v>0</v>
      </c>
      <c r="Q144" s="676">
        <v>0</v>
      </c>
      <c r="R144" s="676">
        <v>0</v>
      </c>
      <c r="S144" s="551">
        <f t="shared" si="37"/>
        <v>100.05083333333333</v>
      </c>
      <c r="T144" s="677"/>
      <c r="U144" s="716">
        <f t="shared" si="34"/>
        <v>100.05083333333333</v>
      </c>
      <c r="V144" s="755"/>
      <c r="W144" s="755"/>
      <c r="X144" s="778"/>
      <c r="Y144" s="755"/>
      <c r="Z144" s="755"/>
      <c r="AA144" s="716"/>
      <c r="AB144" s="755"/>
      <c r="AC144" s="717"/>
      <c r="AD144" s="718">
        <f t="shared" si="35"/>
        <v>100.05083333333333</v>
      </c>
      <c r="AE144" s="717"/>
      <c r="AF144" s="753">
        <f t="shared" si="25"/>
        <v>0</v>
      </c>
    </row>
    <row r="145" spans="1:32">
      <c r="A145" s="677">
        <v>131</v>
      </c>
      <c r="B145" s="379" t="s">
        <v>981</v>
      </c>
      <c r="C145" s="379" t="s">
        <v>448</v>
      </c>
      <c r="D145" s="379" t="s">
        <v>1162</v>
      </c>
      <c r="E145" s="675" t="s">
        <v>1552</v>
      </c>
      <c r="F145" s="676">
        <v>1.45519152283669E-11</v>
      </c>
      <c r="G145" s="676">
        <v>5491.47</v>
      </c>
      <c r="H145" s="676">
        <v>4727.83</v>
      </c>
      <c r="I145" s="676">
        <v>5058.41</v>
      </c>
      <c r="J145" s="676">
        <v>16509</v>
      </c>
      <c r="K145" s="676">
        <v>265880.13</v>
      </c>
      <c r="L145" s="676">
        <v>0</v>
      </c>
      <c r="M145" s="676">
        <v>170.96</v>
      </c>
      <c r="N145" s="676">
        <v>4905.74</v>
      </c>
      <c r="O145" s="676">
        <v>4968.67</v>
      </c>
      <c r="P145" s="676">
        <v>4861.63</v>
      </c>
      <c r="Q145" s="676">
        <v>5867.16</v>
      </c>
      <c r="R145" s="676">
        <v>0</v>
      </c>
      <c r="S145" s="551">
        <f t="shared" si="37"/>
        <v>26536.75</v>
      </c>
      <c r="T145" s="677"/>
      <c r="U145" s="716">
        <f t="shared" si="34"/>
        <v>26536.75</v>
      </c>
      <c r="V145" s="755"/>
      <c r="W145" s="755"/>
      <c r="X145" s="778"/>
      <c r="Y145" s="755"/>
      <c r="Z145" s="755"/>
      <c r="AA145" s="716"/>
      <c r="AB145" s="755"/>
      <c r="AC145" s="717"/>
      <c r="AD145" s="718">
        <f t="shared" si="35"/>
        <v>26536.75</v>
      </c>
      <c r="AE145" s="717"/>
      <c r="AF145" s="753">
        <f t="shared" si="25"/>
        <v>0</v>
      </c>
    </row>
    <row r="146" spans="1:32">
      <c r="A146" s="677">
        <v>132</v>
      </c>
      <c r="B146" s="379" t="s">
        <v>981</v>
      </c>
      <c r="C146" s="379" t="s">
        <v>449</v>
      </c>
      <c r="D146" s="379" t="s">
        <v>450</v>
      </c>
      <c r="E146" s="675" t="s">
        <v>451</v>
      </c>
      <c r="F146" s="676">
        <v>299383.02</v>
      </c>
      <c r="G146" s="676">
        <v>352269.37</v>
      </c>
      <c r="H146" s="676">
        <v>0</v>
      </c>
      <c r="I146" s="676">
        <v>1962286.41</v>
      </c>
      <c r="J146" s="676">
        <v>174242.51</v>
      </c>
      <c r="K146" s="676">
        <v>45156.81</v>
      </c>
      <c r="L146" s="676">
        <v>52366.44</v>
      </c>
      <c r="M146" s="676">
        <v>28125.27</v>
      </c>
      <c r="N146" s="676">
        <v>74226.77</v>
      </c>
      <c r="O146" s="676">
        <v>86273</v>
      </c>
      <c r="P146" s="676">
        <v>1.45519152283669E-11</v>
      </c>
      <c r="Q146" s="676">
        <v>85807.33</v>
      </c>
      <c r="R146" s="676">
        <v>792674.16</v>
      </c>
      <c r="S146" s="551">
        <f t="shared" si="37"/>
        <v>283898.54166666669</v>
      </c>
      <c r="T146" s="677"/>
      <c r="U146" s="716">
        <f t="shared" si="34"/>
        <v>283898.54166666669</v>
      </c>
      <c r="V146" s="755"/>
      <c r="W146" s="755"/>
      <c r="X146" s="778"/>
      <c r="Y146" s="755"/>
      <c r="Z146" s="755"/>
      <c r="AA146" s="716"/>
      <c r="AB146" s="755"/>
      <c r="AC146" s="717"/>
      <c r="AD146" s="718">
        <f t="shared" si="35"/>
        <v>283898.54166666669</v>
      </c>
      <c r="AE146" s="717"/>
      <c r="AF146" s="753">
        <f t="shared" si="25"/>
        <v>0</v>
      </c>
    </row>
    <row r="147" spans="1:32">
      <c r="A147" s="677">
        <v>133</v>
      </c>
      <c r="B147" s="379" t="s">
        <v>981</v>
      </c>
      <c r="C147" s="379" t="s">
        <v>449</v>
      </c>
      <c r="D147" s="379" t="s">
        <v>495</v>
      </c>
      <c r="E147" s="675" t="s">
        <v>728</v>
      </c>
      <c r="F147" s="676">
        <v>97275.8</v>
      </c>
      <c r="G147" s="676">
        <v>124685.06</v>
      </c>
      <c r="H147" s="676">
        <v>152853.23000000001</v>
      </c>
      <c r="I147" s="676">
        <v>96949.61</v>
      </c>
      <c r="J147" s="676">
        <v>107933.45</v>
      </c>
      <c r="K147" s="676">
        <v>117734.06</v>
      </c>
      <c r="L147" s="676">
        <v>134136.34</v>
      </c>
      <c r="M147" s="676">
        <v>89459.73</v>
      </c>
      <c r="N147" s="676">
        <v>109607.47</v>
      </c>
      <c r="O147" s="676">
        <v>133693.88</v>
      </c>
      <c r="P147" s="676">
        <v>44634.29</v>
      </c>
      <c r="Q147" s="676">
        <v>71995.61</v>
      </c>
      <c r="R147" s="676">
        <v>100984.61</v>
      </c>
      <c r="S147" s="551">
        <f t="shared" si="37"/>
        <v>106901.07791666669</v>
      </c>
      <c r="T147" s="677"/>
      <c r="U147" s="716">
        <f t="shared" si="34"/>
        <v>106901.07791666669</v>
      </c>
      <c r="V147" s="755"/>
      <c r="W147" s="755"/>
      <c r="X147" s="778"/>
      <c r="Y147" s="755"/>
      <c r="Z147" s="755"/>
      <c r="AA147" s="716"/>
      <c r="AB147" s="755"/>
      <c r="AC147" s="717"/>
      <c r="AD147" s="718">
        <f t="shared" si="35"/>
        <v>106901.07791666669</v>
      </c>
      <c r="AE147" s="717"/>
      <c r="AF147" s="753">
        <f t="shared" si="25"/>
        <v>0</v>
      </c>
    </row>
    <row r="148" spans="1:32">
      <c r="A148" s="677">
        <v>134</v>
      </c>
      <c r="B148" s="379" t="s">
        <v>981</v>
      </c>
      <c r="C148" s="379" t="s">
        <v>452</v>
      </c>
      <c r="D148" s="379" t="s">
        <v>463</v>
      </c>
      <c r="E148" s="675" t="s">
        <v>453</v>
      </c>
      <c r="F148" s="676">
        <v>1940548.63</v>
      </c>
      <c r="G148" s="676">
        <v>1806480.37</v>
      </c>
      <c r="H148" s="676">
        <v>459068.21</v>
      </c>
      <c r="I148" s="676">
        <v>151095.42000000001</v>
      </c>
      <c r="J148" s="676">
        <v>480683.88</v>
      </c>
      <c r="K148" s="676">
        <v>826643.67</v>
      </c>
      <c r="L148" s="676">
        <v>1367391.12</v>
      </c>
      <c r="M148" s="676">
        <v>1817922.09</v>
      </c>
      <c r="N148" s="676">
        <v>2343168.5299999998</v>
      </c>
      <c r="O148" s="676">
        <v>3003087.8</v>
      </c>
      <c r="P148" s="676">
        <v>3407746.16</v>
      </c>
      <c r="Q148" s="676">
        <v>3032829.84</v>
      </c>
      <c r="R148" s="676">
        <v>1844137.53</v>
      </c>
      <c r="S148" s="551">
        <f t="shared" si="37"/>
        <v>1715705.0141666669</v>
      </c>
      <c r="T148" s="677"/>
      <c r="U148" s="716">
        <f t="shared" si="34"/>
        <v>1715705.0141666669</v>
      </c>
      <c r="V148" s="755"/>
      <c r="W148" s="755"/>
      <c r="X148" s="778"/>
      <c r="Y148" s="755"/>
      <c r="Z148" s="755"/>
      <c r="AA148" s="716"/>
      <c r="AB148" s="755"/>
      <c r="AC148" s="717"/>
      <c r="AD148" s="718">
        <f t="shared" si="35"/>
        <v>1715705.0141666669</v>
      </c>
      <c r="AE148" s="717"/>
      <c r="AF148" s="753">
        <f t="shared" si="25"/>
        <v>0</v>
      </c>
    </row>
    <row r="149" spans="1:32">
      <c r="A149" s="677">
        <v>135</v>
      </c>
      <c r="B149" s="677"/>
      <c r="C149" s="677"/>
      <c r="D149" s="677"/>
      <c r="E149" s="675" t="s">
        <v>454</v>
      </c>
      <c r="F149" s="358">
        <f t="shared" ref="F149:S149" si="38">SUM(F124:F148)</f>
        <v>8031490.5800000001</v>
      </c>
      <c r="G149" s="358">
        <f t="shared" si="38"/>
        <v>7862193.7300000014</v>
      </c>
      <c r="H149" s="358">
        <f t="shared" si="38"/>
        <v>6254790.1600000001</v>
      </c>
      <c r="I149" s="358">
        <f t="shared" si="38"/>
        <v>8047244.4700000007</v>
      </c>
      <c r="J149" s="358">
        <f t="shared" si="38"/>
        <v>6674814.6799999997</v>
      </c>
      <c r="K149" s="358">
        <f t="shared" si="38"/>
        <v>7457568.4099999992</v>
      </c>
      <c r="L149" s="358">
        <f t="shared" si="38"/>
        <v>7714679.6200000001</v>
      </c>
      <c r="M149" s="358">
        <f t="shared" si="38"/>
        <v>8387161.3599999985</v>
      </c>
      <c r="N149" s="358">
        <f t="shared" si="38"/>
        <v>9210080.6500000004</v>
      </c>
      <c r="O149" s="358">
        <f t="shared" si="38"/>
        <v>9704412.5600000005</v>
      </c>
      <c r="P149" s="358">
        <f t="shared" si="38"/>
        <v>10096520.32</v>
      </c>
      <c r="Q149" s="358">
        <f t="shared" si="38"/>
        <v>9951034.1700000018</v>
      </c>
      <c r="R149" s="358">
        <f t="shared" si="38"/>
        <v>9214197.9400000013</v>
      </c>
      <c r="S149" s="553">
        <f t="shared" si="38"/>
        <v>8331945.3658333337</v>
      </c>
      <c r="T149" s="677"/>
      <c r="U149" s="716"/>
      <c r="V149" s="755"/>
      <c r="W149" s="755"/>
      <c r="X149" s="778"/>
      <c r="Y149" s="755"/>
      <c r="Z149" s="755"/>
      <c r="AA149" s="716"/>
      <c r="AB149" s="755"/>
      <c r="AC149" s="717"/>
      <c r="AD149" s="717"/>
      <c r="AE149" s="717"/>
      <c r="AF149" s="753">
        <f t="shared" si="25"/>
        <v>0</v>
      </c>
    </row>
    <row r="150" spans="1:32">
      <c r="A150" s="677">
        <v>136</v>
      </c>
      <c r="B150" s="677"/>
      <c r="C150" s="677"/>
      <c r="D150" s="677"/>
      <c r="E150" s="662"/>
      <c r="F150" s="676"/>
      <c r="G150" s="367"/>
      <c r="H150" s="368"/>
      <c r="I150" s="368"/>
      <c r="J150" s="369"/>
      <c r="K150" s="370"/>
      <c r="L150" s="371"/>
      <c r="M150" s="372"/>
      <c r="N150" s="373"/>
      <c r="O150" s="663"/>
      <c r="P150" s="374"/>
      <c r="Q150" s="375"/>
      <c r="R150" s="676"/>
      <c r="S150" s="357"/>
      <c r="T150" s="677"/>
      <c r="U150" s="716"/>
      <c r="V150" s="755"/>
      <c r="W150" s="755"/>
      <c r="X150" s="778"/>
      <c r="Y150" s="755"/>
      <c r="Z150" s="755"/>
      <c r="AA150" s="716"/>
      <c r="AB150" s="755"/>
      <c r="AC150" s="717"/>
      <c r="AD150" s="717"/>
      <c r="AE150" s="717"/>
      <c r="AF150" s="753">
        <f t="shared" ref="AF150:AF224" si="39">+U150+V150-AD150</f>
        <v>0</v>
      </c>
    </row>
    <row r="151" spans="1:32">
      <c r="A151" s="677">
        <v>137</v>
      </c>
      <c r="B151" s="379" t="s">
        <v>981</v>
      </c>
      <c r="C151" s="379" t="s">
        <v>455</v>
      </c>
      <c r="D151" s="379" t="s">
        <v>974</v>
      </c>
      <c r="E151" s="675" t="s">
        <v>1890</v>
      </c>
      <c r="F151" s="676">
        <v>130504.06</v>
      </c>
      <c r="G151" s="676">
        <v>1134528.29</v>
      </c>
      <c r="H151" s="676">
        <v>1068508.95</v>
      </c>
      <c r="I151" s="676">
        <v>1009952.35</v>
      </c>
      <c r="J151" s="676">
        <v>853139</v>
      </c>
      <c r="K151" s="676">
        <v>744691.34</v>
      </c>
      <c r="L151" s="676">
        <v>645685.64</v>
      </c>
      <c r="M151" s="676">
        <v>527132.48</v>
      </c>
      <c r="N151" s="676">
        <v>408579.32</v>
      </c>
      <c r="O151" s="676">
        <v>329784.62</v>
      </c>
      <c r="P151" s="676">
        <v>211491.97</v>
      </c>
      <c r="Q151" s="676">
        <v>257118.74</v>
      </c>
      <c r="R151" s="676">
        <v>138018.51999999999</v>
      </c>
      <c r="S151" s="551">
        <f t="shared" ref="S151:S168" si="40">((F151+R151)+((G151+H151+I151+J151+K151+L151+M151+N151+O151+P151+Q151)*2))/24</f>
        <v>610406.16583333339</v>
      </c>
      <c r="T151" s="677"/>
      <c r="U151" s="716">
        <f t="shared" ref="U151:U166" si="41">+S151</f>
        <v>610406.16583333339</v>
      </c>
      <c r="V151" s="755"/>
      <c r="W151" s="755"/>
      <c r="X151" s="778"/>
      <c r="Y151" s="755"/>
      <c r="Z151" s="755"/>
      <c r="AA151" s="716"/>
      <c r="AB151" s="755"/>
      <c r="AC151" s="717"/>
      <c r="AD151" s="718">
        <f t="shared" ref="AD151:AD168" si="42">+U151</f>
        <v>610406.16583333339</v>
      </c>
      <c r="AE151" s="717"/>
      <c r="AF151" s="753">
        <f t="shared" si="39"/>
        <v>0</v>
      </c>
    </row>
    <row r="152" spans="1:32">
      <c r="A152" s="677">
        <v>138</v>
      </c>
      <c r="B152" s="379" t="s">
        <v>981</v>
      </c>
      <c r="C152" s="379" t="s">
        <v>456</v>
      </c>
      <c r="D152" s="379" t="s">
        <v>479</v>
      </c>
      <c r="E152" s="665" t="s">
        <v>1555</v>
      </c>
      <c r="F152" s="676">
        <v>10266422.640000001</v>
      </c>
      <c r="G152" s="676">
        <v>0</v>
      </c>
      <c r="H152" s="676">
        <v>0</v>
      </c>
      <c r="I152" s="676">
        <v>0</v>
      </c>
      <c r="J152" s="676">
        <v>0</v>
      </c>
      <c r="K152" s="676">
        <v>0</v>
      </c>
      <c r="L152" s="676">
        <v>0</v>
      </c>
      <c r="M152" s="676">
        <v>0</v>
      </c>
      <c r="N152" s="676">
        <v>0</v>
      </c>
      <c r="O152" s="676">
        <v>0</v>
      </c>
      <c r="P152" s="676">
        <v>0</v>
      </c>
      <c r="Q152" s="676">
        <v>0</v>
      </c>
      <c r="R152" s="676">
        <v>0</v>
      </c>
      <c r="S152" s="551">
        <f t="shared" si="40"/>
        <v>427767.61000000004</v>
      </c>
      <c r="T152" s="677"/>
      <c r="U152" s="716">
        <f t="shared" si="41"/>
        <v>427767.61000000004</v>
      </c>
      <c r="V152" s="755"/>
      <c r="W152" s="755"/>
      <c r="X152" s="778"/>
      <c r="Y152" s="755"/>
      <c r="Z152" s="755"/>
      <c r="AA152" s="716"/>
      <c r="AB152" s="755"/>
      <c r="AC152" s="717"/>
      <c r="AD152" s="718">
        <f t="shared" si="42"/>
        <v>427767.61000000004</v>
      </c>
      <c r="AE152" s="717"/>
      <c r="AF152" s="753">
        <f t="shared" si="39"/>
        <v>0</v>
      </c>
    </row>
    <row r="153" spans="1:32">
      <c r="A153" s="677">
        <v>139</v>
      </c>
      <c r="B153" s="379" t="s">
        <v>1009</v>
      </c>
      <c r="C153" s="379" t="s">
        <v>456</v>
      </c>
      <c r="D153" s="379" t="s">
        <v>481</v>
      </c>
      <c r="E153" s="665" t="s">
        <v>1560</v>
      </c>
      <c r="F153" s="676">
        <v>810941.04</v>
      </c>
      <c r="G153" s="676">
        <v>0</v>
      </c>
      <c r="H153" s="676">
        <v>0</v>
      </c>
      <c r="I153" s="676">
        <v>0</v>
      </c>
      <c r="J153" s="676">
        <v>0</v>
      </c>
      <c r="K153" s="676">
        <v>0</v>
      </c>
      <c r="L153" s="676">
        <v>0</v>
      </c>
      <c r="M153" s="676">
        <v>0</v>
      </c>
      <c r="N153" s="676">
        <v>0</v>
      </c>
      <c r="O153" s="676">
        <v>0</v>
      </c>
      <c r="P153" s="676">
        <v>0</v>
      </c>
      <c r="Q153" s="676">
        <v>0</v>
      </c>
      <c r="R153" s="676">
        <v>0</v>
      </c>
      <c r="S153" s="551">
        <f t="shared" si="40"/>
        <v>33789.21</v>
      </c>
      <c r="T153" s="677"/>
      <c r="U153" s="716">
        <f t="shared" si="41"/>
        <v>33789.21</v>
      </c>
      <c r="V153" s="755"/>
      <c r="W153" s="755"/>
      <c r="X153" s="778"/>
      <c r="Y153" s="755"/>
      <c r="Z153" s="755"/>
      <c r="AA153" s="716"/>
      <c r="AB153" s="755"/>
      <c r="AC153" s="717"/>
      <c r="AD153" s="718">
        <f t="shared" si="42"/>
        <v>33789.21</v>
      </c>
      <c r="AE153" s="717"/>
      <c r="AF153" s="753">
        <f t="shared" si="39"/>
        <v>0</v>
      </c>
    </row>
    <row r="154" spans="1:32">
      <c r="A154" s="677">
        <v>140</v>
      </c>
      <c r="B154" s="379" t="s">
        <v>981</v>
      </c>
      <c r="C154" s="379" t="s">
        <v>456</v>
      </c>
      <c r="D154" s="379" t="s">
        <v>483</v>
      </c>
      <c r="E154" s="665" t="s">
        <v>1556</v>
      </c>
      <c r="F154" s="676">
        <v>-71714</v>
      </c>
      <c r="G154" s="676">
        <v>0</v>
      </c>
      <c r="H154" s="676">
        <v>0</v>
      </c>
      <c r="I154" s="676">
        <v>0</v>
      </c>
      <c r="J154" s="676">
        <v>0</v>
      </c>
      <c r="K154" s="676">
        <v>0</v>
      </c>
      <c r="L154" s="676">
        <v>0</v>
      </c>
      <c r="M154" s="676">
        <v>0</v>
      </c>
      <c r="N154" s="676">
        <v>0</v>
      </c>
      <c r="O154" s="676">
        <v>0</v>
      </c>
      <c r="P154" s="676">
        <v>0</v>
      </c>
      <c r="Q154" s="676">
        <v>0</v>
      </c>
      <c r="R154" s="676">
        <v>0</v>
      </c>
      <c r="S154" s="551">
        <f t="shared" si="40"/>
        <v>-2988.0833333333335</v>
      </c>
      <c r="T154" s="677"/>
      <c r="U154" s="716">
        <f t="shared" si="41"/>
        <v>-2988.0833333333335</v>
      </c>
      <c r="V154" s="755"/>
      <c r="W154" s="755"/>
      <c r="X154" s="778"/>
      <c r="Y154" s="755"/>
      <c r="Z154" s="755"/>
      <c r="AA154" s="716"/>
      <c r="AB154" s="755"/>
      <c r="AC154" s="717"/>
      <c r="AD154" s="718">
        <f t="shared" si="42"/>
        <v>-2988.0833333333335</v>
      </c>
      <c r="AE154" s="717"/>
      <c r="AF154" s="753">
        <f t="shared" si="39"/>
        <v>0</v>
      </c>
    </row>
    <row r="155" spans="1:32">
      <c r="A155" s="677">
        <v>141</v>
      </c>
      <c r="B155" s="379" t="s">
        <v>981</v>
      </c>
      <c r="C155" s="379" t="s">
        <v>456</v>
      </c>
      <c r="D155" s="379" t="s">
        <v>457</v>
      </c>
      <c r="E155" s="665" t="s">
        <v>458</v>
      </c>
      <c r="F155" s="676">
        <v>3059262.74</v>
      </c>
      <c r="G155" s="676">
        <v>1737616.51</v>
      </c>
      <c r="H155" s="676">
        <v>419291.36</v>
      </c>
      <c r="I155" s="676">
        <v>3271523.49</v>
      </c>
      <c r="J155" s="676">
        <v>3808129.94</v>
      </c>
      <c r="K155" s="676">
        <v>3919844.69</v>
      </c>
      <c r="L155" s="676">
        <v>4186822.04</v>
      </c>
      <c r="M155" s="676">
        <v>4639280.42</v>
      </c>
      <c r="N155" s="676">
        <v>4836448.09</v>
      </c>
      <c r="O155" s="676">
        <v>4927090.6100000003</v>
      </c>
      <c r="P155" s="676">
        <v>4366986.1399999997</v>
      </c>
      <c r="Q155" s="676">
        <v>3550736.14</v>
      </c>
      <c r="R155" s="676">
        <v>3853770.95</v>
      </c>
      <c r="S155" s="551">
        <f t="shared" si="40"/>
        <v>3593357.1895833332</v>
      </c>
      <c r="T155" s="677"/>
      <c r="U155" s="716">
        <f t="shared" si="41"/>
        <v>3593357.1895833332</v>
      </c>
      <c r="V155" s="755"/>
      <c r="W155" s="755"/>
      <c r="X155" s="778"/>
      <c r="Y155" s="755"/>
      <c r="Z155" s="755"/>
      <c r="AA155" s="716"/>
      <c r="AB155" s="755"/>
      <c r="AC155" s="717"/>
      <c r="AD155" s="718">
        <f t="shared" si="42"/>
        <v>3593357.1895833332</v>
      </c>
      <c r="AE155" s="717"/>
      <c r="AF155" s="753">
        <f t="shared" si="39"/>
        <v>0</v>
      </c>
    </row>
    <row r="156" spans="1:32">
      <c r="A156" s="677">
        <v>142</v>
      </c>
      <c r="B156" s="379" t="s">
        <v>981</v>
      </c>
      <c r="C156" s="379" t="s">
        <v>456</v>
      </c>
      <c r="D156" s="379" t="s">
        <v>488</v>
      </c>
      <c r="E156" s="665" t="s">
        <v>1418</v>
      </c>
      <c r="F156" s="676">
        <v>218269.33</v>
      </c>
      <c r="G156" s="676">
        <v>0</v>
      </c>
      <c r="H156" s="676">
        <v>0</v>
      </c>
      <c r="I156" s="676">
        <v>0</v>
      </c>
      <c r="J156" s="676">
        <v>0</v>
      </c>
      <c r="K156" s="676">
        <v>0</v>
      </c>
      <c r="L156" s="676">
        <v>0</v>
      </c>
      <c r="M156" s="676">
        <v>0</v>
      </c>
      <c r="N156" s="676">
        <v>0</v>
      </c>
      <c r="O156" s="676">
        <v>0</v>
      </c>
      <c r="P156" s="676">
        <v>0</v>
      </c>
      <c r="Q156" s="676">
        <v>45364.26</v>
      </c>
      <c r="R156" s="676">
        <v>319155.09999999998</v>
      </c>
      <c r="S156" s="551">
        <f t="shared" si="40"/>
        <v>26173.039583333331</v>
      </c>
      <c r="T156" s="677"/>
      <c r="U156" s="716">
        <f t="shared" si="41"/>
        <v>26173.039583333331</v>
      </c>
      <c r="V156" s="755"/>
      <c r="W156" s="755"/>
      <c r="X156" s="778"/>
      <c r="Y156" s="755"/>
      <c r="Z156" s="755"/>
      <c r="AA156" s="716"/>
      <c r="AB156" s="755"/>
      <c r="AC156" s="717"/>
      <c r="AD156" s="718">
        <f t="shared" si="42"/>
        <v>26173.039583333331</v>
      </c>
      <c r="AE156" s="717"/>
      <c r="AF156" s="753">
        <f t="shared" si="39"/>
        <v>0</v>
      </c>
    </row>
    <row r="157" spans="1:32">
      <c r="A157" s="677">
        <v>143</v>
      </c>
      <c r="B157" s="379" t="s">
        <v>981</v>
      </c>
      <c r="C157" s="379" t="s">
        <v>456</v>
      </c>
      <c r="D157" s="379" t="s">
        <v>1163</v>
      </c>
      <c r="E157" s="675" t="s">
        <v>1419</v>
      </c>
      <c r="F157" s="676">
        <v>157660.22</v>
      </c>
      <c r="G157" s="676">
        <v>0</v>
      </c>
      <c r="H157" s="676">
        <v>0</v>
      </c>
      <c r="I157" s="676">
        <v>0</v>
      </c>
      <c r="J157" s="676">
        <v>0</v>
      </c>
      <c r="K157" s="676">
        <v>0</v>
      </c>
      <c r="L157" s="676">
        <v>0</v>
      </c>
      <c r="M157" s="676">
        <v>0</v>
      </c>
      <c r="N157" s="676">
        <v>0</v>
      </c>
      <c r="O157" s="676">
        <v>0</v>
      </c>
      <c r="P157" s="676">
        <v>0</v>
      </c>
      <c r="Q157" s="676">
        <v>28021.95</v>
      </c>
      <c r="R157" s="676">
        <v>167630.71</v>
      </c>
      <c r="S157" s="551">
        <f t="shared" si="40"/>
        <v>15888.95125</v>
      </c>
      <c r="T157" s="677"/>
      <c r="U157" s="716">
        <f t="shared" si="41"/>
        <v>15888.95125</v>
      </c>
      <c r="V157" s="755"/>
      <c r="W157" s="755"/>
      <c r="X157" s="778"/>
      <c r="Y157" s="755"/>
      <c r="Z157" s="755"/>
      <c r="AA157" s="716"/>
      <c r="AB157" s="755"/>
      <c r="AC157" s="717"/>
      <c r="AD157" s="718">
        <f t="shared" si="42"/>
        <v>15888.95125</v>
      </c>
      <c r="AE157" s="717"/>
      <c r="AF157" s="753">
        <f t="shared" si="39"/>
        <v>0</v>
      </c>
    </row>
    <row r="158" spans="1:32">
      <c r="A158" s="677">
        <v>144</v>
      </c>
      <c r="B158" s="379" t="s">
        <v>981</v>
      </c>
      <c r="C158" s="379" t="s">
        <v>456</v>
      </c>
      <c r="D158" s="379" t="s">
        <v>1417</v>
      </c>
      <c r="E158" s="675" t="s">
        <v>1554</v>
      </c>
      <c r="F158" s="676">
        <v>0</v>
      </c>
      <c r="G158" s="676">
        <v>0</v>
      </c>
      <c r="H158" s="676">
        <v>0</v>
      </c>
      <c r="I158" s="676">
        <v>0</v>
      </c>
      <c r="J158" s="676">
        <v>0</v>
      </c>
      <c r="K158" s="676">
        <v>0</v>
      </c>
      <c r="L158" s="676">
        <v>0</v>
      </c>
      <c r="M158" s="676">
        <v>0</v>
      </c>
      <c r="N158" s="676">
        <v>0</v>
      </c>
      <c r="O158" s="676">
        <v>0</v>
      </c>
      <c r="P158" s="676">
        <v>0</v>
      </c>
      <c r="Q158" s="676">
        <v>0</v>
      </c>
      <c r="R158" s="676">
        <v>0</v>
      </c>
      <c r="S158" s="551">
        <f t="shared" si="40"/>
        <v>0</v>
      </c>
      <c r="T158" s="677"/>
      <c r="U158" s="716">
        <f t="shared" si="41"/>
        <v>0</v>
      </c>
      <c r="V158" s="755"/>
      <c r="W158" s="755"/>
      <c r="X158" s="778"/>
      <c r="Y158" s="755"/>
      <c r="Z158" s="755"/>
      <c r="AA158" s="716"/>
      <c r="AB158" s="755"/>
      <c r="AC158" s="717"/>
      <c r="AD158" s="718">
        <f t="shared" si="42"/>
        <v>0</v>
      </c>
      <c r="AE158" s="717"/>
      <c r="AF158" s="753">
        <f t="shared" si="39"/>
        <v>0</v>
      </c>
    </row>
    <row r="159" spans="1:32">
      <c r="A159" s="677">
        <v>145</v>
      </c>
      <c r="B159" s="379" t="s">
        <v>1009</v>
      </c>
      <c r="C159" s="379" t="s">
        <v>456</v>
      </c>
      <c r="D159" s="379" t="s">
        <v>463</v>
      </c>
      <c r="E159" s="675" t="s">
        <v>1557</v>
      </c>
      <c r="F159" s="676">
        <v>-3.2741809263825397E-11</v>
      </c>
      <c r="G159" s="676">
        <v>0</v>
      </c>
      <c r="H159" s="676">
        <v>0</v>
      </c>
      <c r="I159" s="676">
        <v>139384.79999999999</v>
      </c>
      <c r="J159" s="676">
        <v>123897.54</v>
      </c>
      <c r="K159" s="676">
        <v>108410.28</v>
      </c>
      <c r="L159" s="676">
        <v>92923.02</v>
      </c>
      <c r="M159" s="676">
        <v>77435.759999999995</v>
      </c>
      <c r="N159" s="676">
        <v>61948.5</v>
      </c>
      <c r="O159" s="676">
        <v>46461.24</v>
      </c>
      <c r="P159" s="676">
        <v>30973.98</v>
      </c>
      <c r="Q159" s="676">
        <v>15486.72</v>
      </c>
      <c r="R159" s="676">
        <v>-0.53999999999723503</v>
      </c>
      <c r="S159" s="551">
        <f t="shared" si="40"/>
        <v>58076.797499999993</v>
      </c>
      <c r="T159" s="677"/>
      <c r="U159" s="716">
        <f t="shared" si="41"/>
        <v>58076.797499999993</v>
      </c>
      <c r="V159" s="755"/>
      <c r="W159" s="755"/>
      <c r="X159" s="778"/>
      <c r="Y159" s="755"/>
      <c r="Z159" s="755"/>
      <c r="AA159" s="716"/>
      <c r="AB159" s="755"/>
      <c r="AC159" s="717"/>
      <c r="AD159" s="718">
        <f t="shared" si="42"/>
        <v>58076.797499999993</v>
      </c>
      <c r="AE159" s="717"/>
      <c r="AF159" s="753">
        <f t="shared" si="39"/>
        <v>0</v>
      </c>
    </row>
    <row r="160" spans="1:32">
      <c r="A160" s="677">
        <v>146</v>
      </c>
      <c r="B160" s="379" t="s">
        <v>1009</v>
      </c>
      <c r="C160" s="379" t="s">
        <v>456</v>
      </c>
      <c r="D160" s="379" t="s">
        <v>450</v>
      </c>
      <c r="E160" s="675" t="s">
        <v>1558</v>
      </c>
      <c r="F160" s="676">
        <v>34487.9</v>
      </c>
      <c r="G160" s="676">
        <v>27590.32</v>
      </c>
      <c r="H160" s="676">
        <v>20692.740000000002</v>
      </c>
      <c r="I160" s="676">
        <v>13795.16</v>
      </c>
      <c r="J160" s="676">
        <v>6897.58</v>
      </c>
      <c r="K160" s="676">
        <v>-1.8189894035458601E-12</v>
      </c>
      <c r="L160" s="676">
        <v>-1.8189894035458601E-12</v>
      </c>
      <c r="M160" s="676">
        <v>-1.8189894035458601E-12</v>
      </c>
      <c r="N160" s="676">
        <v>-1.8189894035458601E-12</v>
      </c>
      <c r="O160" s="676">
        <v>48622.28</v>
      </c>
      <c r="P160" s="676">
        <v>42544.5</v>
      </c>
      <c r="Q160" s="676">
        <v>36466.720000000001</v>
      </c>
      <c r="R160" s="676">
        <v>30388.94</v>
      </c>
      <c r="S160" s="551">
        <f t="shared" si="40"/>
        <v>19087.310000000001</v>
      </c>
      <c r="T160" s="677"/>
      <c r="U160" s="716">
        <f t="shared" si="41"/>
        <v>19087.310000000001</v>
      </c>
      <c r="V160" s="755"/>
      <c r="W160" s="755"/>
      <c r="X160" s="778"/>
      <c r="Y160" s="755"/>
      <c r="Z160" s="755"/>
      <c r="AA160" s="716"/>
      <c r="AB160" s="755"/>
      <c r="AC160" s="717"/>
      <c r="AD160" s="718">
        <f t="shared" si="42"/>
        <v>19087.310000000001</v>
      </c>
      <c r="AE160" s="717"/>
      <c r="AF160" s="753">
        <f t="shared" si="39"/>
        <v>0</v>
      </c>
    </row>
    <row r="161" spans="1:32">
      <c r="A161" s="677">
        <v>147</v>
      </c>
      <c r="B161" s="379" t="s">
        <v>1009</v>
      </c>
      <c r="C161" s="379" t="s">
        <v>456</v>
      </c>
      <c r="D161" s="379" t="s">
        <v>494</v>
      </c>
      <c r="E161" s="675" t="s">
        <v>1559</v>
      </c>
      <c r="F161" s="676">
        <v>843102</v>
      </c>
      <c r="G161" s="676">
        <v>702585</v>
      </c>
      <c r="H161" s="676">
        <v>562068</v>
      </c>
      <c r="I161" s="676">
        <v>421551</v>
      </c>
      <c r="J161" s="676">
        <v>281034</v>
      </c>
      <c r="K161" s="676">
        <v>140517</v>
      </c>
      <c r="L161" s="676">
        <v>0</v>
      </c>
      <c r="M161" s="676">
        <v>0</v>
      </c>
      <c r="N161" s="676">
        <v>0</v>
      </c>
      <c r="O161" s="676">
        <v>0</v>
      </c>
      <c r="P161" s="676">
        <v>0</v>
      </c>
      <c r="Q161" s="676">
        <v>1095682</v>
      </c>
      <c r="R161" s="676">
        <v>939156</v>
      </c>
      <c r="S161" s="551">
        <f t="shared" si="40"/>
        <v>341213.83333333331</v>
      </c>
      <c r="T161" s="677"/>
      <c r="U161" s="716">
        <f t="shared" si="41"/>
        <v>341213.83333333331</v>
      </c>
      <c r="V161" s="755"/>
      <c r="W161" s="755"/>
      <c r="X161" s="778"/>
      <c r="Y161" s="755"/>
      <c r="Z161" s="755"/>
      <c r="AA161" s="716"/>
      <c r="AB161" s="755"/>
      <c r="AC161" s="717"/>
      <c r="AD161" s="718">
        <f t="shared" si="42"/>
        <v>341213.83333333331</v>
      </c>
      <c r="AE161" s="717"/>
      <c r="AF161" s="753">
        <f t="shared" si="39"/>
        <v>0</v>
      </c>
    </row>
    <row r="162" spans="1:32">
      <c r="A162" s="677">
        <v>148</v>
      </c>
      <c r="B162" s="379" t="s">
        <v>981</v>
      </c>
      <c r="C162" s="379" t="s">
        <v>456</v>
      </c>
      <c r="D162" s="379" t="s">
        <v>495</v>
      </c>
      <c r="E162" s="675" t="s">
        <v>1553</v>
      </c>
      <c r="F162" s="676">
        <v>54001.75</v>
      </c>
      <c r="G162" s="676">
        <v>0</v>
      </c>
      <c r="H162" s="676">
        <v>0</v>
      </c>
      <c r="I162" s="676">
        <v>0</v>
      </c>
      <c r="J162" s="676">
        <v>0</v>
      </c>
      <c r="K162" s="676">
        <v>0</v>
      </c>
      <c r="L162" s="676">
        <v>0</v>
      </c>
      <c r="M162" s="676">
        <v>0</v>
      </c>
      <c r="N162" s="676">
        <v>0</v>
      </c>
      <c r="O162" s="676">
        <v>0</v>
      </c>
      <c r="P162" s="676">
        <v>0</v>
      </c>
      <c r="Q162" s="676">
        <v>0</v>
      </c>
      <c r="R162" s="676">
        <v>54525.75</v>
      </c>
      <c r="S162" s="551">
        <f t="shared" si="40"/>
        <v>4521.979166666667</v>
      </c>
      <c r="T162" s="677"/>
      <c r="U162" s="716">
        <f t="shared" si="41"/>
        <v>4521.979166666667</v>
      </c>
      <c r="V162" s="755"/>
      <c r="W162" s="755"/>
      <c r="X162" s="778"/>
      <c r="Y162" s="755"/>
      <c r="Z162" s="755"/>
      <c r="AA162" s="716"/>
      <c r="AB162" s="755"/>
      <c r="AC162" s="717"/>
      <c r="AD162" s="718">
        <f t="shared" si="42"/>
        <v>4521.979166666667</v>
      </c>
      <c r="AE162" s="717"/>
      <c r="AF162" s="753">
        <f t="shared" si="39"/>
        <v>0</v>
      </c>
    </row>
    <row r="163" spans="1:32">
      <c r="A163" s="677">
        <v>149</v>
      </c>
      <c r="B163" s="379" t="s">
        <v>1009</v>
      </c>
      <c r="C163" s="379" t="s">
        <v>459</v>
      </c>
      <c r="D163" s="379" t="s">
        <v>1164</v>
      </c>
      <c r="E163" s="675" t="s">
        <v>1561</v>
      </c>
      <c r="F163" s="676">
        <v>0</v>
      </c>
      <c r="G163" s="676">
        <v>0</v>
      </c>
      <c r="H163" s="676">
        <v>0</v>
      </c>
      <c r="I163" s="676">
        <v>0</v>
      </c>
      <c r="J163" s="676">
        <v>0</v>
      </c>
      <c r="K163" s="676">
        <v>0</v>
      </c>
      <c r="L163" s="676">
        <v>0</v>
      </c>
      <c r="M163" s="676">
        <v>0</v>
      </c>
      <c r="N163" s="676">
        <v>0</v>
      </c>
      <c r="O163" s="676">
        <v>0</v>
      </c>
      <c r="P163" s="676">
        <v>0</v>
      </c>
      <c r="Q163" s="676">
        <v>179.76</v>
      </c>
      <c r="R163" s="676">
        <v>0</v>
      </c>
      <c r="S163" s="551">
        <f t="shared" si="40"/>
        <v>14.979999999999999</v>
      </c>
      <c r="T163" s="677"/>
      <c r="U163" s="716">
        <f t="shared" si="41"/>
        <v>14.979999999999999</v>
      </c>
      <c r="V163" s="755"/>
      <c r="W163" s="755"/>
      <c r="X163" s="778"/>
      <c r="Y163" s="755"/>
      <c r="Z163" s="755"/>
      <c r="AA163" s="716"/>
      <c r="AB163" s="755"/>
      <c r="AC163" s="717"/>
      <c r="AD163" s="718">
        <f t="shared" si="42"/>
        <v>14.979999999999999</v>
      </c>
      <c r="AE163" s="717"/>
      <c r="AF163" s="753">
        <f t="shared" si="39"/>
        <v>0</v>
      </c>
    </row>
    <row r="164" spans="1:32">
      <c r="A164" s="677">
        <v>150</v>
      </c>
      <c r="B164" s="379" t="s">
        <v>984</v>
      </c>
      <c r="C164" s="379" t="s">
        <v>459</v>
      </c>
      <c r="D164" s="379" t="s">
        <v>1165</v>
      </c>
      <c r="E164" s="675" t="s">
        <v>1561</v>
      </c>
      <c r="F164" s="676">
        <v>0</v>
      </c>
      <c r="G164" s="676">
        <v>0</v>
      </c>
      <c r="H164" s="676">
        <v>0</v>
      </c>
      <c r="I164" s="676">
        <v>0</v>
      </c>
      <c r="J164" s="676">
        <v>0</v>
      </c>
      <c r="K164" s="676">
        <v>0</v>
      </c>
      <c r="L164" s="676">
        <v>0</v>
      </c>
      <c r="M164" s="676">
        <v>0</v>
      </c>
      <c r="N164" s="676">
        <v>0</v>
      </c>
      <c r="O164" s="676">
        <v>0</v>
      </c>
      <c r="P164" s="676">
        <v>0</v>
      </c>
      <c r="Q164" s="676">
        <v>650.24</v>
      </c>
      <c r="R164" s="676">
        <v>0</v>
      </c>
      <c r="S164" s="551">
        <f t="shared" si="40"/>
        <v>54.186666666666667</v>
      </c>
      <c r="T164" s="677"/>
      <c r="U164" s="716">
        <f t="shared" si="41"/>
        <v>54.186666666666667</v>
      </c>
      <c r="V164" s="755"/>
      <c r="W164" s="755"/>
      <c r="X164" s="778"/>
      <c r="Y164" s="755"/>
      <c r="Z164" s="755"/>
      <c r="AA164" s="716"/>
      <c r="AB164" s="755"/>
      <c r="AC164" s="717"/>
      <c r="AD164" s="718">
        <f t="shared" si="42"/>
        <v>54.186666666666667</v>
      </c>
      <c r="AE164" s="717"/>
      <c r="AF164" s="753">
        <f t="shared" si="39"/>
        <v>0</v>
      </c>
    </row>
    <row r="165" spans="1:32">
      <c r="A165" s="677">
        <v>151</v>
      </c>
      <c r="B165" s="379" t="s">
        <v>981</v>
      </c>
      <c r="C165" s="379" t="s">
        <v>460</v>
      </c>
      <c r="D165" s="379" t="s">
        <v>463</v>
      </c>
      <c r="E165" s="675" t="s">
        <v>461</v>
      </c>
      <c r="F165" s="676">
        <v>0</v>
      </c>
      <c r="G165" s="676">
        <v>0</v>
      </c>
      <c r="H165" s="676">
        <v>0</v>
      </c>
      <c r="I165" s="676">
        <v>0</v>
      </c>
      <c r="J165" s="676">
        <v>0</v>
      </c>
      <c r="K165" s="676">
        <v>0</v>
      </c>
      <c r="L165" s="676">
        <v>0</v>
      </c>
      <c r="M165" s="676">
        <v>0</v>
      </c>
      <c r="N165" s="676">
        <v>0</v>
      </c>
      <c r="O165" s="676">
        <v>0</v>
      </c>
      <c r="P165" s="676">
        <v>0</v>
      </c>
      <c r="Q165" s="676">
        <v>0</v>
      </c>
      <c r="R165" s="676">
        <v>0</v>
      </c>
      <c r="S165" s="551">
        <f t="shared" si="40"/>
        <v>0</v>
      </c>
      <c r="T165" s="677"/>
      <c r="U165" s="716">
        <f t="shared" si="41"/>
        <v>0</v>
      </c>
      <c r="V165" s="755"/>
      <c r="W165" s="755"/>
      <c r="X165" s="778"/>
      <c r="Y165" s="755"/>
      <c r="Z165" s="755"/>
      <c r="AA165" s="716"/>
      <c r="AB165" s="755"/>
      <c r="AC165" s="717"/>
      <c r="AD165" s="718">
        <f t="shared" si="42"/>
        <v>0</v>
      </c>
      <c r="AE165" s="717"/>
      <c r="AF165" s="753">
        <f t="shared" si="39"/>
        <v>0</v>
      </c>
    </row>
    <row r="166" spans="1:32">
      <c r="A166" s="677">
        <v>152</v>
      </c>
      <c r="B166" s="379" t="s">
        <v>981</v>
      </c>
      <c r="C166" s="379" t="s">
        <v>462</v>
      </c>
      <c r="D166" s="379" t="s">
        <v>463</v>
      </c>
      <c r="E166" s="675" t="s">
        <v>464</v>
      </c>
      <c r="F166" s="676">
        <v>0</v>
      </c>
      <c r="G166" s="676">
        <v>0</v>
      </c>
      <c r="H166" s="676">
        <v>0</v>
      </c>
      <c r="I166" s="676">
        <v>0</v>
      </c>
      <c r="J166" s="676">
        <v>0</v>
      </c>
      <c r="K166" s="676">
        <v>0</v>
      </c>
      <c r="L166" s="676">
        <v>0</v>
      </c>
      <c r="M166" s="676">
        <v>0</v>
      </c>
      <c r="N166" s="676">
        <v>0</v>
      </c>
      <c r="O166" s="676">
        <v>0</v>
      </c>
      <c r="P166" s="676">
        <v>970</v>
      </c>
      <c r="Q166" s="676">
        <v>0</v>
      </c>
      <c r="R166" s="676">
        <v>138098</v>
      </c>
      <c r="S166" s="551">
        <f t="shared" si="40"/>
        <v>5834.916666666667</v>
      </c>
      <c r="T166" s="677"/>
      <c r="U166" s="716">
        <f t="shared" si="41"/>
        <v>5834.916666666667</v>
      </c>
      <c r="V166" s="755"/>
      <c r="W166" s="755"/>
      <c r="X166" s="778"/>
      <c r="Y166" s="755"/>
      <c r="Z166" s="755"/>
      <c r="AA166" s="716"/>
      <c r="AB166" s="755"/>
      <c r="AC166" s="717"/>
      <c r="AD166" s="718">
        <f t="shared" si="42"/>
        <v>5834.916666666667</v>
      </c>
      <c r="AE166" s="717"/>
      <c r="AF166" s="753">
        <f t="shared" si="39"/>
        <v>0</v>
      </c>
    </row>
    <row r="167" spans="1:32">
      <c r="A167" s="677">
        <v>153</v>
      </c>
      <c r="B167" s="379" t="s">
        <v>1885</v>
      </c>
      <c r="C167" s="379" t="s">
        <v>456</v>
      </c>
      <c r="D167" s="379" t="s">
        <v>1142</v>
      </c>
      <c r="E167" s="675" t="s">
        <v>1891</v>
      </c>
      <c r="F167" s="676">
        <v>0</v>
      </c>
      <c r="G167" s="676">
        <v>0</v>
      </c>
      <c r="H167" s="676">
        <v>0</v>
      </c>
      <c r="I167" s="676">
        <v>12407398.130000001</v>
      </c>
      <c r="J167" s="676">
        <v>0</v>
      </c>
      <c r="K167" s="676">
        <v>0</v>
      </c>
      <c r="L167" s="676">
        <v>0</v>
      </c>
      <c r="M167" s="676">
        <v>0</v>
      </c>
      <c r="N167" s="676">
        <v>0</v>
      </c>
      <c r="O167" s="676">
        <v>0</v>
      </c>
      <c r="P167" s="676">
        <v>0</v>
      </c>
      <c r="Q167" s="676">
        <v>0</v>
      </c>
      <c r="R167" s="676">
        <v>0</v>
      </c>
      <c r="S167" s="551">
        <f t="shared" si="40"/>
        <v>1033949.8441666667</v>
      </c>
      <c r="T167" s="677"/>
      <c r="U167" s="716">
        <f>+S167</f>
        <v>1033949.8441666667</v>
      </c>
      <c r="V167" s="755"/>
      <c r="W167" s="755"/>
      <c r="X167" s="778"/>
      <c r="Y167" s="755"/>
      <c r="Z167" s="755"/>
      <c r="AA167" s="716"/>
      <c r="AB167" s="755"/>
      <c r="AC167" s="717"/>
      <c r="AD167" s="718">
        <f t="shared" si="42"/>
        <v>1033949.8441666667</v>
      </c>
      <c r="AE167" s="717"/>
      <c r="AF167" s="753">
        <f t="shared" si="39"/>
        <v>0</v>
      </c>
    </row>
    <row r="168" spans="1:32">
      <c r="A168" s="677">
        <v>154</v>
      </c>
      <c r="B168" s="379" t="s">
        <v>1885</v>
      </c>
      <c r="C168" s="379" t="s">
        <v>460</v>
      </c>
      <c r="D168" s="379" t="s">
        <v>382</v>
      </c>
      <c r="E168" s="675" t="s">
        <v>461</v>
      </c>
      <c r="F168" s="676">
        <v>0</v>
      </c>
      <c r="G168" s="676">
        <v>6608847.7199999997</v>
      </c>
      <c r="H168" s="676">
        <v>5786788.9500000002</v>
      </c>
      <c r="I168" s="676">
        <v>5526639.8300000001</v>
      </c>
      <c r="J168" s="676">
        <v>5959971.2999999998</v>
      </c>
      <c r="K168" s="676">
        <v>6195366.1200000001</v>
      </c>
      <c r="L168" s="676">
        <v>6744853.4000000004</v>
      </c>
      <c r="M168" s="676">
        <v>7218543.9699999997</v>
      </c>
      <c r="N168" s="676">
        <v>7648108.7699999996</v>
      </c>
      <c r="O168" s="676">
        <v>8128912.3099999996</v>
      </c>
      <c r="P168" s="676">
        <v>8088749.96</v>
      </c>
      <c r="Q168" s="676">
        <v>7546135.9699999997</v>
      </c>
      <c r="R168" s="676">
        <v>7163930.3700000001</v>
      </c>
      <c r="S168" s="551">
        <f t="shared" si="40"/>
        <v>6586240.2904166663</v>
      </c>
      <c r="T168" s="677"/>
      <c r="U168" s="716">
        <f>+S168</f>
        <v>6586240.2904166663</v>
      </c>
      <c r="V168" s="755"/>
      <c r="W168" s="755"/>
      <c r="X168" s="778"/>
      <c r="Y168" s="755"/>
      <c r="Z168" s="755"/>
      <c r="AA168" s="716"/>
      <c r="AB168" s="755"/>
      <c r="AC168" s="717"/>
      <c r="AD168" s="718">
        <f t="shared" si="42"/>
        <v>6586240.2904166663</v>
      </c>
      <c r="AE168" s="717"/>
      <c r="AF168" s="753">
        <f t="shared" si="39"/>
        <v>0</v>
      </c>
    </row>
    <row r="169" spans="1:32">
      <c r="A169" s="677">
        <v>155</v>
      </c>
      <c r="B169" s="677"/>
      <c r="C169" s="677"/>
      <c r="D169" s="677"/>
      <c r="E169" s="675" t="s">
        <v>465</v>
      </c>
      <c r="F169" s="553">
        <f t="shared" ref="F169:R169" si="43">SUM(F151:F168)</f>
        <v>15502937.680000003</v>
      </c>
      <c r="G169" s="553">
        <f t="shared" si="43"/>
        <v>10211167.84</v>
      </c>
      <c r="H169" s="553">
        <f t="shared" si="43"/>
        <v>7857350</v>
      </c>
      <c r="I169" s="553">
        <f t="shared" si="43"/>
        <v>22790244.759999998</v>
      </c>
      <c r="J169" s="553">
        <f t="shared" si="43"/>
        <v>11033069.359999999</v>
      </c>
      <c r="K169" s="553">
        <f t="shared" si="43"/>
        <v>11108829.43</v>
      </c>
      <c r="L169" s="553">
        <f t="shared" si="43"/>
        <v>11670284.1</v>
      </c>
      <c r="M169" s="553">
        <f t="shared" si="43"/>
        <v>12462392.629999999</v>
      </c>
      <c r="N169" s="553">
        <f t="shared" si="43"/>
        <v>12955084.68</v>
      </c>
      <c r="O169" s="553">
        <f t="shared" si="43"/>
        <v>13480871.060000001</v>
      </c>
      <c r="P169" s="553">
        <f t="shared" si="43"/>
        <v>12741716.550000001</v>
      </c>
      <c r="Q169" s="553">
        <f t="shared" si="43"/>
        <v>12575842.5</v>
      </c>
      <c r="R169" s="553">
        <f t="shared" si="43"/>
        <v>12804673.800000001</v>
      </c>
      <c r="S169" s="553">
        <f>SUM(S151:S168)</f>
        <v>12753388.220833335</v>
      </c>
      <c r="T169" s="677"/>
      <c r="U169" s="716"/>
      <c r="V169" s="755"/>
      <c r="W169" s="755"/>
      <c r="X169" s="778"/>
      <c r="Y169" s="755"/>
      <c r="Z169" s="755"/>
      <c r="AA169" s="716"/>
      <c r="AB169" s="755"/>
      <c r="AC169" s="717"/>
      <c r="AD169" s="717"/>
      <c r="AE169" s="717"/>
      <c r="AF169" s="753">
        <f t="shared" si="39"/>
        <v>0</v>
      </c>
    </row>
    <row r="170" spans="1:32">
      <c r="A170" s="677">
        <v>156</v>
      </c>
      <c r="B170" s="677"/>
      <c r="C170" s="677"/>
      <c r="D170" s="677"/>
      <c r="E170" s="662"/>
      <c r="F170" s="676"/>
      <c r="G170" s="377"/>
      <c r="H170" s="368"/>
      <c r="I170" s="368"/>
      <c r="J170" s="369"/>
      <c r="K170" s="370"/>
      <c r="L170" s="371"/>
      <c r="M170" s="372"/>
      <c r="N170" s="373"/>
      <c r="O170" s="663"/>
      <c r="P170" s="374"/>
      <c r="Q170" s="378"/>
      <c r="R170" s="676"/>
      <c r="S170" s="357"/>
      <c r="T170" s="677"/>
      <c r="U170" s="716"/>
      <c r="V170" s="755"/>
      <c r="W170" s="755"/>
      <c r="X170" s="778"/>
      <c r="Y170" s="755"/>
      <c r="Z170" s="755"/>
      <c r="AA170" s="716"/>
      <c r="AB170" s="755"/>
      <c r="AC170" s="717"/>
      <c r="AD170" s="717"/>
      <c r="AE170" s="717"/>
      <c r="AF170" s="753">
        <f t="shared" si="39"/>
        <v>0</v>
      </c>
    </row>
    <row r="171" spans="1:32">
      <c r="A171" s="677">
        <v>157</v>
      </c>
      <c r="B171" s="379" t="s">
        <v>1009</v>
      </c>
      <c r="C171" s="379" t="s">
        <v>466</v>
      </c>
      <c r="D171" s="379" t="s">
        <v>463</v>
      </c>
      <c r="E171" s="675" t="s">
        <v>1562</v>
      </c>
      <c r="F171" s="676">
        <v>3996207.51</v>
      </c>
      <c r="G171" s="676">
        <v>4142082.6</v>
      </c>
      <c r="H171" s="676">
        <v>4519025.45</v>
      </c>
      <c r="I171" s="676">
        <v>3009326.44</v>
      </c>
      <c r="J171" s="676">
        <v>1956278.65</v>
      </c>
      <c r="K171" s="676">
        <v>962759.14999999898</v>
      </c>
      <c r="L171" s="676">
        <v>731962.76999999897</v>
      </c>
      <c r="M171" s="676">
        <v>565739.179999999</v>
      </c>
      <c r="N171" s="676">
        <v>288823.299999999</v>
      </c>
      <c r="O171" s="676">
        <v>718108.98</v>
      </c>
      <c r="P171" s="676">
        <v>2314646.5499999998</v>
      </c>
      <c r="Q171" s="676">
        <v>3445820.69</v>
      </c>
      <c r="R171" s="676">
        <v>3995882.3</v>
      </c>
      <c r="S171" s="551">
        <f>((F171+R171)+((G171+H171+I171+J171+K171+L171+M171+N171+O171+P171+Q171)*2))/24</f>
        <v>2220884.8887499999</v>
      </c>
      <c r="T171" s="677"/>
      <c r="U171" s="716">
        <f t="shared" ref="U171:U180" si="44">+S171</f>
        <v>2220884.8887499999</v>
      </c>
      <c r="V171" s="755"/>
      <c r="W171" s="755"/>
      <c r="X171" s="778"/>
      <c r="Y171" s="755"/>
      <c r="Z171" s="755"/>
      <c r="AA171" s="716"/>
      <c r="AB171" s="755"/>
      <c r="AC171" s="717"/>
      <c r="AD171" s="718">
        <f t="shared" ref="AD171:AD180" si="45">+U171</f>
        <v>2220884.8887499999</v>
      </c>
      <c r="AE171" s="717"/>
      <c r="AF171" s="753">
        <f t="shared" si="39"/>
        <v>0</v>
      </c>
    </row>
    <row r="172" spans="1:32">
      <c r="A172" s="677">
        <v>158</v>
      </c>
      <c r="B172" s="379" t="s">
        <v>984</v>
      </c>
      <c r="C172" s="379" t="s">
        <v>466</v>
      </c>
      <c r="D172" s="379" t="s">
        <v>463</v>
      </c>
      <c r="E172" s="675" t="s">
        <v>1562</v>
      </c>
      <c r="F172" s="676">
        <v>9812907.4100000001</v>
      </c>
      <c r="G172" s="676">
        <v>9814210.4800000004</v>
      </c>
      <c r="H172" s="676">
        <v>12289714.92</v>
      </c>
      <c r="I172" s="676">
        <v>7916537.5599999996</v>
      </c>
      <c r="J172" s="676">
        <v>4541958.57</v>
      </c>
      <c r="K172" s="676">
        <v>2644109.17</v>
      </c>
      <c r="L172" s="676">
        <v>1735971.12</v>
      </c>
      <c r="M172" s="676">
        <v>1633900.5</v>
      </c>
      <c r="N172" s="676">
        <v>873816.87</v>
      </c>
      <c r="O172" s="676">
        <v>2140292.2200000002</v>
      </c>
      <c r="P172" s="676">
        <v>5885722.04</v>
      </c>
      <c r="Q172" s="676">
        <v>10448165.050000001</v>
      </c>
      <c r="R172" s="676">
        <v>12363365.84</v>
      </c>
      <c r="S172" s="551">
        <f t="shared" ref="S172:S179" si="46">((F172+R172)+((G172+H172+I172+J172+K172+L172+M172+N172+O172+P172+Q172)*2))/24</f>
        <v>5917711.260416667</v>
      </c>
      <c r="T172" s="677"/>
      <c r="U172" s="716">
        <f t="shared" si="44"/>
        <v>5917711.260416667</v>
      </c>
      <c r="V172" s="755"/>
      <c r="W172" s="755"/>
      <c r="X172" s="778"/>
      <c r="Y172" s="755"/>
      <c r="Z172" s="755"/>
      <c r="AA172" s="716"/>
      <c r="AB172" s="755"/>
      <c r="AC172" s="717"/>
      <c r="AD172" s="718">
        <f t="shared" si="45"/>
        <v>5917711.260416667</v>
      </c>
      <c r="AE172" s="717"/>
      <c r="AF172" s="753">
        <f t="shared" si="39"/>
        <v>0</v>
      </c>
    </row>
    <row r="173" spans="1:32">
      <c r="A173" s="677">
        <v>159</v>
      </c>
      <c r="B173" s="379" t="s">
        <v>1009</v>
      </c>
      <c r="C173" s="379" t="s">
        <v>466</v>
      </c>
      <c r="D173" s="379" t="s">
        <v>450</v>
      </c>
      <c r="E173" s="675" t="s">
        <v>1563</v>
      </c>
      <c r="F173" s="676">
        <v>2076923.47</v>
      </c>
      <c r="G173" s="676">
        <v>2053249.37</v>
      </c>
      <c r="H173" s="676">
        <v>2290904.6800000002</v>
      </c>
      <c r="I173" s="676">
        <v>1537587.61</v>
      </c>
      <c r="J173" s="676">
        <v>967695.83</v>
      </c>
      <c r="K173" s="676">
        <v>498879.2</v>
      </c>
      <c r="L173" s="676">
        <v>403631.59</v>
      </c>
      <c r="M173" s="676">
        <v>376763.13</v>
      </c>
      <c r="N173" s="676">
        <v>205193.59</v>
      </c>
      <c r="O173" s="676">
        <v>492757.75</v>
      </c>
      <c r="P173" s="676">
        <v>1334048.1200000001</v>
      </c>
      <c r="Q173" s="676">
        <v>2147785.9700000002</v>
      </c>
      <c r="R173" s="676">
        <v>2358929.9900000002</v>
      </c>
      <c r="S173" s="551">
        <f t="shared" si="46"/>
        <v>1210535.2975000001</v>
      </c>
      <c r="T173" s="677"/>
      <c r="U173" s="716">
        <f t="shared" si="44"/>
        <v>1210535.2975000001</v>
      </c>
      <c r="V173" s="755"/>
      <c r="W173" s="755"/>
      <c r="X173" s="778"/>
      <c r="Y173" s="755"/>
      <c r="Z173" s="755"/>
      <c r="AA173" s="716"/>
      <c r="AB173" s="755"/>
      <c r="AC173" s="717"/>
      <c r="AD173" s="718">
        <f t="shared" si="45"/>
        <v>1210535.2975000001</v>
      </c>
      <c r="AE173" s="717"/>
      <c r="AF173" s="753">
        <f t="shared" si="39"/>
        <v>0</v>
      </c>
    </row>
    <row r="174" spans="1:32">
      <c r="A174" s="677">
        <v>160</v>
      </c>
      <c r="B174" s="379" t="s">
        <v>984</v>
      </c>
      <c r="C174" s="379" t="s">
        <v>466</v>
      </c>
      <c r="D174" s="379" t="s">
        <v>450</v>
      </c>
      <c r="E174" s="675" t="s">
        <v>1563</v>
      </c>
      <c r="F174" s="676">
        <v>6666508.6600000001</v>
      </c>
      <c r="G174" s="676">
        <v>6649850.4900000002</v>
      </c>
      <c r="H174" s="676">
        <v>8273711.4400000004</v>
      </c>
      <c r="I174" s="676">
        <v>5636600.1699999999</v>
      </c>
      <c r="J174" s="676">
        <v>3435315.38</v>
      </c>
      <c r="K174" s="676">
        <v>1959769.25</v>
      </c>
      <c r="L174" s="676">
        <v>1523835.36</v>
      </c>
      <c r="M174" s="676">
        <v>1586638.99</v>
      </c>
      <c r="N174" s="676">
        <v>901948.3</v>
      </c>
      <c r="O174" s="676">
        <v>2164917.37</v>
      </c>
      <c r="P174" s="676">
        <v>4639424.57</v>
      </c>
      <c r="Q174" s="676">
        <v>8421329.5999999996</v>
      </c>
      <c r="R174" s="676">
        <v>9421371.3000000007</v>
      </c>
      <c r="S174" s="551">
        <f t="shared" si="46"/>
        <v>4436440.0750000002</v>
      </c>
      <c r="T174" s="677"/>
      <c r="U174" s="716">
        <f t="shared" si="44"/>
        <v>4436440.0750000002</v>
      </c>
      <c r="V174" s="755"/>
      <c r="W174" s="755"/>
      <c r="X174" s="778"/>
      <c r="Y174" s="755"/>
      <c r="Z174" s="755"/>
      <c r="AA174" s="716"/>
      <c r="AB174" s="755"/>
      <c r="AC174" s="717"/>
      <c r="AD174" s="718">
        <f t="shared" si="45"/>
        <v>4436440.0750000002</v>
      </c>
      <c r="AE174" s="717"/>
      <c r="AF174" s="753">
        <f t="shared" si="39"/>
        <v>0</v>
      </c>
    </row>
    <row r="175" spans="1:32">
      <c r="A175" s="677">
        <v>161</v>
      </c>
      <c r="B175" s="379" t="s">
        <v>1009</v>
      </c>
      <c r="C175" s="379" t="s">
        <v>466</v>
      </c>
      <c r="D175" s="379" t="s">
        <v>494</v>
      </c>
      <c r="E175" s="675" t="s">
        <v>1564</v>
      </c>
      <c r="F175" s="676">
        <v>160375.5</v>
      </c>
      <c r="G175" s="676">
        <v>164204.10999999999</v>
      </c>
      <c r="H175" s="676">
        <v>164627.15</v>
      </c>
      <c r="I175" s="676">
        <v>142983.69</v>
      </c>
      <c r="J175" s="676">
        <v>90175.79</v>
      </c>
      <c r="K175" s="676">
        <v>70393.39</v>
      </c>
      <c r="L175" s="676">
        <v>57118.6</v>
      </c>
      <c r="M175" s="676">
        <v>55829.62</v>
      </c>
      <c r="N175" s="676">
        <v>53275.48</v>
      </c>
      <c r="O175" s="676">
        <v>58696.7</v>
      </c>
      <c r="P175" s="676">
        <v>117247.05</v>
      </c>
      <c r="Q175" s="676">
        <v>80567.87</v>
      </c>
      <c r="R175" s="676">
        <v>11691.44</v>
      </c>
      <c r="S175" s="551">
        <f t="shared" si="46"/>
        <v>95096.07666666666</v>
      </c>
      <c r="T175" s="677"/>
      <c r="U175" s="716">
        <f t="shared" si="44"/>
        <v>95096.07666666666</v>
      </c>
      <c r="V175" s="755"/>
      <c r="W175" s="755"/>
      <c r="X175" s="778"/>
      <c r="Y175" s="755"/>
      <c r="Z175" s="755"/>
      <c r="AA175" s="716"/>
      <c r="AB175" s="755"/>
      <c r="AC175" s="717"/>
      <c r="AD175" s="718">
        <f t="shared" si="45"/>
        <v>95096.07666666666</v>
      </c>
      <c r="AE175" s="717"/>
      <c r="AF175" s="753">
        <f t="shared" si="39"/>
        <v>0</v>
      </c>
    </row>
    <row r="176" spans="1:32">
      <c r="A176" s="677">
        <v>162</v>
      </c>
      <c r="B176" s="379" t="s">
        <v>984</v>
      </c>
      <c r="C176" s="379" t="s">
        <v>466</v>
      </c>
      <c r="D176" s="379" t="s">
        <v>494</v>
      </c>
      <c r="E176" s="675" t="s">
        <v>1564</v>
      </c>
      <c r="F176" s="676">
        <v>136949.03</v>
      </c>
      <c r="G176" s="676">
        <v>135933.35999999999</v>
      </c>
      <c r="H176" s="676">
        <v>142057.14000000001</v>
      </c>
      <c r="I176" s="676">
        <v>129581.72</v>
      </c>
      <c r="J176" s="676">
        <v>115413.98</v>
      </c>
      <c r="K176" s="676">
        <v>85958.92</v>
      </c>
      <c r="L176" s="676">
        <v>67762.22</v>
      </c>
      <c r="M176" s="676">
        <v>74171.570000000007</v>
      </c>
      <c r="N176" s="676">
        <v>57928.02</v>
      </c>
      <c r="O176" s="676">
        <v>68424.179999999993</v>
      </c>
      <c r="P176" s="676">
        <v>895072.26</v>
      </c>
      <c r="Q176" s="676">
        <v>1128354.18</v>
      </c>
      <c r="R176" s="676">
        <v>1264015.1200000001</v>
      </c>
      <c r="S176" s="551">
        <f t="shared" si="46"/>
        <v>300094.96875</v>
      </c>
      <c r="T176" s="677"/>
      <c r="U176" s="716">
        <f t="shared" si="44"/>
        <v>300094.96875</v>
      </c>
      <c r="V176" s="755"/>
      <c r="W176" s="755"/>
      <c r="X176" s="778"/>
      <c r="Y176" s="755"/>
      <c r="Z176" s="755"/>
      <c r="AA176" s="716"/>
      <c r="AB176" s="755"/>
      <c r="AC176" s="717"/>
      <c r="AD176" s="718">
        <f t="shared" si="45"/>
        <v>300094.96875</v>
      </c>
      <c r="AE176" s="717"/>
      <c r="AF176" s="753">
        <f t="shared" si="39"/>
        <v>0</v>
      </c>
    </row>
    <row r="177" spans="1:32">
      <c r="A177" s="677">
        <v>163</v>
      </c>
      <c r="B177" s="379" t="s">
        <v>1009</v>
      </c>
      <c r="C177" s="379" t="s">
        <v>467</v>
      </c>
      <c r="D177" s="379" t="s">
        <v>494</v>
      </c>
      <c r="E177" s="675" t="s">
        <v>1565</v>
      </c>
      <c r="F177" s="676">
        <v>217372.61</v>
      </c>
      <c r="G177" s="676">
        <v>237798.2</v>
      </c>
      <c r="H177" s="676">
        <v>220817.29</v>
      </c>
      <c r="I177" s="676">
        <v>240347.6</v>
      </c>
      <c r="J177" s="676">
        <v>234810.43</v>
      </c>
      <c r="K177" s="676">
        <v>260714.04</v>
      </c>
      <c r="L177" s="676">
        <v>257076.87</v>
      </c>
      <c r="M177" s="676">
        <v>248708.24</v>
      </c>
      <c r="N177" s="676">
        <v>251855.92</v>
      </c>
      <c r="O177" s="676">
        <v>263967.65000000002</v>
      </c>
      <c r="P177" s="676">
        <v>281100.45</v>
      </c>
      <c r="Q177" s="676">
        <v>253310.96</v>
      </c>
      <c r="R177" s="676">
        <v>248515.71</v>
      </c>
      <c r="S177" s="551">
        <f t="shared" si="46"/>
        <v>248620.98416666672</v>
      </c>
      <c r="T177" s="677"/>
      <c r="U177" s="716">
        <f t="shared" si="44"/>
        <v>248620.98416666672</v>
      </c>
      <c r="V177" s="755"/>
      <c r="W177" s="755"/>
      <c r="X177" s="778"/>
      <c r="Y177" s="755"/>
      <c r="Z177" s="755"/>
      <c r="AA177" s="716"/>
      <c r="AB177" s="755"/>
      <c r="AC177" s="717"/>
      <c r="AD177" s="718">
        <f t="shared" si="45"/>
        <v>248620.98416666672</v>
      </c>
      <c r="AE177" s="717"/>
      <c r="AF177" s="753">
        <f t="shared" si="39"/>
        <v>0</v>
      </c>
    </row>
    <row r="178" spans="1:32">
      <c r="A178" s="677">
        <v>164</v>
      </c>
      <c r="B178" s="379" t="s">
        <v>984</v>
      </c>
      <c r="C178" s="379" t="s">
        <v>467</v>
      </c>
      <c r="D178" s="589" t="s">
        <v>494</v>
      </c>
      <c r="E178" s="675" t="s">
        <v>1565</v>
      </c>
      <c r="F178" s="676">
        <v>1287630.96</v>
      </c>
      <c r="G178" s="676">
        <v>1369074.9</v>
      </c>
      <c r="H178" s="676">
        <v>1344197.03</v>
      </c>
      <c r="I178" s="676">
        <v>1328253.71</v>
      </c>
      <c r="J178" s="676">
        <v>1274208.5900000001</v>
      </c>
      <c r="K178" s="676">
        <v>1255156.82</v>
      </c>
      <c r="L178" s="676">
        <v>1239995.3799999999</v>
      </c>
      <c r="M178" s="676">
        <v>1213999.1299999999</v>
      </c>
      <c r="N178" s="676">
        <v>1240715.43</v>
      </c>
      <c r="O178" s="676">
        <v>1281485.6100000001</v>
      </c>
      <c r="P178" s="676">
        <v>1376337.89</v>
      </c>
      <c r="Q178" s="676">
        <v>1306930.72</v>
      </c>
      <c r="R178" s="676">
        <v>1349347.15</v>
      </c>
      <c r="S178" s="551">
        <f t="shared" si="46"/>
        <v>1295737.0220833332</v>
      </c>
      <c r="T178" s="677"/>
      <c r="U178" s="716">
        <f t="shared" si="44"/>
        <v>1295737.0220833332</v>
      </c>
      <c r="V178" s="755"/>
      <c r="W178" s="755"/>
      <c r="X178" s="778"/>
      <c r="Y178" s="755"/>
      <c r="Z178" s="755"/>
      <c r="AA178" s="716"/>
      <c r="AB178" s="755"/>
      <c r="AC178" s="717"/>
      <c r="AD178" s="718">
        <f t="shared" si="45"/>
        <v>1295737.0220833332</v>
      </c>
      <c r="AE178" s="717"/>
      <c r="AF178" s="753">
        <f t="shared" si="39"/>
        <v>0</v>
      </c>
    </row>
    <row r="179" spans="1:32">
      <c r="A179" s="677">
        <v>165</v>
      </c>
      <c r="B179" s="379" t="s">
        <v>1009</v>
      </c>
      <c r="C179" s="379" t="s">
        <v>467</v>
      </c>
      <c r="D179" s="379" t="s">
        <v>495</v>
      </c>
      <c r="E179" s="675" t="s">
        <v>1566</v>
      </c>
      <c r="F179" s="676">
        <v>131375.94</v>
      </c>
      <c r="G179" s="676">
        <v>121852.75</v>
      </c>
      <c r="H179" s="676">
        <v>127017.49</v>
      </c>
      <c r="I179" s="676">
        <v>119652.65</v>
      </c>
      <c r="J179" s="676">
        <v>105493.9</v>
      </c>
      <c r="K179" s="676">
        <v>100627.94</v>
      </c>
      <c r="L179" s="676">
        <v>109752.04</v>
      </c>
      <c r="M179" s="676">
        <v>127696.94</v>
      </c>
      <c r="N179" s="676">
        <v>128311.34</v>
      </c>
      <c r="O179" s="676">
        <v>125645.68</v>
      </c>
      <c r="P179" s="676">
        <v>128657.13</v>
      </c>
      <c r="Q179" s="676">
        <v>127628.79</v>
      </c>
      <c r="R179" s="676">
        <v>131522.85999999999</v>
      </c>
      <c r="S179" s="551">
        <f t="shared" si="46"/>
        <v>121148.83749999998</v>
      </c>
      <c r="T179" s="677"/>
      <c r="U179" s="716">
        <f t="shared" si="44"/>
        <v>121148.83749999998</v>
      </c>
      <c r="V179" s="755"/>
      <c r="W179" s="755"/>
      <c r="X179" s="778"/>
      <c r="Y179" s="755"/>
      <c r="Z179" s="755"/>
      <c r="AA179" s="716"/>
      <c r="AB179" s="755"/>
      <c r="AC179" s="717"/>
      <c r="AD179" s="718">
        <f t="shared" si="45"/>
        <v>121148.83749999998</v>
      </c>
      <c r="AE179" s="717"/>
      <c r="AF179" s="753">
        <f t="shared" si="39"/>
        <v>0</v>
      </c>
    </row>
    <row r="180" spans="1:32">
      <c r="A180" s="677">
        <v>166</v>
      </c>
      <c r="B180" s="379" t="s">
        <v>984</v>
      </c>
      <c r="C180" s="379" t="s">
        <v>467</v>
      </c>
      <c r="D180" s="379" t="s">
        <v>495</v>
      </c>
      <c r="E180" s="675" t="s">
        <v>1566</v>
      </c>
      <c r="F180" s="366">
        <v>678698.73</v>
      </c>
      <c r="G180" s="366">
        <v>671884.93</v>
      </c>
      <c r="H180" s="366">
        <v>674056.5</v>
      </c>
      <c r="I180" s="366">
        <v>661556.25</v>
      </c>
      <c r="J180" s="366">
        <v>621975.87</v>
      </c>
      <c r="K180" s="366">
        <v>552268.14</v>
      </c>
      <c r="L180" s="366">
        <v>611119.44999999995</v>
      </c>
      <c r="M180" s="366">
        <v>867027.65</v>
      </c>
      <c r="N180" s="366">
        <v>925701.44</v>
      </c>
      <c r="O180" s="366">
        <v>848272.93</v>
      </c>
      <c r="P180" s="366">
        <v>656542.81000000006</v>
      </c>
      <c r="Q180" s="366">
        <v>676138.75</v>
      </c>
      <c r="R180" s="366">
        <v>859829.44</v>
      </c>
      <c r="S180" s="552">
        <f>((F180+R180)+((G180+H180+I180+J180+K180+L180+M180+N180+O180+P180+Q180)*2))/24</f>
        <v>711317.40041666664</v>
      </c>
      <c r="T180" s="677"/>
      <c r="U180" s="716">
        <f t="shared" si="44"/>
        <v>711317.40041666664</v>
      </c>
      <c r="V180" s="755"/>
      <c r="W180" s="755"/>
      <c r="X180" s="778"/>
      <c r="Y180" s="755"/>
      <c r="Z180" s="755"/>
      <c r="AA180" s="716"/>
      <c r="AB180" s="755"/>
      <c r="AC180" s="717"/>
      <c r="AD180" s="718">
        <f t="shared" si="45"/>
        <v>711317.40041666664</v>
      </c>
      <c r="AE180" s="717"/>
      <c r="AF180" s="753">
        <f t="shared" si="39"/>
        <v>0</v>
      </c>
    </row>
    <row r="181" spans="1:32">
      <c r="A181" s="677">
        <v>167</v>
      </c>
      <c r="B181" s="677"/>
      <c r="C181" s="677"/>
      <c r="D181" s="677"/>
      <c r="E181" s="675" t="s">
        <v>468</v>
      </c>
      <c r="F181" s="358">
        <f>SUM(F171:F180)</f>
        <v>25164949.820000004</v>
      </c>
      <c r="G181" s="358">
        <f t="shared" ref="G181:R181" si="47">SUM(G171:G180)</f>
        <v>25360141.189999994</v>
      </c>
      <c r="H181" s="358">
        <f t="shared" si="47"/>
        <v>30046129.09</v>
      </c>
      <c r="I181" s="358">
        <f t="shared" si="47"/>
        <v>20722427.400000002</v>
      </c>
      <c r="J181" s="358">
        <f t="shared" si="47"/>
        <v>13343326.989999998</v>
      </c>
      <c r="K181" s="358">
        <f t="shared" si="47"/>
        <v>8390636.0199999996</v>
      </c>
      <c r="L181" s="358">
        <f t="shared" si="47"/>
        <v>6738225.3999999985</v>
      </c>
      <c r="M181" s="358">
        <f t="shared" si="47"/>
        <v>6750474.9500000002</v>
      </c>
      <c r="N181" s="358">
        <f t="shared" si="47"/>
        <v>4927569.6899999995</v>
      </c>
      <c r="O181" s="358">
        <f t="shared" si="47"/>
        <v>8162569.0700000003</v>
      </c>
      <c r="P181" s="358">
        <f t="shared" si="47"/>
        <v>17628798.869999997</v>
      </c>
      <c r="Q181" s="358">
        <f t="shared" si="47"/>
        <v>28036032.580000002</v>
      </c>
      <c r="R181" s="358">
        <f t="shared" si="47"/>
        <v>32004471.150000006</v>
      </c>
      <c r="S181" s="553">
        <f>SUM(S171:S180)</f>
        <v>16557586.811250001</v>
      </c>
      <c r="T181" s="677"/>
      <c r="U181" s="716"/>
      <c r="V181" s="755"/>
      <c r="W181" s="755"/>
      <c r="X181" s="778"/>
      <c r="Y181" s="755"/>
      <c r="Z181" s="755"/>
      <c r="AA181" s="716"/>
      <c r="AB181" s="755"/>
      <c r="AC181" s="717"/>
      <c r="AD181" s="717"/>
      <c r="AE181" s="717"/>
      <c r="AF181" s="753">
        <f t="shared" si="39"/>
        <v>0</v>
      </c>
    </row>
    <row r="182" spans="1:32">
      <c r="A182" s="677">
        <v>168</v>
      </c>
      <c r="B182" s="677"/>
      <c r="C182" s="677"/>
      <c r="D182" s="677"/>
      <c r="E182" s="662"/>
      <c r="F182" s="676"/>
      <c r="G182" s="377"/>
      <c r="H182" s="368"/>
      <c r="I182" s="368"/>
      <c r="J182" s="369"/>
      <c r="K182" s="370"/>
      <c r="L182" s="371"/>
      <c r="M182" s="372"/>
      <c r="N182" s="373"/>
      <c r="O182" s="663"/>
      <c r="P182" s="374"/>
      <c r="Q182" s="378"/>
      <c r="R182" s="676"/>
      <c r="S182" s="357"/>
      <c r="T182" s="677"/>
      <c r="U182" s="716"/>
      <c r="V182" s="755"/>
      <c r="W182" s="755"/>
      <c r="X182" s="778"/>
      <c r="Y182" s="755"/>
      <c r="Z182" s="755"/>
      <c r="AA182" s="716"/>
      <c r="AB182" s="755"/>
      <c r="AC182" s="717"/>
      <c r="AD182" s="717"/>
      <c r="AE182" s="717"/>
      <c r="AF182" s="753">
        <f t="shared" si="39"/>
        <v>0</v>
      </c>
    </row>
    <row r="183" spans="1:32">
      <c r="A183" s="677">
        <v>169</v>
      </c>
      <c r="B183" s="379" t="s">
        <v>981</v>
      </c>
      <c r="C183" s="379" t="s">
        <v>469</v>
      </c>
      <c r="D183" s="379" t="s">
        <v>1013</v>
      </c>
      <c r="E183" s="675" t="s">
        <v>1567</v>
      </c>
      <c r="F183" s="676">
        <v>-82824.95</v>
      </c>
      <c r="G183" s="676">
        <v>-81863.039999999994</v>
      </c>
      <c r="H183" s="676">
        <v>-80901.16</v>
      </c>
      <c r="I183" s="676">
        <v>-79939.23</v>
      </c>
      <c r="J183" s="676">
        <v>-78977.33</v>
      </c>
      <c r="K183" s="676">
        <v>-78015.429999999993</v>
      </c>
      <c r="L183" s="676">
        <v>-77053.539999999994</v>
      </c>
      <c r="M183" s="676">
        <v>-76091.649999999994</v>
      </c>
      <c r="N183" s="676">
        <v>-75129.75</v>
      </c>
      <c r="O183" s="676">
        <v>-74167.83</v>
      </c>
      <c r="P183" s="676">
        <v>-73205.919999999998</v>
      </c>
      <c r="Q183" s="676">
        <v>-72244.02</v>
      </c>
      <c r="R183" s="676">
        <v>-71282.13</v>
      </c>
      <c r="S183" s="551">
        <f>((F183+R183)+((G183+H183+I183+J183+K183+L183+M183+N183+O183+P183+Q183)*2))/24</f>
        <v>-77053.536666666667</v>
      </c>
      <c r="T183" s="677"/>
      <c r="U183" s="716"/>
      <c r="V183" s="755"/>
      <c r="W183" s="755"/>
      <c r="X183" s="778">
        <f>+S183</f>
        <v>-77053.536666666667</v>
      </c>
      <c r="Y183" s="755"/>
      <c r="Z183" s="755"/>
      <c r="AA183" s="716"/>
      <c r="AB183" s="755">
        <f>+S183</f>
        <v>-77053.536666666667</v>
      </c>
      <c r="AC183" s="717"/>
      <c r="AD183" s="718">
        <f>+U183</f>
        <v>0</v>
      </c>
      <c r="AE183" s="717"/>
      <c r="AF183" s="753">
        <f t="shared" si="39"/>
        <v>0</v>
      </c>
    </row>
    <row r="184" spans="1:32">
      <c r="A184" s="677">
        <v>170</v>
      </c>
      <c r="B184" s="379" t="s">
        <v>981</v>
      </c>
      <c r="C184" s="379" t="s">
        <v>469</v>
      </c>
      <c r="D184" s="379" t="s">
        <v>1014</v>
      </c>
      <c r="E184" s="675" t="s">
        <v>1568</v>
      </c>
      <c r="F184" s="676">
        <v>-314153.82</v>
      </c>
      <c r="G184" s="676">
        <v>-310487.56</v>
      </c>
      <c r="H184" s="676">
        <v>-306821.32</v>
      </c>
      <c r="I184" s="676">
        <v>-303155.03999999998</v>
      </c>
      <c r="J184" s="676">
        <v>-299488.8</v>
      </c>
      <c r="K184" s="676">
        <v>-295822.51</v>
      </c>
      <c r="L184" s="676">
        <v>-292156.31</v>
      </c>
      <c r="M184" s="676">
        <v>-288490.09000000003</v>
      </c>
      <c r="N184" s="676">
        <v>-284823.81</v>
      </c>
      <c r="O184" s="676">
        <v>-281157.56</v>
      </c>
      <c r="P184" s="676">
        <v>-277491.31</v>
      </c>
      <c r="Q184" s="676">
        <v>-273824.98</v>
      </c>
      <c r="R184" s="676">
        <v>-270158.8</v>
      </c>
      <c r="S184" s="551">
        <f>((F184+R184)+((G184+H184+I184+J184+K184+L184+M184+N184+O184+P184+Q184)*2))/24</f>
        <v>-292156.3</v>
      </c>
      <c r="T184" s="677"/>
      <c r="U184" s="716"/>
      <c r="V184" s="755"/>
      <c r="W184" s="755"/>
      <c r="X184" s="778">
        <f>+S184</f>
        <v>-292156.3</v>
      </c>
      <c r="Y184" s="755"/>
      <c r="Z184" s="755"/>
      <c r="AA184" s="716"/>
      <c r="AB184" s="755">
        <f t="shared" ref="AB184:AB186" si="48">+S184</f>
        <v>-292156.3</v>
      </c>
      <c r="AC184" s="717"/>
      <c r="AD184" s="718">
        <f>+U184</f>
        <v>0</v>
      </c>
      <c r="AE184" s="717"/>
      <c r="AF184" s="753">
        <f t="shared" si="39"/>
        <v>0</v>
      </c>
    </row>
    <row r="185" spans="1:32">
      <c r="A185" s="677">
        <v>171</v>
      </c>
      <c r="B185" s="379" t="s">
        <v>981</v>
      </c>
      <c r="C185" s="379" t="s">
        <v>469</v>
      </c>
      <c r="D185" s="379" t="s">
        <v>1344</v>
      </c>
      <c r="E185" s="675" t="s">
        <v>1569</v>
      </c>
      <c r="F185" s="676">
        <v>680831.94</v>
      </c>
      <c r="G185" s="676">
        <v>681059.07</v>
      </c>
      <c r="H185" s="676">
        <v>682798.4</v>
      </c>
      <c r="I185" s="676">
        <v>672259.39</v>
      </c>
      <c r="J185" s="676">
        <v>671430.12</v>
      </c>
      <c r="K185" s="676">
        <v>-1.16415321826935E-10</v>
      </c>
      <c r="L185" s="676">
        <v>-1.16415321826935E-10</v>
      </c>
      <c r="M185" s="676">
        <v>-1.16415321826935E-10</v>
      </c>
      <c r="N185" s="676">
        <v>-1.16415321826935E-10</v>
      </c>
      <c r="O185" s="676">
        <v>-1.16415321826935E-10</v>
      </c>
      <c r="P185" s="676">
        <v>-1.16415321826935E-10</v>
      </c>
      <c r="Q185" s="676">
        <v>-1.16415321826935E-10</v>
      </c>
      <c r="R185" s="676">
        <v>-1.16415321826935E-10</v>
      </c>
      <c r="S185" s="551">
        <f>((F185+R185)+((G185+H185+I185+J185+K185+L185+M185+N185+O185+P185+Q185)*2))/24</f>
        <v>253996.91249999998</v>
      </c>
      <c r="T185" s="677"/>
      <c r="U185" s="716"/>
      <c r="V185" s="755"/>
      <c r="W185" s="755"/>
      <c r="X185" s="778">
        <f>+S185</f>
        <v>253996.91249999998</v>
      </c>
      <c r="Y185" s="755">
        <f>+X185*Z7</f>
        <v>190929.47912624999</v>
      </c>
      <c r="Z185" s="755">
        <f>+X185*Z8</f>
        <v>63067.433373749991</v>
      </c>
      <c r="AA185" s="716"/>
      <c r="AB185" s="755"/>
      <c r="AC185" s="717"/>
      <c r="AD185" s="718">
        <f>+U185</f>
        <v>0</v>
      </c>
      <c r="AE185" s="717"/>
      <c r="AF185" s="753">
        <f t="shared" si="39"/>
        <v>0</v>
      </c>
    </row>
    <row r="186" spans="1:32">
      <c r="A186" s="677">
        <v>172</v>
      </c>
      <c r="B186" s="379" t="s">
        <v>981</v>
      </c>
      <c r="C186" s="379" t="s">
        <v>469</v>
      </c>
      <c r="D186" s="379" t="s">
        <v>1408</v>
      </c>
      <c r="E186" s="675" t="s">
        <v>1570</v>
      </c>
      <c r="F186" s="676">
        <v>1956266.79</v>
      </c>
      <c r="G186" s="676">
        <v>1934611.41</v>
      </c>
      <c r="H186" s="676">
        <v>1936237.98</v>
      </c>
      <c r="I186" s="676">
        <v>1937864.53</v>
      </c>
      <c r="J186" s="676">
        <v>1949463.84</v>
      </c>
      <c r="K186" s="676">
        <v>1320391.5900000001</v>
      </c>
      <c r="L186" s="676">
        <v>1331604.73</v>
      </c>
      <c r="M186" s="676">
        <v>1302926.93</v>
      </c>
      <c r="N186" s="676">
        <v>1304167.32</v>
      </c>
      <c r="O186" s="676">
        <v>1305407.72</v>
      </c>
      <c r="P186" s="676">
        <v>1306648.1100000001</v>
      </c>
      <c r="Q186" s="676">
        <v>1307888.52</v>
      </c>
      <c r="R186" s="676">
        <v>1401147.76</v>
      </c>
      <c r="S186" s="551">
        <f t="shared" ref="S186:S199" si="49">((F186+R186)+((G186+H186+I186+J186+K186+L186+M186+N186+O186+P186+Q186)*2))/24</f>
        <v>1551326.6629166666</v>
      </c>
      <c r="T186" s="677"/>
      <c r="U186" s="716"/>
      <c r="V186" s="755"/>
      <c r="W186" s="755"/>
      <c r="X186" s="778">
        <f>+S186</f>
        <v>1551326.6629166666</v>
      </c>
      <c r="Y186" s="755"/>
      <c r="Z186" s="755"/>
      <c r="AA186" s="716"/>
      <c r="AB186" s="755">
        <f t="shared" si="48"/>
        <v>1551326.6629166666</v>
      </c>
      <c r="AC186" s="717"/>
      <c r="AD186" s="718">
        <f t="shared" ref="AD186:AD198" si="50">+U186</f>
        <v>0</v>
      </c>
      <c r="AE186" s="717"/>
      <c r="AF186" s="753">
        <f t="shared" si="39"/>
        <v>0</v>
      </c>
    </row>
    <row r="187" spans="1:32">
      <c r="A187" s="677">
        <v>173</v>
      </c>
      <c r="B187" s="379" t="s">
        <v>981</v>
      </c>
      <c r="C187" s="379" t="s">
        <v>469</v>
      </c>
      <c r="D187" s="379" t="s">
        <v>1015</v>
      </c>
      <c r="E187" s="675" t="s">
        <v>1571</v>
      </c>
      <c r="F187" s="676">
        <v>11510145.4</v>
      </c>
      <c r="G187" s="676">
        <v>11507312.039999999</v>
      </c>
      <c r="H187" s="676">
        <v>11493190.75</v>
      </c>
      <c r="I187" s="676">
        <v>11469718.529999999</v>
      </c>
      <c r="J187" s="676">
        <v>11436977.539999999</v>
      </c>
      <c r="K187" s="676">
        <v>4785984.6900000004</v>
      </c>
      <c r="L187" s="676">
        <v>4664356.68</v>
      </c>
      <c r="M187" s="676">
        <v>4654083.1500000004</v>
      </c>
      <c r="N187" s="676">
        <v>4633846.72</v>
      </c>
      <c r="O187" s="676">
        <v>4619999.8499999996</v>
      </c>
      <c r="P187" s="676">
        <v>4581896.46</v>
      </c>
      <c r="Q187" s="676">
        <v>4566634.12</v>
      </c>
      <c r="R187" s="676">
        <v>3764796.5</v>
      </c>
      <c r="S187" s="551">
        <f t="shared" si="49"/>
        <v>7170955.9566666661</v>
      </c>
      <c r="T187" s="677"/>
      <c r="U187" s="716">
        <f t="shared" ref="U187:U200" si="51">+S187</f>
        <v>7170955.9566666661</v>
      </c>
      <c r="V187" s="755"/>
      <c r="W187" s="755"/>
      <c r="X187" s="778"/>
      <c r="Y187" s="755"/>
      <c r="Z187" s="755"/>
      <c r="AA187" s="716"/>
      <c r="AB187" s="755"/>
      <c r="AC187" s="717"/>
      <c r="AD187" s="718">
        <f t="shared" si="50"/>
        <v>7170955.9566666661</v>
      </c>
      <c r="AE187" s="717"/>
      <c r="AF187" s="753">
        <f t="shared" si="39"/>
        <v>0</v>
      </c>
    </row>
    <row r="188" spans="1:32">
      <c r="A188" s="677">
        <v>174</v>
      </c>
      <c r="B188" s="379" t="s">
        <v>981</v>
      </c>
      <c r="C188" s="379" t="s">
        <v>469</v>
      </c>
      <c r="D188" s="379" t="s">
        <v>1166</v>
      </c>
      <c r="E188" s="675" t="s">
        <v>1572</v>
      </c>
      <c r="F188" s="676">
        <v>1661184.9</v>
      </c>
      <c r="G188" s="676">
        <v>1695741.01</v>
      </c>
      <c r="H188" s="676">
        <v>1471236.01</v>
      </c>
      <c r="I188" s="676">
        <v>1483644.41</v>
      </c>
      <c r="J188" s="676">
        <v>1289414.67</v>
      </c>
      <c r="K188" s="676">
        <v>1308074.3700000001</v>
      </c>
      <c r="L188" s="676">
        <v>1339199.76</v>
      </c>
      <c r="M188" s="676">
        <v>1361362.4</v>
      </c>
      <c r="N188" s="676">
        <v>1385573.15</v>
      </c>
      <c r="O188" s="676">
        <v>1380832.33</v>
      </c>
      <c r="P188" s="676">
        <v>1374347.93</v>
      </c>
      <c r="Q188" s="676">
        <v>1150002.48</v>
      </c>
      <c r="R188" s="676">
        <v>1739299.2</v>
      </c>
      <c r="S188" s="551">
        <f t="shared" si="49"/>
        <v>1411639.2141666666</v>
      </c>
      <c r="T188" s="677"/>
      <c r="U188" s="716">
        <f t="shared" si="51"/>
        <v>1411639.2141666666</v>
      </c>
      <c r="V188" s="755"/>
      <c r="W188" s="755"/>
      <c r="X188" s="778"/>
      <c r="Y188" s="755"/>
      <c r="Z188" s="755"/>
      <c r="AA188" s="716"/>
      <c r="AB188" s="755"/>
      <c r="AC188" s="717"/>
      <c r="AD188" s="718">
        <f t="shared" si="50"/>
        <v>1411639.2141666666</v>
      </c>
      <c r="AE188" s="717"/>
      <c r="AF188" s="753">
        <f t="shared" si="39"/>
        <v>0</v>
      </c>
    </row>
    <row r="189" spans="1:32">
      <c r="A189" s="677">
        <v>175</v>
      </c>
      <c r="B189" s="379" t="s">
        <v>1009</v>
      </c>
      <c r="C189" s="379" t="s">
        <v>469</v>
      </c>
      <c r="D189" s="379" t="s">
        <v>1010</v>
      </c>
      <c r="E189" s="675" t="s">
        <v>1573</v>
      </c>
      <c r="F189" s="676">
        <v>-7249.34</v>
      </c>
      <c r="G189" s="676">
        <v>-7165.15</v>
      </c>
      <c r="H189" s="676">
        <v>-7080.94</v>
      </c>
      <c r="I189" s="676">
        <v>-6996.75</v>
      </c>
      <c r="J189" s="676">
        <v>-6912.56</v>
      </c>
      <c r="K189" s="676">
        <v>-6828.37</v>
      </c>
      <c r="L189" s="676">
        <v>-6744.18</v>
      </c>
      <c r="M189" s="676">
        <v>-6659.99</v>
      </c>
      <c r="N189" s="676">
        <v>-6575.8</v>
      </c>
      <c r="O189" s="676">
        <v>-6491.61</v>
      </c>
      <c r="P189" s="676">
        <v>-6407.42</v>
      </c>
      <c r="Q189" s="676">
        <v>-6323.23</v>
      </c>
      <c r="R189" s="676">
        <v>-6239.04</v>
      </c>
      <c r="S189" s="551">
        <f t="shared" si="49"/>
        <v>-6744.1824999999999</v>
      </c>
      <c r="T189" s="677"/>
      <c r="U189" s="716"/>
      <c r="V189" s="755"/>
      <c r="W189" s="755"/>
      <c r="X189" s="778">
        <f t="shared" ref="X189:X192" si="52">+S189</f>
        <v>-6744.1824999999999</v>
      </c>
      <c r="Y189" s="755"/>
      <c r="Z189" s="755"/>
      <c r="AA189" s="716"/>
      <c r="AB189" s="755">
        <f t="shared" ref="AB189:AB193" si="53">+S189</f>
        <v>-6744.1824999999999</v>
      </c>
      <c r="AC189" s="717"/>
      <c r="AD189" s="718">
        <f t="shared" si="50"/>
        <v>0</v>
      </c>
      <c r="AE189" s="717"/>
      <c r="AF189" s="753">
        <f t="shared" si="39"/>
        <v>0</v>
      </c>
    </row>
    <row r="190" spans="1:32">
      <c r="A190" s="677">
        <v>176</v>
      </c>
      <c r="B190" s="379" t="s">
        <v>1009</v>
      </c>
      <c r="C190" s="379" t="s">
        <v>469</v>
      </c>
      <c r="D190" s="379" t="s">
        <v>1011</v>
      </c>
      <c r="E190" s="675" t="s">
        <v>1574</v>
      </c>
      <c r="F190" s="676">
        <v>2574.23</v>
      </c>
      <c r="G190" s="676">
        <v>2526.5500000000002</v>
      </c>
      <c r="H190" s="676">
        <v>2478.9</v>
      </c>
      <c r="I190" s="676">
        <v>2431.23</v>
      </c>
      <c r="J190" s="676">
        <v>2383.5700000000002</v>
      </c>
      <c r="K190" s="676">
        <v>2335.9</v>
      </c>
      <c r="L190" s="676">
        <v>2288.2199999999998</v>
      </c>
      <c r="M190" s="676">
        <v>2240.5700000000002</v>
      </c>
      <c r="N190" s="676">
        <v>2192.91</v>
      </c>
      <c r="O190" s="676">
        <v>2145.2199999999998</v>
      </c>
      <c r="P190" s="676">
        <v>2097.56</v>
      </c>
      <c r="Q190" s="676">
        <v>2049.87</v>
      </c>
      <c r="R190" s="676">
        <v>2002.16</v>
      </c>
      <c r="S190" s="551">
        <f t="shared" si="49"/>
        <v>2288.2245833333332</v>
      </c>
      <c r="T190" s="677"/>
      <c r="U190" s="716"/>
      <c r="V190" s="755"/>
      <c r="W190" s="755"/>
      <c r="X190" s="778">
        <f t="shared" si="52"/>
        <v>2288.2245833333332</v>
      </c>
      <c r="Y190" s="755"/>
      <c r="Z190" s="755"/>
      <c r="AA190" s="716"/>
      <c r="AB190" s="755">
        <f t="shared" si="53"/>
        <v>2288.2245833333332</v>
      </c>
      <c r="AC190" s="717"/>
      <c r="AD190" s="718">
        <f t="shared" si="50"/>
        <v>0</v>
      </c>
      <c r="AE190" s="717"/>
      <c r="AF190" s="753">
        <f t="shared" si="39"/>
        <v>0</v>
      </c>
    </row>
    <row r="191" spans="1:32">
      <c r="A191" s="677">
        <v>177</v>
      </c>
      <c r="B191" s="379" t="s">
        <v>1009</v>
      </c>
      <c r="C191" s="379" t="s">
        <v>469</v>
      </c>
      <c r="D191" s="379" t="s">
        <v>1347</v>
      </c>
      <c r="E191" s="675" t="s">
        <v>1575</v>
      </c>
      <c r="F191" s="676">
        <v>59590.47</v>
      </c>
      <c r="G191" s="676">
        <v>59610.35</v>
      </c>
      <c r="H191" s="676">
        <v>59762.59</v>
      </c>
      <c r="I191" s="676">
        <v>58840.15</v>
      </c>
      <c r="J191" s="676">
        <v>58767.57</v>
      </c>
      <c r="K191" s="676">
        <v>58869.7</v>
      </c>
      <c r="L191" s="676">
        <v>58869.7</v>
      </c>
      <c r="M191" s="676">
        <v>58819.12</v>
      </c>
      <c r="N191" s="676">
        <v>58888.59</v>
      </c>
      <c r="O191" s="676">
        <v>57753.95</v>
      </c>
      <c r="P191" s="676">
        <v>57815.58</v>
      </c>
      <c r="Q191" s="676">
        <v>57928.94</v>
      </c>
      <c r="R191" s="676">
        <v>57928.94</v>
      </c>
      <c r="S191" s="551">
        <f t="shared" si="49"/>
        <v>58723.828749999993</v>
      </c>
      <c r="T191" s="677"/>
      <c r="U191" s="716"/>
      <c r="V191" s="755"/>
      <c r="W191" s="755"/>
      <c r="X191" s="778">
        <f t="shared" si="52"/>
        <v>58723.828749999993</v>
      </c>
      <c r="Y191" s="755"/>
      <c r="Z191" s="755">
        <f>+X191</f>
        <v>58723.828749999993</v>
      </c>
      <c r="AA191" s="716"/>
      <c r="AB191" s="755"/>
      <c r="AC191" s="717"/>
      <c r="AD191" s="718">
        <f t="shared" si="50"/>
        <v>0</v>
      </c>
      <c r="AE191" s="717"/>
      <c r="AF191" s="753">
        <f t="shared" si="39"/>
        <v>0</v>
      </c>
    </row>
    <row r="192" spans="1:32">
      <c r="A192" s="677">
        <v>178</v>
      </c>
      <c r="B192" s="379" t="s">
        <v>1009</v>
      </c>
      <c r="C192" s="379" t="s">
        <v>469</v>
      </c>
      <c r="D192" s="379" t="s">
        <v>1348</v>
      </c>
      <c r="E192" s="675" t="s">
        <v>1576</v>
      </c>
      <c r="F192" s="676">
        <v>-2574.25</v>
      </c>
      <c r="G192" s="676">
        <v>-2526.58</v>
      </c>
      <c r="H192" s="676">
        <v>-2478.91</v>
      </c>
      <c r="I192" s="676">
        <v>-2431.2399999999998</v>
      </c>
      <c r="J192" s="676">
        <v>-2383.5700000000002</v>
      </c>
      <c r="K192" s="676">
        <v>-2335.9</v>
      </c>
      <c r="L192" s="676">
        <v>-2288.2199999999998</v>
      </c>
      <c r="M192" s="676">
        <v>-2240.5500000000002</v>
      </c>
      <c r="N192" s="676">
        <v>-2192.88</v>
      </c>
      <c r="O192" s="676">
        <v>-2145.21</v>
      </c>
      <c r="P192" s="676">
        <v>-2097.54</v>
      </c>
      <c r="Q192" s="676">
        <v>-2049.87</v>
      </c>
      <c r="R192" s="676">
        <v>-2002.19</v>
      </c>
      <c r="S192" s="551">
        <f t="shared" si="49"/>
        <v>-2288.2241666666664</v>
      </c>
      <c r="T192" s="677"/>
      <c r="U192" s="716"/>
      <c r="V192" s="755"/>
      <c r="W192" s="755"/>
      <c r="X192" s="778">
        <f t="shared" si="52"/>
        <v>-2288.2241666666664</v>
      </c>
      <c r="Y192" s="755"/>
      <c r="Z192" s="755">
        <f>+X192</f>
        <v>-2288.2241666666664</v>
      </c>
      <c r="AA192" s="716"/>
      <c r="AB192" s="755"/>
      <c r="AC192" s="717"/>
      <c r="AD192" s="718">
        <f t="shared" si="50"/>
        <v>0</v>
      </c>
      <c r="AE192" s="717"/>
      <c r="AF192" s="753">
        <f t="shared" si="39"/>
        <v>0</v>
      </c>
    </row>
    <row r="193" spans="1:32">
      <c r="A193" s="677">
        <v>179</v>
      </c>
      <c r="B193" s="379" t="s">
        <v>1009</v>
      </c>
      <c r="C193" s="379" t="s">
        <v>469</v>
      </c>
      <c r="D193" s="379" t="s">
        <v>1407</v>
      </c>
      <c r="E193" s="675" t="s">
        <v>1577</v>
      </c>
      <c r="F193" s="676">
        <v>171224.15</v>
      </c>
      <c r="G193" s="676">
        <v>169328.75</v>
      </c>
      <c r="H193" s="676">
        <v>169471.11</v>
      </c>
      <c r="I193" s="676">
        <v>169613.47</v>
      </c>
      <c r="J193" s="676">
        <v>170628.72</v>
      </c>
      <c r="K193" s="676">
        <v>115568.55</v>
      </c>
      <c r="L193" s="676">
        <v>116549.99</v>
      </c>
      <c r="M193" s="676">
        <v>114039.95</v>
      </c>
      <c r="N193" s="676">
        <v>114148.51</v>
      </c>
      <c r="O193" s="676">
        <v>114257.08</v>
      </c>
      <c r="P193" s="676">
        <v>114365.65</v>
      </c>
      <c r="Q193" s="676">
        <v>114474.22</v>
      </c>
      <c r="R193" s="676">
        <v>122636.81</v>
      </c>
      <c r="S193" s="551">
        <f t="shared" si="49"/>
        <v>135781.37333333332</v>
      </c>
      <c r="T193" s="677"/>
      <c r="U193" s="716"/>
      <c r="V193" s="755"/>
      <c r="W193" s="755"/>
      <c r="X193" s="778">
        <f>+S193</f>
        <v>135781.37333333332</v>
      </c>
      <c r="Y193" s="755"/>
      <c r="Z193" s="755"/>
      <c r="AA193" s="716"/>
      <c r="AB193" s="755">
        <f t="shared" si="53"/>
        <v>135781.37333333332</v>
      </c>
      <c r="AC193" s="717"/>
      <c r="AD193" s="718">
        <f t="shared" si="50"/>
        <v>0</v>
      </c>
      <c r="AE193" s="717"/>
      <c r="AF193" s="753">
        <f t="shared" si="39"/>
        <v>0</v>
      </c>
    </row>
    <row r="194" spans="1:32">
      <c r="A194" s="677">
        <v>180</v>
      </c>
      <c r="B194" s="379" t="s">
        <v>1009</v>
      </c>
      <c r="C194" s="379" t="s">
        <v>469</v>
      </c>
      <c r="D194" s="379" t="s">
        <v>1012</v>
      </c>
      <c r="E194" s="675" t="s">
        <v>1578</v>
      </c>
      <c r="F194" s="676">
        <v>1007436.65</v>
      </c>
      <c r="G194" s="676">
        <v>1007188.66</v>
      </c>
      <c r="H194" s="676">
        <v>1005952.68</v>
      </c>
      <c r="I194" s="676">
        <v>1003898.25</v>
      </c>
      <c r="J194" s="676">
        <v>1001032.56</v>
      </c>
      <c r="K194" s="676">
        <v>418897.9</v>
      </c>
      <c r="L194" s="676">
        <v>408252.29</v>
      </c>
      <c r="M194" s="676">
        <v>407353.09</v>
      </c>
      <c r="N194" s="676">
        <v>405581.88</v>
      </c>
      <c r="O194" s="676">
        <v>404369.91999999998</v>
      </c>
      <c r="P194" s="676">
        <v>401034.88</v>
      </c>
      <c r="Q194" s="676">
        <v>399699.02</v>
      </c>
      <c r="R194" s="676">
        <v>329517.43</v>
      </c>
      <c r="S194" s="551">
        <f t="shared" si="49"/>
        <v>627644.84749999992</v>
      </c>
      <c r="T194" s="677"/>
      <c r="U194" s="716">
        <f t="shared" si="51"/>
        <v>627644.84749999992</v>
      </c>
      <c r="V194" s="755"/>
      <c r="W194" s="755"/>
      <c r="X194" s="778"/>
      <c r="Y194" s="755"/>
      <c r="Z194" s="755"/>
      <c r="AA194" s="716"/>
      <c r="AB194" s="755"/>
      <c r="AC194" s="717"/>
      <c r="AD194" s="718">
        <f t="shared" si="50"/>
        <v>627644.84749999992</v>
      </c>
      <c r="AE194" s="717"/>
      <c r="AF194" s="753">
        <f t="shared" si="39"/>
        <v>0</v>
      </c>
    </row>
    <row r="195" spans="1:32">
      <c r="A195" s="677">
        <v>181</v>
      </c>
      <c r="B195" s="379" t="s">
        <v>1009</v>
      </c>
      <c r="C195" s="379" t="s">
        <v>469</v>
      </c>
      <c r="D195" s="379" t="s">
        <v>200</v>
      </c>
      <c r="E195" s="675" t="s">
        <v>1579</v>
      </c>
      <c r="F195" s="676">
        <v>145396.82</v>
      </c>
      <c r="G195" s="676">
        <v>148421.38</v>
      </c>
      <c r="H195" s="676">
        <v>128771.35</v>
      </c>
      <c r="I195" s="676">
        <v>129857.41</v>
      </c>
      <c r="J195" s="676">
        <v>112857.27</v>
      </c>
      <c r="K195" s="676">
        <v>114490.48</v>
      </c>
      <c r="L195" s="676">
        <v>117214.76</v>
      </c>
      <c r="M195" s="676">
        <v>119154.55</v>
      </c>
      <c r="N195" s="676">
        <v>121273.61</v>
      </c>
      <c r="O195" s="676">
        <v>120858.67</v>
      </c>
      <c r="P195" s="676">
        <v>120291.11</v>
      </c>
      <c r="Q195" s="676">
        <v>100655.08</v>
      </c>
      <c r="R195" s="676">
        <v>152233.85999999999</v>
      </c>
      <c r="S195" s="551">
        <f t="shared" si="49"/>
        <v>123555.08416666668</v>
      </c>
      <c r="T195" s="677"/>
      <c r="U195" s="716">
        <f t="shared" si="51"/>
        <v>123555.08416666668</v>
      </c>
      <c r="V195" s="755"/>
      <c r="W195" s="755"/>
      <c r="X195" s="778"/>
      <c r="Y195" s="755"/>
      <c r="Z195" s="755"/>
      <c r="AA195" s="716"/>
      <c r="AB195" s="755"/>
      <c r="AC195" s="717"/>
      <c r="AD195" s="718">
        <f t="shared" si="50"/>
        <v>123555.08416666668</v>
      </c>
      <c r="AE195" s="717"/>
      <c r="AF195" s="753">
        <f t="shared" si="39"/>
        <v>0</v>
      </c>
    </row>
    <row r="196" spans="1:32">
      <c r="A196" s="677">
        <v>182</v>
      </c>
      <c r="B196" s="379" t="s">
        <v>1009</v>
      </c>
      <c r="C196" s="379" t="s">
        <v>469</v>
      </c>
      <c r="D196" s="379" t="s">
        <v>1344</v>
      </c>
      <c r="E196" s="675" t="s">
        <v>1569</v>
      </c>
      <c r="F196" s="676">
        <v>0</v>
      </c>
      <c r="G196" s="676">
        <v>0</v>
      </c>
      <c r="H196" s="676">
        <v>0</v>
      </c>
      <c r="I196" s="676">
        <v>0</v>
      </c>
      <c r="J196" s="676">
        <v>0</v>
      </c>
      <c r="K196" s="676">
        <v>39907.08</v>
      </c>
      <c r="L196" s="676">
        <v>39907.08</v>
      </c>
      <c r="M196" s="676">
        <v>39329.18</v>
      </c>
      <c r="N196" s="676">
        <v>40122.9</v>
      </c>
      <c r="O196" s="676">
        <v>38232.14</v>
      </c>
      <c r="P196" s="676">
        <v>38936.33</v>
      </c>
      <c r="Q196" s="676">
        <v>40231.5</v>
      </c>
      <c r="R196" s="676">
        <v>40231.5</v>
      </c>
      <c r="S196" s="551">
        <f t="shared" si="49"/>
        <v>24731.83</v>
      </c>
      <c r="T196" s="677"/>
      <c r="U196" s="716"/>
      <c r="V196" s="755"/>
      <c r="W196" s="755"/>
      <c r="X196" s="778">
        <f>+S196</f>
        <v>24731.83</v>
      </c>
      <c r="Y196" s="755"/>
      <c r="Z196" s="755">
        <f>+X196</f>
        <v>24731.83</v>
      </c>
      <c r="AA196" s="716"/>
      <c r="AB196" s="755"/>
      <c r="AC196" s="717"/>
      <c r="AD196" s="718"/>
      <c r="AE196" s="717"/>
      <c r="AF196" s="753"/>
    </row>
    <row r="197" spans="1:32">
      <c r="A197" s="677">
        <v>183</v>
      </c>
      <c r="B197" s="379" t="s">
        <v>1009</v>
      </c>
      <c r="C197" s="379" t="s">
        <v>469</v>
      </c>
      <c r="D197" s="379" t="s">
        <v>1346</v>
      </c>
      <c r="E197" s="675" t="s">
        <v>1580</v>
      </c>
      <c r="F197" s="676">
        <v>65440.960000000101</v>
      </c>
      <c r="G197" s="676">
        <v>64077.61</v>
      </c>
      <c r="H197" s="676">
        <v>62714.26</v>
      </c>
      <c r="I197" s="676">
        <v>61350.9</v>
      </c>
      <c r="J197" s="676">
        <v>59987.55</v>
      </c>
      <c r="K197" s="676">
        <v>58624.2</v>
      </c>
      <c r="L197" s="676">
        <v>57260.84</v>
      </c>
      <c r="M197" s="676">
        <v>55897.49</v>
      </c>
      <c r="N197" s="676">
        <v>54534.14</v>
      </c>
      <c r="O197" s="676">
        <v>53170.78</v>
      </c>
      <c r="P197" s="676">
        <v>51807.43</v>
      </c>
      <c r="Q197" s="676">
        <v>50444.08</v>
      </c>
      <c r="R197" s="676">
        <v>49080.72</v>
      </c>
      <c r="S197" s="551">
        <f t="shared" si="49"/>
        <v>57260.843333333345</v>
      </c>
      <c r="T197" s="677"/>
      <c r="U197" s="716"/>
      <c r="V197" s="755"/>
      <c r="W197" s="755"/>
      <c r="X197" s="778">
        <f>+S197</f>
        <v>57260.843333333345</v>
      </c>
      <c r="Y197" s="755"/>
      <c r="Z197" s="755">
        <f>+X197</f>
        <v>57260.843333333345</v>
      </c>
      <c r="AA197" s="716"/>
      <c r="AB197" s="755"/>
      <c r="AC197" s="717"/>
      <c r="AD197" s="718"/>
      <c r="AE197" s="717"/>
      <c r="AF197" s="753"/>
    </row>
    <row r="198" spans="1:32">
      <c r="A198" s="677">
        <v>184</v>
      </c>
      <c r="B198" s="379" t="s">
        <v>984</v>
      </c>
      <c r="C198" s="379" t="s">
        <v>469</v>
      </c>
      <c r="D198" s="379" t="s">
        <v>1344</v>
      </c>
      <c r="E198" s="675" t="s">
        <v>1569</v>
      </c>
      <c r="F198" s="676">
        <v>0</v>
      </c>
      <c r="G198" s="676">
        <v>0</v>
      </c>
      <c r="H198" s="676">
        <v>0</v>
      </c>
      <c r="I198" s="676">
        <v>0</v>
      </c>
      <c r="J198" s="676">
        <v>0</v>
      </c>
      <c r="K198" s="676">
        <v>632689.85</v>
      </c>
      <c r="L198" s="676">
        <v>632689.85</v>
      </c>
      <c r="M198" s="676">
        <v>632689.85</v>
      </c>
      <c r="N198" s="676">
        <v>632689.85</v>
      </c>
      <c r="O198" s="676">
        <v>621617.1</v>
      </c>
      <c r="P198" s="676">
        <v>621617.1</v>
      </c>
      <c r="Q198" s="676">
        <v>621617.1</v>
      </c>
      <c r="R198" s="676">
        <v>621617.1</v>
      </c>
      <c r="S198" s="551">
        <f t="shared" si="49"/>
        <v>392201.60416666669</v>
      </c>
      <c r="T198" s="677"/>
      <c r="U198" s="716"/>
      <c r="V198" s="755"/>
      <c r="W198" s="755"/>
      <c r="X198" s="778">
        <f t="shared" ref="X198:X199" si="54">+S198</f>
        <v>392201.60416666669</v>
      </c>
      <c r="Y198" s="755">
        <f>+X198</f>
        <v>392201.60416666669</v>
      </c>
      <c r="Z198" s="755"/>
      <c r="AA198" s="716"/>
      <c r="AB198" s="755"/>
      <c r="AC198" s="717"/>
      <c r="AD198" s="718">
        <f t="shared" si="50"/>
        <v>0</v>
      </c>
      <c r="AE198" s="717"/>
      <c r="AF198" s="753">
        <f t="shared" si="39"/>
        <v>0</v>
      </c>
    </row>
    <row r="199" spans="1:32">
      <c r="A199" s="677">
        <v>185</v>
      </c>
      <c r="B199" s="379" t="s">
        <v>984</v>
      </c>
      <c r="C199" s="379" t="s">
        <v>469</v>
      </c>
      <c r="D199" s="379" t="s">
        <v>1346</v>
      </c>
      <c r="E199" s="675" t="s">
        <v>1580</v>
      </c>
      <c r="F199" s="676">
        <v>248712.88</v>
      </c>
      <c r="G199" s="676">
        <v>246409.98</v>
      </c>
      <c r="H199" s="676">
        <v>244107.08</v>
      </c>
      <c r="I199" s="676">
        <v>241804.19</v>
      </c>
      <c r="J199" s="676">
        <v>239501.29</v>
      </c>
      <c r="K199" s="676">
        <v>237198.39</v>
      </c>
      <c r="L199" s="676">
        <v>234895.5</v>
      </c>
      <c r="M199" s="676">
        <v>232592.6</v>
      </c>
      <c r="N199" s="676">
        <v>230289.7</v>
      </c>
      <c r="O199" s="676">
        <v>227986.81</v>
      </c>
      <c r="P199" s="676">
        <v>225683.91</v>
      </c>
      <c r="Q199" s="676">
        <v>223381.01</v>
      </c>
      <c r="R199" s="676">
        <v>221078.12</v>
      </c>
      <c r="S199" s="551">
        <f t="shared" si="49"/>
        <v>234895.49666666667</v>
      </c>
      <c r="T199" s="677"/>
      <c r="U199" s="716"/>
      <c r="V199" s="755"/>
      <c r="W199" s="755"/>
      <c r="X199" s="778">
        <f t="shared" si="54"/>
        <v>234895.49666666667</v>
      </c>
      <c r="Y199" s="755">
        <f>+X199</f>
        <v>234895.49666666667</v>
      </c>
      <c r="Z199" s="755"/>
      <c r="AA199" s="716"/>
      <c r="AB199" s="755"/>
      <c r="AC199" s="717"/>
      <c r="AD199" s="718">
        <f>+U199</f>
        <v>0</v>
      </c>
      <c r="AE199" s="717"/>
      <c r="AF199" s="753">
        <f t="shared" si="39"/>
        <v>0</v>
      </c>
    </row>
    <row r="200" spans="1:32">
      <c r="A200" s="677">
        <v>186</v>
      </c>
      <c r="B200" s="379"/>
      <c r="C200" s="379"/>
      <c r="D200" s="379"/>
      <c r="E200" s="675"/>
      <c r="F200" s="676"/>
      <c r="G200" s="676"/>
      <c r="H200" s="676"/>
      <c r="I200" s="676"/>
      <c r="J200" s="676"/>
      <c r="K200" s="676"/>
      <c r="L200" s="676"/>
      <c r="M200" s="676"/>
      <c r="N200" s="676"/>
      <c r="O200" s="676"/>
      <c r="P200" s="676"/>
      <c r="Q200" s="676"/>
      <c r="R200" s="676"/>
      <c r="S200" s="357"/>
      <c r="T200" s="677"/>
      <c r="U200" s="716">
        <f t="shared" si="51"/>
        <v>0</v>
      </c>
      <c r="V200" s="755"/>
      <c r="W200" s="755"/>
      <c r="X200" s="778"/>
      <c r="Y200" s="755"/>
      <c r="Z200" s="755"/>
      <c r="AA200" s="716"/>
      <c r="AB200" s="755"/>
      <c r="AC200" s="717"/>
      <c r="AD200" s="718"/>
      <c r="AE200" s="717"/>
      <c r="AF200" s="753">
        <f t="shared" si="39"/>
        <v>0</v>
      </c>
    </row>
    <row r="201" spans="1:32">
      <c r="A201" s="677">
        <v>187</v>
      </c>
      <c r="B201" s="677" t="s">
        <v>1009</v>
      </c>
      <c r="C201" s="677" t="s">
        <v>470</v>
      </c>
      <c r="D201" s="677" t="s">
        <v>450</v>
      </c>
      <c r="E201" s="662" t="s">
        <v>471</v>
      </c>
      <c r="F201" s="676">
        <v>593186.79</v>
      </c>
      <c r="G201" s="377">
        <v>0</v>
      </c>
      <c r="H201" s="368">
        <v>0</v>
      </c>
      <c r="I201" s="368">
        <v>0</v>
      </c>
      <c r="J201" s="369">
        <v>0</v>
      </c>
      <c r="K201" s="370">
        <v>0</v>
      </c>
      <c r="L201" s="371">
        <v>0</v>
      </c>
      <c r="M201" s="372">
        <v>0</v>
      </c>
      <c r="N201" s="373">
        <v>0</v>
      </c>
      <c r="O201" s="663">
        <v>0</v>
      </c>
      <c r="P201" s="374">
        <v>0</v>
      </c>
      <c r="Q201" s="378">
        <v>0</v>
      </c>
      <c r="R201" s="676">
        <v>0</v>
      </c>
      <c r="S201" s="551">
        <f>((F201+R201)+((G201+H201+I201+J201+K201+L201+M201+N201+O201+P201+Q201)*2))/24</f>
        <v>24716.116250000003</v>
      </c>
      <c r="T201" s="677"/>
      <c r="U201" s="716"/>
      <c r="V201" s="755"/>
      <c r="W201" s="755"/>
      <c r="X201" s="778">
        <f>+S201</f>
        <v>24716.116250000003</v>
      </c>
      <c r="Y201" s="755"/>
      <c r="Z201" s="755"/>
      <c r="AA201" s="716"/>
      <c r="AB201" s="755">
        <f>+S201</f>
        <v>24716.116250000003</v>
      </c>
      <c r="AC201" s="717"/>
      <c r="AD201" s="717"/>
      <c r="AE201" s="717"/>
      <c r="AF201" s="753">
        <f t="shared" si="39"/>
        <v>0</v>
      </c>
    </row>
    <row r="202" spans="1:32">
      <c r="A202" s="677">
        <v>188</v>
      </c>
      <c r="B202" s="677" t="s">
        <v>984</v>
      </c>
      <c r="C202" s="379" t="s">
        <v>470</v>
      </c>
      <c r="D202" s="379" t="s">
        <v>463</v>
      </c>
      <c r="E202" s="675" t="s">
        <v>471</v>
      </c>
      <c r="F202" s="676">
        <v>40887966.869999997</v>
      </c>
      <c r="G202" s="676">
        <v>0</v>
      </c>
      <c r="H202" s="676">
        <v>0</v>
      </c>
      <c r="I202" s="676">
        <v>0</v>
      </c>
      <c r="J202" s="676">
        <v>0</v>
      </c>
      <c r="K202" s="676">
        <v>0</v>
      </c>
      <c r="L202" s="676">
        <v>0</v>
      </c>
      <c r="M202" s="676">
        <v>0</v>
      </c>
      <c r="N202" s="676">
        <v>0</v>
      </c>
      <c r="O202" s="676">
        <v>0</v>
      </c>
      <c r="P202" s="676">
        <v>0</v>
      </c>
      <c r="Q202" s="676">
        <v>0</v>
      </c>
      <c r="R202" s="676">
        <v>0</v>
      </c>
      <c r="S202" s="551">
        <f>((F202+R202)+((G202+H202+I202+J202+K202+L202+M202+N202+O202+P202+Q202)*2))/24</f>
        <v>1703665.2862499999</v>
      </c>
      <c r="T202" s="677"/>
      <c r="U202" s="716"/>
      <c r="V202" s="755"/>
      <c r="W202" s="755"/>
      <c r="X202" s="778">
        <f>+S202</f>
        <v>1703665.2862499999</v>
      </c>
      <c r="Y202" s="755"/>
      <c r="Z202" s="755"/>
      <c r="AA202" s="716"/>
      <c r="AB202" s="755">
        <f>+S202</f>
        <v>1703665.2862499999</v>
      </c>
      <c r="AC202" s="717"/>
      <c r="AD202" s="717"/>
      <c r="AE202" s="717"/>
      <c r="AF202" s="753">
        <f t="shared" si="39"/>
        <v>0</v>
      </c>
    </row>
    <row r="203" spans="1:32">
      <c r="A203" s="677">
        <v>189</v>
      </c>
      <c r="B203" s="677" t="s">
        <v>1885</v>
      </c>
      <c r="C203" s="379" t="s">
        <v>470</v>
      </c>
      <c r="D203" s="379" t="s">
        <v>1892</v>
      </c>
      <c r="E203" s="675" t="s">
        <v>1893</v>
      </c>
      <c r="F203" s="676">
        <v>0</v>
      </c>
      <c r="G203" s="676">
        <v>0</v>
      </c>
      <c r="H203" s="676">
        <v>2342139.6</v>
      </c>
      <c r="I203" s="676">
        <v>3399048.29</v>
      </c>
      <c r="J203" s="676">
        <v>4027988.3</v>
      </c>
      <c r="K203" s="676">
        <v>4380204.8499999996</v>
      </c>
      <c r="L203" s="676">
        <v>4728970.04</v>
      </c>
      <c r="M203" s="676">
        <v>5196910.95</v>
      </c>
      <c r="N203" s="676">
        <v>6194887.6500000004</v>
      </c>
      <c r="O203" s="676">
        <v>4675781.1500000004</v>
      </c>
      <c r="P203" s="676">
        <v>5056612.16</v>
      </c>
      <c r="Q203" s="676">
        <v>4649236.16</v>
      </c>
      <c r="R203" s="676">
        <v>5008566.5</v>
      </c>
      <c r="S203" s="551">
        <f t="shared" ref="S203:S206" si="55">((F203+R203)+((G203+H203+I203+J203+K203+L203+M203+N203+O203+P203+Q203)*2))/24</f>
        <v>3929671.8666666658</v>
      </c>
      <c r="T203" s="677"/>
      <c r="U203" s="716">
        <f>+S203</f>
        <v>3929671.8666666658</v>
      </c>
      <c r="V203" s="755"/>
      <c r="W203" s="755"/>
      <c r="X203" s="778"/>
      <c r="Y203" s="755"/>
      <c r="Z203" s="755"/>
      <c r="AA203" s="716"/>
      <c r="AB203" s="755"/>
      <c r="AC203" s="717"/>
      <c r="AD203" s="718">
        <f>+S203</f>
        <v>3929671.8666666658</v>
      </c>
      <c r="AE203" s="717"/>
      <c r="AF203" s="753"/>
    </row>
    <row r="204" spans="1:32">
      <c r="A204" s="677">
        <v>190</v>
      </c>
      <c r="B204" s="677" t="s">
        <v>1885</v>
      </c>
      <c r="C204" s="379" t="s">
        <v>470</v>
      </c>
      <c r="D204" s="379" t="s">
        <v>1894</v>
      </c>
      <c r="E204" s="675" t="s">
        <v>1893</v>
      </c>
      <c r="F204" s="676">
        <v>0</v>
      </c>
      <c r="G204" s="676">
        <v>47946602.299999997</v>
      </c>
      <c r="H204" s="676">
        <v>67505586.75</v>
      </c>
      <c r="I204" s="676">
        <v>57823020.020000003</v>
      </c>
      <c r="J204" s="676">
        <v>56865822.530000001</v>
      </c>
      <c r="K204" s="676">
        <v>58478877.130000003</v>
      </c>
      <c r="L204" s="676">
        <v>60718799.259999998</v>
      </c>
      <c r="M204" s="676">
        <v>62935207.299999997</v>
      </c>
      <c r="N204" s="676">
        <v>66002326.009999998</v>
      </c>
      <c r="O204" s="676">
        <v>34706739.090000004</v>
      </c>
      <c r="P204" s="676">
        <v>35180151.969999999</v>
      </c>
      <c r="Q204" s="676">
        <v>33787613.960000001</v>
      </c>
      <c r="R204" s="676">
        <v>37814583.32</v>
      </c>
      <c r="S204" s="551">
        <f t="shared" si="55"/>
        <v>50071503.164999999</v>
      </c>
      <c r="T204" s="677"/>
      <c r="U204" s="716">
        <f t="shared" ref="U204:U205" si="56">+S204</f>
        <v>50071503.164999999</v>
      </c>
      <c r="V204" s="755"/>
      <c r="W204" s="755"/>
      <c r="X204" s="778"/>
      <c r="Y204" s="755"/>
      <c r="Z204" s="755"/>
      <c r="AA204" s="716"/>
      <c r="AB204" s="755"/>
      <c r="AD204" s="718">
        <f>+S204</f>
        <v>50071503.164999999</v>
      </c>
      <c r="AE204" s="717"/>
      <c r="AF204" s="753"/>
    </row>
    <row r="205" spans="1:32">
      <c r="A205" s="677">
        <v>191</v>
      </c>
      <c r="B205" s="677" t="s">
        <v>1885</v>
      </c>
      <c r="C205" s="379" t="s">
        <v>470</v>
      </c>
      <c r="D205" s="379" t="s">
        <v>1895</v>
      </c>
      <c r="E205" s="675" t="s">
        <v>1893</v>
      </c>
      <c r="F205" s="676">
        <v>0</v>
      </c>
      <c r="G205" s="676">
        <v>0</v>
      </c>
      <c r="H205" s="676">
        <v>0</v>
      </c>
      <c r="I205" s="676">
        <v>30228787.370000001</v>
      </c>
      <c r="J205" s="676">
        <v>30305289.539999999</v>
      </c>
      <c r="K205" s="676">
        <v>29534495.120000001</v>
      </c>
      <c r="L205" s="676">
        <v>29095371.93</v>
      </c>
      <c r="M205" s="676">
        <v>28758376.969999999</v>
      </c>
      <c r="N205" s="676">
        <v>28468854.23</v>
      </c>
      <c r="O205" s="676">
        <v>53618901.579999998</v>
      </c>
      <c r="P205" s="676">
        <v>52727328.140000001</v>
      </c>
      <c r="Q205" s="676">
        <v>50721235.899999999</v>
      </c>
      <c r="R205" s="676">
        <v>46381080.18</v>
      </c>
      <c r="S205" s="551">
        <f t="shared" si="55"/>
        <v>29720765.072499994</v>
      </c>
      <c r="T205" s="677"/>
      <c r="U205" s="716">
        <f t="shared" si="56"/>
        <v>29720765.072499994</v>
      </c>
      <c r="V205" s="755"/>
      <c r="W205" s="755"/>
      <c r="X205" s="778"/>
      <c r="Y205" s="755"/>
      <c r="Z205" s="755"/>
      <c r="AA205" s="716"/>
      <c r="AB205" s="755"/>
      <c r="AD205" s="718">
        <f>+S205</f>
        <v>29720765.072499994</v>
      </c>
      <c r="AE205" s="717"/>
      <c r="AF205" s="753"/>
    </row>
    <row r="206" spans="1:32">
      <c r="A206" s="677">
        <v>192</v>
      </c>
      <c r="B206" s="677"/>
      <c r="C206" s="677"/>
      <c r="D206" s="677"/>
      <c r="E206" s="662"/>
      <c r="F206" s="676"/>
      <c r="G206" s="377"/>
      <c r="H206" s="368"/>
      <c r="I206" s="368"/>
      <c r="J206" s="369"/>
      <c r="K206" s="370"/>
      <c r="L206" s="371"/>
      <c r="M206" s="372"/>
      <c r="N206" s="373"/>
      <c r="O206" s="663"/>
      <c r="P206" s="374"/>
      <c r="Q206" s="378"/>
      <c r="R206" s="676"/>
      <c r="S206" s="551">
        <f t="shared" si="55"/>
        <v>0</v>
      </c>
      <c r="T206" s="677"/>
      <c r="U206" s="716"/>
      <c r="V206" s="755"/>
      <c r="W206" s="755"/>
      <c r="X206" s="778"/>
      <c r="Y206" s="755"/>
      <c r="Z206" s="755"/>
      <c r="AA206" s="716"/>
      <c r="AB206" s="755"/>
      <c r="AC206" s="717"/>
      <c r="AD206" s="717"/>
      <c r="AE206" s="717"/>
      <c r="AF206" s="753">
        <f t="shared" si="39"/>
        <v>0</v>
      </c>
    </row>
    <row r="207" spans="1:32">
      <c r="A207" s="677">
        <v>193</v>
      </c>
      <c r="B207" s="379" t="s">
        <v>981</v>
      </c>
      <c r="C207" s="589" t="s">
        <v>472</v>
      </c>
      <c r="D207" s="379" t="s">
        <v>473</v>
      </c>
      <c r="E207" s="675" t="s">
        <v>474</v>
      </c>
      <c r="F207" s="676">
        <v>58463.57</v>
      </c>
      <c r="G207" s="676">
        <v>57904.11</v>
      </c>
      <c r="H207" s="676">
        <v>57344.65</v>
      </c>
      <c r="I207" s="676">
        <v>56785.19</v>
      </c>
      <c r="J207" s="676">
        <v>56225.73</v>
      </c>
      <c r="K207" s="676">
        <v>55666.27</v>
      </c>
      <c r="L207" s="676">
        <v>55106.81</v>
      </c>
      <c r="M207" s="676">
        <v>54547.35</v>
      </c>
      <c r="N207" s="676">
        <v>53987.89</v>
      </c>
      <c r="O207" s="676">
        <v>53428.43</v>
      </c>
      <c r="P207" s="676">
        <v>52868.97</v>
      </c>
      <c r="Q207" s="676">
        <v>52309.51</v>
      </c>
      <c r="R207" s="676">
        <v>51750.05</v>
      </c>
      <c r="S207" s="551">
        <f t="shared" ref="S207:S223" si="57">((F207+R207)+((G207+H207+I207+J207+K207+L207+M207+N207+O207+P207+Q207)*2))/24</f>
        <v>55106.81</v>
      </c>
      <c r="T207" s="677"/>
      <c r="U207" s="716"/>
      <c r="V207" s="755"/>
      <c r="W207" s="755">
        <f>+S207</f>
        <v>55106.81</v>
      </c>
      <c r="X207" s="778"/>
      <c r="Y207" s="755"/>
      <c r="Z207" s="755"/>
      <c r="AA207" s="716"/>
      <c r="AB207" s="755"/>
      <c r="AC207" s="718">
        <f t="shared" ref="AC207:AC218" si="58">+S207</f>
        <v>55106.81</v>
      </c>
      <c r="AD207" s="717"/>
      <c r="AE207" s="717"/>
      <c r="AF207" s="753">
        <f t="shared" si="39"/>
        <v>0</v>
      </c>
    </row>
    <row r="208" spans="1:32">
      <c r="A208" s="677">
        <v>194</v>
      </c>
      <c r="B208" s="379" t="s">
        <v>981</v>
      </c>
      <c r="C208" s="589" t="s">
        <v>472</v>
      </c>
      <c r="D208" s="379" t="s">
        <v>475</v>
      </c>
      <c r="E208" s="675" t="s">
        <v>476</v>
      </c>
      <c r="F208" s="676">
        <v>51189.82</v>
      </c>
      <c r="G208" s="676">
        <v>50770.22</v>
      </c>
      <c r="H208" s="676">
        <v>50350.62</v>
      </c>
      <c r="I208" s="676">
        <v>49931.02</v>
      </c>
      <c r="J208" s="676">
        <v>49511.42</v>
      </c>
      <c r="K208" s="676">
        <v>49091.82</v>
      </c>
      <c r="L208" s="676">
        <v>48672.22</v>
      </c>
      <c r="M208" s="676">
        <v>48252.62</v>
      </c>
      <c r="N208" s="676">
        <v>47833.02</v>
      </c>
      <c r="O208" s="676">
        <v>47413.42</v>
      </c>
      <c r="P208" s="676">
        <v>46993.82</v>
      </c>
      <c r="Q208" s="676">
        <v>46574.22</v>
      </c>
      <c r="R208" s="676">
        <v>46154.62</v>
      </c>
      <c r="S208" s="551">
        <f t="shared" si="57"/>
        <v>48672.219999999994</v>
      </c>
      <c r="T208" s="677"/>
      <c r="U208" s="716"/>
      <c r="V208" s="755"/>
      <c r="W208" s="755">
        <f t="shared" ref="W208:W221" si="59">+S208</f>
        <v>48672.219999999994</v>
      </c>
      <c r="X208" s="778"/>
      <c r="Y208" s="755"/>
      <c r="Z208" s="755"/>
      <c r="AA208" s="716"/>
      <c r="AB208" s="755"/>
      <c r="AC208" s="718">
        <f t="shared" si="58"/>
        <v>48672.219999999994</v>
      </c>
      <c r="AD208" s="717"/>
      <c r="AE208" s="717"/>
      <c r="AF208" s="753">
        <f t="shared" si="39"/>
        <v>0</v>
      </c>
    </row>
    <row r="209" spans="1:32">
      <c r="A209" s="677">
        <v>195</v>
      </c>
      <c r="B209" s="379" t="s">
        <v>981</v>
      </c>
      <c r="C209" s="589" t="s">
        <v>472</v>
      </c>
      <c r="D209" s="379" t="s">
        <v>477</v>
      </c>
      <c r="E209" s="675" t="s">
        <v>478</v>
      </c>
      <c r="F209" s="676">
        <v>852667.05</v>
      </c>
      <c r="G209" s="676">
        <v>848249.09</v>
      </c>
      <c r="H209" s="676">
        <v>843138.35</v>
      </c>
      <c r="I209" s="676">
        <v>838724.01</v>
      </c>
      <c r="J209" s="676">
        <v>834309.67</v>
      </c>
      <c r="K209" s="676">
        <v>826758.64</v>
      </c>
      <c r="L209" s="676">
        <v>822360.99</v>
      </c>
      <c r="M209" s="676">
        <v>817963.34</v>
      </c>
      <c r="N209" s="676">
        <v>813230.18</v>
      </c>
      <c r="O209" s="676">
        <v>808834.34</v>
      </c>
      <c r="P209" s="676">
        <v>804438.5</v>
      </c>
      <c r="Q209" s="676">
        <v>799217.51</v>
      </c>
      <c r="R209" s="676">
        <v>794826.2</v>
      </c>
      <c r="S209" s="551">
        <f t="shared" si="57"/>
        <v>823414.27041666664</v>
      </c>
      <c r="T209" s="677"/>
      <c r="U209" s="716"/>
      <c r="V209" s="755"/>
      <c r="W209" s="755">
        <f t="shared" si="59"/>
        <v>823414.27041666664</v>
      </c>
      <c r="X209" s="778"/>
      <c r="Y209" s="755"/>
      <c r="Z209" s="755"/>
      <c r="AA209" s="716"/>
      <c r="AB209" s="755"/>
      <c r="AC209" s="718">
        <f t="shared" si="58"/>
        <v>823414.27041666664</v>
      </c>
      <c r="AD209" s="717"/>
      <c r="AE209" s="717"/>
      <c r="AF209" s="753">
        <f t="shared" si="39"/>
        <v>0</v>
      </c>
    </row>
    <row r="210" spans="1:32">
      <c r="A210" s="677">
        <v>196</v>
      </c>
      <c r="B210" s="379" t="s">
        <v>981</v>
      </c>
      <c r="C210" s="589" t="s">
        <v>472</v>
      </c>
      <c r="D210" s="379" t="s">
        <v>479</v>
      </c>
      <c r="E210" s="675" t="s">
        <v>480</v>
      </c>
      <c r="F210" s="676">
        <v>25296.48</v>
      </c>
      <c r="G210" s="676">
        <v>23948.42</v>
      </c>
      <c r="H210" s="676">
        <v>22600.36</v>
      </c>
      <c r="I210" s="676">
        <v>21252.3</v>
      </c>
      <c r="J210" s="676">
        <v>19904.240000000002</v>
      </c>
      <c r="K210" s="676">
        <v>18556.18</v>
      </c>
      <c r="L210" s="676">
        <v>17208.12</v>
      </c>
      <c r="M210" s="676">
        <v>15860.06</v>
      </c>
      <c r="N210" s="676">
        <v>14512</v>
      </c>
      <c r="O210" s="676">
        <v>13163.94</v>
      </c>
      <c r="P210" s="676">
        <v>11815.88</v>
      </c>
      <c r="Q210" s="676">
        <v>10467.82</v>
      </c>
      <c r="R210" s="676">
        <v>9119.7599999999893</v>
      </c>
      <c r="S210" s="551">
        <f t="shared" si="57"/>
        <v>17208.12</v>
      </c>
      <c r="T210" s="677"/>
      <c r="U210" s="716"/>
      <c r="V210" s="755"/>
      <c r="W210" s="755">
        <f t="shared" si="59"/>
        <v>17208.12</v>
      </c>
      <c r="X210" s="778"/>
      <c r="Y210" s="755"/>
      <c r="Z210" s="755"/>
      <c r="AA210" s="716"/>
      <c r="AB210" s="755"/>
      <c r="AC210" s="718">
        <f t="shared" si="58"/>
        <v>17208.12</v>
      </c>
      <c r="AD210" s="717"/>
      <c r="AE210" s="717"/>
      <c r="AF210" s="753">
        <f t="shared" si="39"/>
        <v>0</v>
      </c>
    </row>
    <row r="211" spans="1:32">
      <c r="A211" s="677">
        <v>197</v>
      </c>
      <c r="B211" s="379" t="s">
        <v>981</v>
      </c>
      <c r="C211" s="589" t="s">
        <v>472</v>
      </c>
      <c r="D211" s="379" t="s">
        <v>481</v>
      </c>
      <c r="E211" s="675" t="s">
        <v>482</v>
      </c>
      <c r="F211" s="676">
        <v>141205.07999999999</v>
      </c>
      <c r="G211" s="676">
        <v>140557.57999999999</v>
      </c>
      <c r="H211" s="676">
        <v>139910.07999999999</v>
      </c>
      <c r="I211" s="676">
        <v>139262.57999999999</v>
      </c>
      <c r="J211" s="676">
        <v>138615.07999999999</v>
      </c>
      <c r="K211" s="676">
        <v>137967.57999999999</v>
      </c>
      <c r="L211" s="676">
        <v>137320.07999999999</v>
      </c>
      <c r="M211" s="676">
        <v>136672.57999999999</v>
      </c>
      <c r="N211" s="676">
        <v>136025.07999999999</v>
      </c>
      <c r="O211" s="676">
        <v>135377.57999999999</v>
      </c>
      <c r="P211" s="676">
        <v>134730.07999999999</v>
      </c>
      <c r="Q211" s="676">
        <v>134082.57999999999</v>
      </c>
      <c r="R211" s="676">
        <v>133435.07999999999</v>
      </c>
      <c r="S211" s="551">
        <f t="shared" si="57"/>
        <v>137320.08000000002</v>
      </c>
      <c r="T211" s="677"/>
      <c r="U211" s="716"/>
      <c r="V211" s="755"/>
      <c r="W211" s="755">
        <f t="shared" si="59"/>
        <v>137320.08000000002</v>
      </c>
      <c r="X211" s="778"/>
      <c r="Y211" s="755"/>
      <c r="Z211" s="755"/>
      <c r="AA211" s="716"/>
      <c r="AB211" s="755"/>
      <c r="AC211" s="718">
        <f t="shared" si="58"/>
        <v>137320.08000000002</v>
      </c>
      <c r="AD211" s="717"/>
      <c r="AE211" s="717"/>
      <c r="AF211" s="753">
        <f t="shared" si="39"/>
        <v>0</v>
      </c>
    </row>
    <row r="212" spans="1:32">
      <c r="A212" s="677">
        <v>198</v>
      </c>
      <c r="B212" s="379" t="s">
        <v>981</v>
      </c>
      <c r="C212" s="589" t="s">
        <v>472</v>
      </c>
      <c r="D212" s="379" t="s">
        <v>483</v>
      </c>
      <c r="E212" s="590" t="s">
        <v>484</v>
      </c>
      <c r="F212" s="676">
        <v>82844.59</v>
      </c>
      <c r="G212" s="676">
        <v>81795.92</v>
      </c>
      <c r="H212" s="676">
        <v>80747.25</v>
      </c>
      <c r="I212" s="676">
        <v>79698.58</v>
      </c>
      <c r="J212" s="676">
        <v>78649.91</v>
      </c>
      <c r="K212" s="676">
        <v>77601.240000000005</v>
      </c>
      <c r="L212" s="676">
        <v>76552.570000000007</v>
      </c>
      <c r="M212" s="676">
        <v>75503.899999999994</v>
      </c>
      <c r="N212" s="676">
        <v>74455.23</v>
      </c>
      <c r="O212" s="676">
        <v>73406.559999999998</v>
      </c>
      <c r="P212" s="676">
        <v>72357.89</v>
      </c>
      <c r="Q212" s="676">
        <v>71309.22</v>
      </c>
      <c r="R212" s="676">
        <v>70260.55</v>
      </c>
      <c r="S212" s="551">
        <f t="shared" si="57"/>
        <v>76552.569999999992</v>
      </c>
      <c r="T212" s="677"/>
      <c r="U212" s="716"/>
      <c r="V212" s="755"/>
      <c r="W212" s="755">
        <f t="shared" si="59"/>
        <v>76552.569999999992</v>
      </c>
      <c r="X212" s="778"/>
      <c r="Y212" s="755"/>
      <c r="Z212" s="755"/>
      <c r="AA212" s="716"/>
      <c r="AB212" s="755"/>
      <c r="AC212" s="718">
        <f t="shared" si="58"/>
        <v>76552.569999999992</v>
      </c>
      <c r="AD212" s="717"/>
      <c r="AE212" s="717"/>
      <c r="AF212" s="753">
        <f t="shared" si="39"/>
        <v>0</v>
      </c>
    </row>
    <row r="213" spans="1:32">
      <c r="A213" s="677">
        <v>199</v>
      </c>
      <c r="B213" s="379" t="s">
        <v>981</v>
      </c>
      <c r="C213" s="589" t="s">
        <v>472</v>
      </c>
      <c r="D213" s="379" t="s">
        <v>485</v>
      </c>
      <c r="E213" s="590" t="s">
        <v>486</v>
      </c>
      <c r="F213" s="676">
        <v>96477.490000000107</v>
      </c>
      <c r="G213" s="676">
        <v>95638.56</v>
      </c>
      <c r="H213" s="676">
        <v>94799.63</v>
      </c>
      <c r="I213" s="676">
        <v>93960.7</v>
      </c>
      <c r="J213" s="676">
        <v>93121.77</v>
      </c>
      <c r="K213" s="676">
        <v>92282.84</v>
      </c>
      <c r="L213" s="676">
        <v>91443.91</v>
      </c>
      <c r="M213" s="676">
        <v>90604.980000000098</v>
      </c>
      <c r="N213" s="676">
        <v>89766.050000000105</v>
      </c>
      <c r="O213" s="676">
        <v>88927.120000000097</v>
      </c>
      <c r="P213" s="676">
        <v>88088.190000000104</v>
      </c>
      <c r="Q213" s="676">
        <v>87249.260000000097</v>
      </c>
      <c r="R213" s="676">
        <v>86410.330000000104</v>
      </c>
      <c r="S213" s="551">
        <f t="shared" si="57"/>
        <v>91443.910000000047</v>
      </c>
      <c r="T213" s="677"/>
      <c r="U213" s="716"/>
      <c r="V213" s="755"/>
      <c r="W213" s="755">
        <f t="shared" si="59"/>
        <v>91443.910000000047</v>
      </c>
      <c r="X213" s="778"/>
      <c r="Y213" s="755"/>
      <c r="Z213" s="755"/>
      <c r="AA213" s="716"/>
      <c r="AB213" s="755"/>
      <c r="AC213" s="718">
        <f t="shared" si="58"/>
        <v>91443.910000000047</v>
      </c>
      <c r="AD213" s="717"/>
      <c r="AE213" s="717"/>
      <c r="AF213" s="753">
        <f t="shared" si="39"/>
        <v>0</v>
      </c>
    </row>
    <row r="214" spans="1:32">
      <c r="A214" s="677">
        <v>200</v>
      </c>
      <c r="B214" s="379" t="s">
        <v>981</v>
      </c>
      <c r="C214" s="589" t="s">
        <v>472</v>
      </c>
      <c r="D214" s="379" t="s">
        <v>457</v>
      </c>
      <c r="E214" s="590" t="s">
        <v>487</v>
      </c>
      <c r="F214" s="676">
        <v>98736.3100000001</v>
      </c>
      <c r="G214" s="676">
        <v>92153.88</v>
      </c>
      <c r="H214" s="676">
        <v>85571.45</v>
      </c>
      <c r="I214" s="676">
        <v>78989.02</v>
      </c>
      <c r="J214" s="676">
        <v>72406.59</v>
      </c>
      <c r="K214" s="676">
        <v>65824.160000000003</v>
      </c>
      <c r="L214" s="676">
        <v>314578.2</v>
      </c>
      <c r="M214" s="676">
        <v>318917.87</v>
      </c>
      <c r="N214" s="676">
        <v>375952.24</v>
      </c>
      <c r="O214" s="676">
        <v>369356.59</v>
      </c>
      <c r="P214" s="676">
        <v>362760.94</v>
      </c>
      <c r="Q214" s="676">
        <v>356165.29</v>
      </c>
      <c r="R214" s="676">
        <v>349569.64</v>
      </c>
      <c r="S214" s="551">
        <f t="shared" si="57"/>
        <v>226402.43375000005</v>
      </c>
      <c r="T214" s="677"/>
      <c r="U214" s="716"/>
      <c r="V214" s="755"/>
      <c r="W214" s="755">
        <f t="shared" si="59"/>
        <v>226402.43375000005</v>
      </c>
      <c r="X214" s="778"/>
      <c r="Y214" s="755"/>
      <c r="Z214" s="755"/>
      <c r="AA214" s="716"/>
      <c r="AB214" s="755"/>
      <c r="AC214" s="718">
        <f t="shared" si="58"/>
        <v>226402.43375000005</v>
      </c>
      <c r="AD214" s="717"/>
      <c r="AE214" s="717"/>
      <c r="AF214" s="753">
        <f t="shared" si="39"/>
        <v>0</v>
      </c>
    </row>
    <row r="215" spans="1:32">
      <c r="A215" s="677">
        <v>201</v>
      </c>
      <c r="B215" s="379" t="s">
        <v>981</v>
      </c>
      <c r="C215" s="589" t="s">
        <v>472</v>
      </c>
      <c r="D215" s="379" t="s">
        <v>488</v>
      </c>
      <c r="E215" s="590" t="s">
        <v>1896</v>
      </c>
      <c r="F215" s="676">
        <v>53780.84</v>
      </c>
      <c r="G215" s="676">
        <v>53607.35</v>
      </c>
      <c r="H215" s="676">
        <v>53433.86</v>
      </c>
      <c r="I215" s="676">
        <v>53260.37</v>
      </c>
      <c r="J215" s="676">
        <v>53086.879999999997</v>
      </c>
      <c r="K215" s="676">
        <v>52913.39</v>
      </c>
      <c r="L215" s="676">
        <v>52739.9</v>
      </c>
      <c r="M215" s="676">
        <v>52566.41</v>
      </c>
      <c r="N215" s="676">
        <v>52392.92</v>
      </c>
      <c r="O215" s="676">
        <v>52219.43</v>
      </c>
      <c r="P215" s="676">
        <v>52045.94</v>
      </c>
      <c r="Q215" s="676">
        <v>51872.45</v>
      </c>
      <c r="R215" s="676">
        <v>51698.96</v>
      </c>
      <c r="S215" s="551">
        <f t="shared" si="57"/>
        <v>52739.899999999994</v>
      </c>
      <c r="T215" s="677"/>
      <c r="U215" s="716"/>
      <c r="V215" s="755"/>
      <c r="W215" s="755">
        <f t="shared" si="59"/>
        <v>52739.899999999994</v>
      </c>
      <c r="X215" s="778"/>
      <c r="Y215" s="755"/>
      <c r="Z215" s="755"/>
      <c r="AA215" s="716"/>
      <c r="AB215" s="755"/>
      <c r="AC215" s="718">
        <f t="shared" si="58"/>
        <v>52739.899999999994</v>
      </c>
      <c r="AD215" s="717"/>
      <c r="AE215" s="717"/>
      <c r="AF215" s="753">
        <f t="shared" si="39"/>
        <v>0</v>
      </c>
    </row>
    <row r="216" spans="1:32">
      <c r="A216" s="677">
        <v>202</v>
      </c>
      <c r="B216" s="379" t="s">
        <v>981</v>
      </c>
      <c r="C216" s="589" t="s">
        <v>472</v>
      </c>
      <c r="D216" s="379" t="s">
        <v>489</v>
      </c>
      <c r="E216" s="590" t="s">
        <v>1897</v>
      </c>
      <c r="F216" s="676">
        <v>54740.34</v>
      </c>
      <c r="G216" s="676">
        <v>54613.04</v>
      </c>
      <c r="H216" s="676">
        <v>54485.74</v>
      </c>
      <c r="I216" s="676">
        <v>54358.44</v>
      </c>
      <c r="J216" s="676">
        <v>54231.14</v>
      </c>
      <c r="K216" s="676">
        <v>54103.839999999997</v>
      </c>
      <c r="L216" s="676">
        <v>53976.54</v>
      </c>
      <c r="M216" s="676">
        <v>53849.24</v>
      </c>
      <c r="N216" s="676">
        <v>53721.94</v>
      </c>
      <c r="O216" s="676">
        <v>53594.64</v>
      </c>
      <c r="P216" s="676">
        <v>53467.34</v>
      </c>
      <c r="Q216" s="676">
        <v>53340.04</v>
      </c>
      <c r="R216" s="676">
        <v>53212.74</v>
      </c>
      <c r="S216" s="551">
        <f t="shared" si="57"/>
        <v>53976.54</v>
      </c>
      <c r="T216" s="677"/>
      <c r="U216" s="716"/>
      <c r="V216" s="755"/>
      <c r="W216" s="755">
        <f t="shared" si="59"/>
        <v>53976.54</v>
      </c>
      <c r="X216" s="778"/>
      <c r="Y216" s="755"/>
      <c r="Z216" s="755"/>
      <c r="AA216" s="716"/>
      <c r="AB216" s="755"/>
      <c r="AC216" s="718">
        <f t="shared" si="58"/>
        <v>53976.54</v>
      </c>
      <c r="AD216" s="717"/>
      <c r="AE216" s="717"/>
      <c r="AF216" s="753">
        <f t="shared" si="39"/>
        <v>0</v>
      </c>
    </row>
    <row r="217" spans="1:32">
      <c r="A217" s="677">
        <v>203</v>
      </c>
      <c r="B217" s="379" t="s">
        <v>981</v>
      </c>
      <c r="C217" s="589" t="s">
        <v>472</v>
      </c>
      <c r="D217" s="379" t="s">
        <v>490</v>
      </c>
      <c r="E217" s="590" t="s">
        <v>1898</v>
      </c>
      <c r="F217" s="676">
        <v>54127.82</v>
      </c>
      <c r="G217" s="676">
        <v>53954.33</v>
      </c>
      <c r="H217" s="676">
        <v>53780.84</v>
      </c>
      <c r="I217" s="676">
        <v>53607.35</v>
      </c>
      <c r="J217" s="676">
        <v>53433.86</v>
      </c>
      <c r="K217" s="676">
        <v>53260.37</v>
      </c>
      <c r="L217" s="676">
        <v>53086.879999999997</v>
      </c>
      <c r="M217" s="676">
        <v>52913.39</v>
      </c>
      <c r="N217" s="676">
        <v>52739.9</v>
      </c>
      <c r="O217" s="676">
        <v>52566.41</v>
      </c>
      <c r="P217" s="676">
        <v>52392.92</v>
      </c>
      <c r="Q217" s="676">
        <v>52219.43</v>
      </c>
      <c r="R217" s="676">
        <v>52045.94</v>
      </c>
      <c r="S217" s="551">
        <f t="shared" si="57"/>
        <v>53086.880000000012</v>
      </c>
      <c r="T217" s="677"/>
      <c r="U217" s="716"/>
      <c r="V217" s="755"/>
      <c r="W217" s="755">
        <f t="shared" si="59"/>
        <v>53086.880000000012</v>
      </c>
      <c r="X217" s="778"/>
      <c r="Y217" s="755"/>
      <c r="Z217" s="755"/>
      <c r="AA217" s="716"/>
      <c r="AB217" s="755"/>
      <c r="AC217" s="718">
        <f t="shared" si="58"/>
        <v>53086.880000000012</v>
      </c>
      <c r="AD217" s="717"/>
      <c r="AE217" s="717"/>
      <c r="AF217" s="753">
        <f t="shared" si="39"/>
        <v>0</v>
      </c>
    </row>
    <row r="218" spans="1:32">
      <c r="A218" s="677">
        <v>204</v>
      </c>
      <c r="B218" s="379" t="s">
        <v>981</v>
      </c>
      <c r="C218" s="589" t="s">
        <v>472</v>
      </c>
      <c r="D218" s="379" t="s">
        <v>491</v>
      </c>
      <c r="E218" s="590" t="s">
        <v>1899</v>
      </c>
      <c r="F218" s="676">
        <v>54994.94</v>
      </c>
      <c r="G218" s="676">
        <v>54867.64</v>
      </c>
      <c r="H218" s="676">
        <v>54740.34</v>
      </c>
      <c r="I218" s="676">
        <v>54613.04</v>
      </c>
      <c r="J218" s="676">
        <v>54485.74</v>
      </c>
      <c r="K218" s="676">
        <v>54358.44</v>
      </c>
      <c r="L218" s="676">
        <v>54231.14</v>
      </c>
      <c r="M218" s="676">
        <v>54103.839999999997</v>
      </c>
      <c r="N218" s="676">
        <v>53976.54</v>
      </c>
      <c r="O218" s="676">
        <v>53849.24</v>
      </c>
      <c r="P218" s="676">
        <v>53721.94</v>
      </c>
      <c r="Q218" s="676">
        <v>53594.64</v>
      </c>
      <c r="R218" s="676">
        <v>53467.34</v>
      </c>
      <c r="S218" s="551">
        <f t="shared" si="57"/>
        <v>54231.139999999992</v>
      </c>
      <c r="T218" s="677"/>
      <c r="U218" s="716"/>
      <c r="V218" s="755"/>
      <c r="W218" s="755">
        <f t="shared" si="59"/>
        <v>54231.139999999992</v>
      </c>
      <c r="X218" s="778"/>
      <c r="Y218" s="755"/>
      <c r="Z218" s="755"/>
      <c r="AA218" s="716"/>
      <c r="AB218" s="755"/>
      <c r="AC218" s="718">
        <f t="shared" si="58"/>
        <v>54231.139999999992</v>
      </c>
      <c r="AD218" s="717"/>
      <c r="AE218" s="717"/>
      <c r="AF218" s="753">
        <f t="shared" si="39"/>
        <v>0</v>
      </c>
    </row>
    <row r="219" spans="1:32">
      <c r="A219" s="677">
        <v>205</v>
      </c>
      <c r="B219" s="379"/>
      <c r="C219" s="589" t="s">
        <v>472</v>
      </c>
      <c r="D219" s="379" t="s">
        <v>1900</v>
      </c>
      <c r="E219" s="590" t="s">
        <v>1901</v>
      </c>
      <c r="F219" s="676">
        <v>0</v>
      </c>
      <c r="G219" s="676">
        <v>0</v>
      </c>
      <c r="H219" s="676">
        <v>0</v>
      </c>
      <c r="I219" s="676">
        <v>0</v>
      </c>
      <c r="J219" s="676">
        <v>0</v>
      </c>
      <c r="K219" s="676">
        <v>4316.83</v>
      </c>
      <c r="L219" s="676">
        <v>117539.84</v>
      </c>
      <c r="M219" s="676">
        <v>124791.17</v>
      </c>
      <c r="N219" s="676">
        <v>125247.9</v>
      </c>
      <c r="O219" s="676">
        <v>124177.41</v>
      </c>
      <c r="P219" s="676">
        <v>123106.92</v>
      </c>
      <c r="Q219" s="676">
        <v>122036.43</v>
      </c>
      <c r="R219" s="676">
        <v>120965.94</v>
      </c>
      <c r="S219" s="551">
        <f t="shared" si="57"/>
        <v>66808.289166666669</v>
      </c>
      <c r="T219" s="677"/>
      <c r="U219" s="716"/>
      <c r="V219" s="755"/>
      <c r="W219" s="755">
        <f t="shared" si="59"/>
        <v>66808.289166666669</v>
      </c>
      <c r="X219" s="778"/>
      <c r="Y219" s="755"/>
      <c r="Z219" s="755"/>
      <c r="AA219" s="716"/>
      <c r="AB219" s="755"/>
      <c r="AC219" s="718">
        <f>+S219</f>
        <v>66808.289166666669</v>
      </c>
      <c r="AD219" s="717"/>
      <c r="AE219" s="717"/>
      <c r="AF219" s="753"/>
    </row>
    <row r="220" spans="1:32">
      <c r="A220" s="677">
        <v>206</v>
      </c>
      <c r="B220" s="379"/>
      <c r="C220" s="589" t="s">
        <v>472</v>
      </c>
      <c r="D220" s="379" t="s">
        <v>1902</v>
      </c>
      <c r="E220" s="590" t="s">
        <v>1903</v>
      </c>
      <c r="F220" s="676">
        <v>0</v>
      </c>
      <c r="G220" s="676">
        <v>0</v>
      </c>
      <c r="H220" s="676">
        <v>0</v>
      </c>
      <c r="I220" s="676">
        <v>0</v>
      </c>
      <c r="J220" s="676">
        <v>0</v>
      </c>
      <c r="K220" s="676">
        <v>3453.47</v>
      </c>
      <c r="L220" s="676">
        <v>94295.27</v>
      </c>
      <c r="M220" s="676">
        <v>100396.96</v>
      </c>
      <c r="N220" s="676">
        <v>101054.71</v>
      </c>
      <c r="O220" s="676">
        <v>100483.78</v>
      </c>
      <c r="P220" s="676">
        <v>99912.85</v>
      </c>
      <c r="Q220" s="676">
        <v>99341.92</v>
      </c>
      <c r="R220" s="676">
        <v>98770.99</v>
      </c>
      <c r="S220" s="551">
        <f t="shared" si="57"/>
        <v>54027.037916666675</v>
      </c>
      <c r="T220" s="677"/>
      <c r="U220" s="716"/>
      <c r="V220" s="755"/>
      <c r="W220" s="755">
        <f t="shared" si="59"/>
        <v>54027.037916666675</v>
      </c>
      <c r="X220" s="778"/>
      <c r="Y220" s="755"/>
      <c r="Z220" s="755"/>
      <c r="AA220" s="716"/>
      <c r="AB220" s="755"/>
      <c r="AC220" s="718">
        <f t="shared" ref="AC220:AC221" si="60">+S220</f>
        <v>54027.037916666675</v>
      </c>
      <c r="AD220" s="717"/>
      <c r="AE220" s="717"/>
      <c r="AF220" s="753"/>
    </row>
    <row r="221" spans="1:32">
      <c r="A221" s="677">
        <v>207</v>
      </c>
      <c r="B221" s="379"/>
      <c r="C221" s="589" t="s">
        <v>472</v>
      </c>
      <c r="D221" s="379" t="s">
        <v>1904</v>
      </c>
      <c r="E221" s="590" t="s">
        <v>1905</v>
      </c>
      <c r="F221" s="676">
        <v>0</v>
      </c>
      <c r="G221" s="676">
        <v>0</v>
      </c>
      <c r="H221" s="676">
        <v>0</v>
      </c>
      <c r="I221" s="676">
        <v>0</v>
      </c>
      <c r="J221" s="676">
        <v>0</v>
      </c>
      <c r="K221" s="676">
        <v>5180.2</v>
      </c>
      <c r="L221" s="676">
        <v>141838</v>
      </c>
      <c r="M221" s="676">
        <v>151441.49</v>
      </c>
      <c r="N221" s="676">
        <v>152866.64000000001</v>
      </c>
      <c r="O221" s="676">
        <v>152438.44</v>
      </c>
      <c r="P221" s="676">
        <v>152010.23999999999</v>
      </c>
      <c r="Q221" s="676">
        <v>151582.04</v>
      </c>
      <c r="R221" s="676">
        <v>151153.84</v>
      </c>
      <c r="S221" s="551">
        <f t="shared" si="57"/>
        <v>81911.164166666669</v>
      </c>
      <c r="T221" s="677"/>
      <c r="U221" s="716"/>
      <c r="V221" s="755"/>
      <c r="W221" s="755">
        <f t="shared" si="59"/>
        <v>81911.164166666669</v>
      </c>
      <c r="X221" s="778"/>
      <c r="Y221" s="755"/>
      <c r="Z221" s="755"/>
      <c r="AA221" s="716"/>
      <c r="AB221" s="755"/>
      <c r="AC221" s="718">
        <f t="shared" si="60"/>
        <v>81911.164166666669</v>
      </c>
      <c r="AD221" s="717"/>
      <c r="AE221" s="717"/>
      <c r="AF221" s="753"/>
    </row>
    <row r="222" spans="1:32">
      <c r="A222" s="677">
        <v>208</v>
      </c>
      <c r="B222" s="379"/>
      <c r="C222" s="589" t="s">
        <v>472</v>
      </c>
      <c r="D222" s="379" t="s">
        <v>729</v>
      </c>
      <c r="E222" s="590" t="s">
        <v>730</v>
      </c>
      <c r="F222" s="676">
        <v>-1525788.02</v>
      </c>
      <c r="G222" s="676">
        <v>0</v>
      </c>
      <c r="H222" s="676">
        <v>0</v>
      </c>
      <c r="I222" s="676">
        <v>0</v>
      </c>
      <c r="J222" s="676">
        <v>0</v>
      </c>
      <c r="K222" s="676">
        <v>0</v>
      </c>
      <c r="L222" s="676">
        <v>0</v>
      </c>
      <c r="M222" s="676">
        <v>0</v>
      </c>
      <c r="N222" s="676">
        <v>0</v>
      </c>
      <c r="O222" s="676">
        <v>0</v>
      </c>
      <c r="P222" s="676">
        <v>0</v>
      </c>
      <c r="Q222" s="676">
        <v>0</v>
      </c>
      <c r="R222" s="676">
        <v>0</v>
      </c>
      <c r="S222" s="551">
        <f t="shared" si="57"/>
        <v>-63574.500833333332</v>
      </c>
      <c r="T222" s="677"/>
      <c r="U222" s="716"/>
      <c r="V222" s="755">
        <f>+S222</f>
        <v>-63574.500833333332</v>
      </c>
      <c r="W222" s="755"/>
      <c r="X222" s="778"/>
      <c r="Y222" s="755"/>
      <c r="Z222" s="755"/>
      <c r="AA222" s="716"/>
      <c r="AB222" s="755"/>
      <c r="AC222" s="718"/>
      <c r="AD222" s="718">
        <f>+S222</f>
        <v>-63574.500833333332</v>
      </c>
      <c r="AE222" s="717"/>
      <c r="AF222" s="753"/>
    </row>
    <row r="223" spans="1:32">
      <c r="A223" s="677">
        <v>209</v>
      </c>
      <c r="B223" s="379" t="s">
        <v>981</v>
      </c>
      <c r="C223" s="589" t="s">
        <v>472</v>
      </c>
      <c r="D223" s="379" t="s">
        <v>382</v>
      </c>
      <c r="E223" s="590" t="s">
        <v>730</v>
      </c>
      <c r="F223" s="366">
        <v>0</v>
      </c>
      <c r="G223" s="366">
        <v>-1515906.26</v>
      </c>
      <c r="H223" s="366">
        <v>-1505331.72</v>
      </c>
      <c r="I223" s="366">
        <v>-1495453.58</v>
      </c>
      <c r="J223" s="366">
        <v>-1485575.44</v>
      </c>
      <c r="K223" s="366">
        <v>-1485511.11</v>
      </c>
      <c r="L223" s="366">
        <v>-1816372.27</v>
      </c>
      <c r="M223" s="366">
        <v>-1829467.33</v>
      </c>
      <c r="N223" s="366">
        <v>-1821810</v>
      </c>
      <c r="O223" s="366">
        <v>-1809880.74</v>
      </c>
      <c r="P223" s="366">
        <v>-1797951.48</v>
      </c>
      <c r="Q223" s="366">
        <v>-1785197.07</v>
      </c>
      <c r="R223" s="366">
        <v>-1773272.34</v>
      </c>
      <c r="S223" s="552">
        <f t="shared" si="57"/>
        <v>-1602924.4308333334</v>
      </c>
      <c r="T223" s="677"/>
      <c r="U223" s="716"/>
      <c r="V223" s="755">
        <f>+S223</f>
        <v>-1602924.4308333334</v>
      </c>
      <c r="X223" s="778"/>
      <c r="Y223" s="755"/>
      <c r="Z223" s="755"/>
      <c r="AA223" s="716"/>
      <c r="AB223" s="755"/>
      <c r="AC223" s="718"/>
      <c r="AD223" s="718">
        <f>+S223</f>
        <v>-1602924.4308333334</v>
      </c>
      <c r="AE223" s="717"/>
      <c r="AF223" s="753" t="e">
        <f>+U223+#REF!-AD223</f>
        <v>#REF!</v>
      </c>
    </row>
    <row r="224" spans="1:32">
      <c r="A224" s="677">
        <v>210</v>
      </c>
      <c r="B224" s="677"/>
      <c r="C224" s="677"/>
      <c r="D224" s="677"/>
      <c r="E224" s="672" t="s">
        <v>492</v>
      </c>
      <c r="F224" s="676">
        <f>SUM(F207:F223)</f>
        <v>98736.310000000289</v>
      </c>
      <c r="G224" s="676">
        <f t="shared" ref="G224:R224" si="61">SUM(G207:G223)</f>
        <v>92153.879999999888</v>
      </c>
      <c r="H224" s="676">
        <f t="shared" si="61"/>
        <v>85571.450000000186</v>
      </c>
      <c r="I224" s="676">
        <f t="shared" si="61"/>
        <v>78989.020000000251</v>
      </c>
      <c r="J224" s="676">
        <f t="shared" si="61"/>
        <v>72406.590000000084</v>
      </c>
      <c r="K224" s="676">
        <f t="shared" si="61"/>
        <v>65824.159999999916</v>
      </c>
      <c r="L224" s="676">
        <f t="shared" si="61"/>
        <v>314578.19999999972</v>
      </c>
      <c r="M224" s="676">
        <f t="shared" si="61"/>
        <v>318917.87000000011</v>
      </c>
      <c r="N224" s="676">
        <f t="shared" si="61"/>
        <v>375952.23999999976</v>
      </c>
      <c r="O224" s="676">
        <f t="shared" si="61"/>
        <v>369356.59000000008</v>
      </c>
      <c r="P224" s="676">
        <f t="shared" si="61"/>
        <v>362760.93999999994</v>
      </c>
      <c r="Q224" s="676">
        <f t="shared" si="61"/>
        <v>356165.28999999934</v>
      </c>
      <c r="R224" s="676">
        <f t="shared" si="61"/>
        <v>349569.6399999999</v>
      </c>
      <c r="S224" s="551">
        <f>SUM(S207:S223)</f>
        <v>226402.43375000008</v>
      </c>
      <c r="T224" s="677"/>
      <c r="U224" s="716"/>
      <c r="V224" s="755"/>
      <c r="W224" s="755"/>
      <c r="X224" s="778"/>
      <c r="Y224" s="755"/>
      <c r="Z224" s="755"/>
      <c r="AA224" s="716"/>
      <c r="AB224" s="755"/>
      <c r="AC224" s="717"/>
      <c r="AD224" s="717"/>
      <c r="AE224" s="717"/>
      <c r="AF224" s="753">
        <f t="shared" si="39"/>
        <v>0</v>
      </c>
    </row>
    <row r="225" spans="1:32">
      <c r="A225" s="677">
        <v>211</v>
      </c>
      <c r="B225" s="677"/>
      <c r="C225" s="677"/>
      <c r="D225" s="677"/>
      <c r="E225" s="673"/>
      <c r="F225" s="676"/>
      <c r="G225" s="377"/>
      <c r="H225" s="368"/>
      <c r="I225" s="368"/>
      <c r="J225" s="369"/>
      <c r="K225" s="370"/>
      <c r="L225" s="371"/>
      <c r="M225" s="372"/>
      <c r="N225" s="373"/>
      <c r="O225" s="663"/>
      <c r="P225" s="374"/>
      <c r="Q225" s="378"/>
      <c r="R225" s="676"/>
      <c r="S225" s="357"/>
      <c r="T225" s="677"/>
      <c r="U225" s="716"/>
      <c r="V225" s="755"/>
      <c r="W225" s="755"/>
      <c r="X225" s="778"/>
      <c r="Y225" s="755"/>
      <c r="Z225" s="755"/>
      <c r="AA225" s="716"/>
      <c r="AB225" s="755"/>
      <c r="AC225" s="717"/>
      <c r="AD225" s="717"/>
      <c r="AE225" s="717"/>
      <c r="AF225" s="753">
        <f t="shared" ref="AF225:AF300" si="62">+U225+V225-AD225</f>
        <v>0</v>
      </c>
    </row>
    <row r="226" spans="1:32">
      <c r="A226" s="677">
        <v>212</v>
      </c>
      <c r="B226" s="379" t="s">
        <v>981</v>
      </c>
      <c r="C226" s="379" t="s">
        <v>493</v>
      </c>
      <c r="D226" s="379" t="s">
        <v>495</v>
      </c>
      <c r="E226" s="675" t="s">
        <v>496</v>
      </c>
      <c r="F226" s="676">
        <v>744300.47</v>
      </c>
      <c r="G226" s="676">
        <v>740886.25</v>
      </c>
      <c r="H226" s="676">
        <v>737472.03</v>
      </c>
      <c r="I226" s="676">
        <v>734057.81</v>
      </c>
      <c r="J226" s="676">
        <v>730643.59</v>
      </c>
      <c r="K226" s="676">
        <v>727229.37</v>
      </c>
      <c r="L226" s="676">
        <v>723815.15</v>
      </c>
      <c r="M226" s="676">
        <v>720400.93</v>
      </c>
      <c r="N226" s="676">
        <v>716986.71</v>
      </c>
      <c r="O226" s="676">
        <v>713572.49</v>
      </c>
      <c r="P226" s="676">
        <v>710158.27</v>
      </c>
      <c r="Q226" s="676">
        <v>706744.05</v>
      </c>
      <c r="R226" s="676">
        <v>703329.83</v>
      </c>
      <c r="S226" s="551">
        <f>((F226+R226)+((G226+H226+I226+J226+K226+L226+M226+N226+O226+P226+Q226)*2))/24</f>
        <v>723815.14999999991</v>
      </c>
      <c r="T226" s="677"/>
      <c r="U226" s="716"/>
      <c r="V226" s="755"/>
      <c r="W226" s="755">
        <f t="shared" ref="W226" si="63">+S226</f>
        <v>723815.14999999991</v>
      </c>
      <c r="X226" s="778"/>
      <c r="Y226" s="755"/>
      <c r="Z226" s="755"/>
      <c r="AA226" s="716"/>
      <c r="AB226" s="755"/>
      <c r="AC226" s="718">
        <f>+S226</f>
        <v>723815.14999999991</v>
      </c>
      <c r="AD226" s="717"/>
      <c r="AE226" s="717"/>
      <c r="AF226" s="753">
        <f t="shared" si="62"/>
        <v>0</v>
      </c>
    </row>
    <row r="227" spans="1:32">
      <c r="A227" s="677">
        <v>213</v>
      </c>
      <c r="B227" s="677"/>
      <c r="C227" s="677"/>
      <c r="D227" s="677"/>
      <c r="E227" s="675" t="s">
        <v>492</v>
      </c>
      <c r="F227" s="358">
        <f t="shared" ref="F227:S227" si="64">SUM(F226:F226)</f>
        <v>744300.47</v>
      </c>
      <c r="G227" s="358">
        <f t="shared" si="64"/>
        <v>740886.25</v>
      </c>
      <c r="H227" s="358">
        <f t="shared" si="64"/>
        <v>737472.03</v>
      </c>
      <c r="I227" s="358">
        <f t="shared" si="64"/>
        <v>734057.81</v>
      </c>
      <c r="J227" s="358">
        <f t="shared" si="64"/>
        <v>730643.59</v>
      </c>
      <c r="K227" s="358">
        <f t="shared" si="64"/>
        <v>727229.37</v>
      </c>
      <c r="L227" s="358">
        <f t="shared" si="64"/>
        <v>723815.15</v>
      </c>
      <c r="M227" s="358">
        <f t="shared" si="64"/>
        <v>720400.93</v>
      </c>
      <c r="N227" s="358">
        <f t="shared" si="64"/>
        <v>716986.71</v>
      </c>
      <c r="O227" s="358">
        <f t="shared" si="64"/>
        <v>713572.49</v>
      </c>
      <c r="P227" s="358">
        <f t="shared" si="64"/>
        <v>710158.27</v>
      </c>
      <c r="Q227" s="358">
        <f t="shared" si="64"/>
        <v>706744.05</v>
      </c>
      <c r="R227" s="358">
        <f t="shared" si="64"/>
        <v>703329.83</v>
      </c>
      <c r="S227" s="553">
        <f t="shared" si="64"/>
        <v>723815.14999999991</v>
      </c>
      <c r="T227" s="677"/>
      <c r="U227" s="716"/>
      <c r="V227" s="755"/>
      <c r="W227" s="755"/>
      <c r="X227" s="778"/>
      <c r="Y227" s="755"/>
      <c r="Z227" s="755"/>
      <c r="AA227" s="716"/>
      <c r="AB227" s="755"/>
      <c r="AC227" s="717"/>
      <c r="AD227" s="717"/>
      <c r="AE227" s="717"/>
      <c r="AF227" s="753">
        <f t="shared" si="62"/>
        <v>0</v>
      </c>
    </row>
    <row r="228" spans="1:32">
      <c r="A228" s="677">
        <v>214</v>
      </c>
      <c r="B228" s="677"/>
      <c r="C228" s="677"/>
      <c r="D228" s="677"/>
      <c r="E228" s="662"/>
      <c r="F228" s="676"/>
      <c r="G228" s="377"/>
      <c r="H228" s="368"/>
      <c r="I228" s="368"/>
      <c r="J228" s="369"/>
      <c r="K228" s="370"/>
      <c r="L228" s="371"/>
      <c r="M228" s="372"/>
      <c r="N228" s="373"/>
      <c r="O228" s="663"/>
      <c r="P228" s="374"/>
      <c r="Q228" s="378"/>
      <c r="R228" s="676"/>
      <c r="S228" s="357"/>
      <c r="T228" s="677"/>
      <c r="U228" s="716"/>
      <c r="V228" s="755"/>
      <c r="W228" s="755"/>
      <c r="X228" s="778"/>
      <c r="Y228" s="755"/>
      <c r="Z228" s="755"/>
      <c r="AA228" s="716"/>
      <c r="AB228" s="755"/>
      <c r="AC228" s="717"/>
      <c r="AD228" s="717"/>
      <c r="AE228" s="717"/>
      <c r="AF228" s="753">
        <f t="shared" si="62"/>
        <v>0</v>
      </c>
    </row>
    <row r="229" spans="1:32">
      <c r="A229" s="677">
        <v>215</v>
      </c>
      <c r="B229" s="379" t="s">
        <v>981</v>
      </c>
      <c r="C229" s="379" t="s">
        <v>462</v>
      </c>
      <c r="D229" s="379" t="s">
        <v>450</v>
      </c>
      <c r="E229" s="675" t="s">
        <v>497</v>
      </c>
      <c r="F229" s="676">
        <v>0</v>
      </c>
      <c r="G229" s="676">
        <v>0</v>
      </c>
      <c r="H229" s="676">
        <v>0</v>
      </c>
      <c r="I229" s="676">
        <v>0</v>
      </c>
      <c r="J229" s="676">
        <v>0</v>
      </c>
      <c r="K229" s="676">
        <v>0</v>
      </c>
      <c r="L229" s="676">
        <v>0</v>
      </c>
      <c r="M229" s="676">
        <v>0</v>
      </c>
      <c r="N229" s="676">
        <v>0</v>
      </c>
      <c r="O229" s="676">
        <v>0</v>
      </c>
      <c r="P229" s="676">
        <v>11897</v>
      </c>
      <c r="Q229" s="676">
        <v>0</v>
      </c>
      <c r="R229" s="676">
        <v>0</v>
      </c>
      <c r="S229" s="551">
        <f t="shared" ref="S229:S292" si="65">((F229+R229)+((G229+H229+I229+J229+K229+L229+M229+N229+O229+P229+Q229)*2))/24</f>
        <v>991.41666666666663</v>
      </c>
      <c r="T229" s="677"/>
      <c r="U229" s="716">
        <f t="shared" ref="U229:U266" si="66">+S229</f>
        <v>991.41666666666663</v>
      </c>
      <c r="V229" s="755"/>
      <c r="W229" s="755"/>
      <c r="X229" s="778"/>
      <c r="Y229" s="755"/>
      <c r="Z229" s="755"/>
      <c r="AA229" s="716"/>
      <c r="AB229" s="755"/>
      <c r="AC229" s="717"/>
      <c r="AD229" s="718">
        <f t="shared" ref="AD229:AD263" si="67">+U229</f>
        <v>991.41666666666663</v>
      </c>
      <c r="AE229" s="717"/>
      <c r="AF229" s="753">
        <f t="shared" si="62"/>
        <v>0</v>
      </c>
    </row>
    <row r="230" spans="1:32">
      <c r="A230" s="677">
        <v>216</v>
      </c>
      <c r="B230" s="379" t="s">
        <v>981</v>
      </c>
      <c r="C230" s="379" t="s">
        <v>1426</v>
      </c>
      <c r="D230" s="379" t="s">
        <v>382</v>
      </c>
      <c r="E230" s="675" t="s">
        <v>1431</v>
      </c>
      <c r="F230" s="676">
        <v>0</v>
      </c>
      <c r="G230" s="676">
        <v>0</v>
      </c>
      <c r="H230" s="676">
        <v>0</v>
      </c>
      <c r="I230" s="676">
        <v>0</v>
      </c>
      <c r="J230" s="676">
        <v>0</v>
      </c>
      <c r="K230" s="676">
        <v>0</v>
      </c>
      <c r="L230" s="676">
        <v>0</v>
      </c>
      <c r="M230" s="676">
        <v>0</v>
      </c>
      <c r="N230" s="676">
        <v>268.73</v>
      </c>
      <c r="O230" s="676">
        <v>161.13999999999999</v>
      </c>
      <c r="P230" s="676">
        <v>489.97</v>
      </c>
      <c r="Q230" s="676">
        <v>36026.769999999997</v>
      </c>
      <c r="R230" s="676">
        <v>108101.06</v>
      </c>
      <c r="S230" s="551">
        <f t="shared" si="65"/>
        <v>7583.0949999999984</v>
      </c>
      <c r="T230" s="677"/>
      <c r="U230" s="716">
        <f>+S230</f>
        <v>7583.0949999999984</v>
      </c>
      <c r="V230" s="755"/>
      <c r="W230" s="755"/>
      <c r="X230" s="778"/>
      <c r="Y230" s="755"/>
      <c r="Z230" s="755"/>
      <c r="AA230" s="716"/>
      <c r="AB230" s="755"/>
      <c r="AC230" s="717"/>
      <c r="AD230" s="718">
        <f>+S230</f>
        <v>7583.0949999999984</v>
      </c>
      <c r="AE230" s="717"/>
      <c r="AF230" s="753"/>
    </row>
    <row r="231" spans="1:32">
      <c r="A231" s="677">
        <v>217</v>
      </c>
      <c r="B231" s="379" t="s">
        <v>1885</v>
      </c>
      <c r="C231" s="379" t="s">
        <v>498</v>
      </c>
      <c r="D231" s="379" t="s">
        <v>382</v>
      </c>
      <c r="E231" s="675" t="s">
        <v>1906</v>
      </c>
      <c r="F231" s="676">
        <v>0</v>
      </c>
      <c r="G231" s="676">
        <v>-6471445.4199999999</v>
      </c>
      <c r="H231" s="676">
        <v>-5663151</v>
      </c>
      <c r="I231" s="676">
        <v>-5418595.4500000002</v>
      </c>
      <c r="J231" s="676">
        <v>-5607880.4199999999</v>
      </c>
      <c r="K231" s="676">
        <v>-5846699.3799999999</v>
      </c>
      <c r="L231" s="676">
        <v>-6398845.7599999998</v>
      </c>
      <c r="M231" s="676">
        <v>-6874331.6200000001</v>
      </c>
      <c r="N231" s="676">
        <v>-7305346.4400000004</v>
      </c>
      <c r="O231" s="676">
        <v>-7626647.4199999999</v>
      </c>
      <c r="P231" s="676">
        <v>-7628693.4400000004</v>
      </c>
      <c r="Q231" s="676">
        <v>-7119703.0800000001</v>
      </c>
      <c r="R231" s="676">
        <v>-6805449.96</v>
      </c>
      <c r="S231" s="551">
        <f t="shared" si="65"/>
        <v>-6280338.7008333327</v>
      </c>
      <c r="T231" s="677"/>
      <c r="U231" s="716">
        <f>+S231</f>
        <v>-6280338.7008333327</v>
      </c>
      <c r="V231" s="755"/>
      <c r="W231" s="755"/>
      <c r="X231" s="778"/>
      <c r="Y231" s="755"/>
      <c r="Z231" s="755"/>
      <c r="AA231" s="716"/>
      <c r="AB231" s="755"/>
      <c r="AC231" s="717"/>
      <c r="AD231" s="718">
        <f>+S231</f>
        <v>-6280338.7008333327</v>
      </c>
      <c r="AE231" s="717"/>
      <c r="AF231" s="753"/>
    </row>
    <row r="232" spans="1:32">
      <c r="A232" s="677">
        <v>218</v>
      </c>
      <c r="B232" s="379" t="s">
        <v>1009</v>
      </c>
      <c r="C232" s="379" t="s">
        <v>498</v>
      </c>
      <c r="D232" s="379" t="s">
        <v>1167</v>
      </c>
      <c r="E232" s="675" t="s">
        <v>1581</v>
      </c>
      <c r="F232" s="676">
        <v>0</v>
      </c>
      <c r="G232" s="676">
        <v>0</v>
      </c>
      <c r="H232" s="676">
        <v>0</v>
      </c>
      <c r="I232" s="676">
        <v>0</v>
      </c>
      <c r="J232" s="676">
        <v>0</v>
      </c>
      <c r="K232" s="676">
        <v>0</v>
      </c>
      <c r="L232" s="676">
        <v>0</v>
      </c>
      <c r="M232" s="676">
        <v>0</v>
      </c>
      <c r="N232" s="676">
        <v>0</v>
      </c>
      <c r="O232" s="676">
        <v>0</v>
      </c>
      <c r="P232" s="676">
        <v>0</v>
      </c>
      <c r="Q232" s="676">
        <v>0</v>
      </c>
      <c r="R232" s="676">
        <v>0</v>
      </c>
      <c r="S232" s="551">
        <f t="shared" si="65"/>
        <v>0</v>
      </c>
      <c r="T232" s="677"/>
      <c r="U232" s="716">
        <f t="shared" si="66"/>
        <v>0</v>
      </c>
      <c r="V232" s="755"/>
      <c r="W232" s="755"/>
      <c r="X232" s="778"/>
      <c r="Y232" s="755"/>
      <c r="Z232" s="755"/>
      <c r="AA232" s="716"/>
      <c r="AB232" s="755"/>
      <c r="AC232" s="717"/>
      <c r="AD232" s="718">
        <f t="shared" si="67"/>
        <v>0</v>
      </c>
      <c r="AE232" s="717"/>
      <c r="AF232" s="753">
        <f t="shared" si="62"/>
        <v>0</v>
      </c>
    </row>
    <row r="233" spans="1:32">
      <c r="A233" s="677">
        <v>219</v>
      </c>
      <c r="B233" s="379" t="s">
        <v>984</v>
      </c>
      <c r="C233" s="379" t="s">
        <v>498</v>
      </c>
      <c r="D233" s="379" t="s">
        <v>1168</v>
      </c>
      <c r="E233" s="675" t="s">
        <v>1169</v>
      </c>
      <c r="F233" s="676">
        <v>47614629.100000001</v>
      </c>
      <c r="G233" s="676">
        <v>47614629.100000001</v>
      </c>
      <c r="H233" s="676">
        <v>47614629.100000001</v>
      </c>
      <c r="I233" s="676">
        <v>47614629.100000001</v>
      </c>
      <c r="J233" s="676">
        <v>47614629.100000001</v>
      </c>
      <c r="K233" s="676">
        <v>41832342</v>
      </c>
      <c r="L233" s="676">
        <v>41832342</v>
      </c>
      <c r="M233" s="676">
        <v>41832342</v>
      </c>
      <c r="N233" s="676">
        <v>41832342</v>
      </c>
      <c r="O233" s="676">
        <v>41832342</v>
      </c>
      <c r="P233" s="676">
        <v>41832342</v>
      </c>
      <c r="Q233" s="676">
        <v>41832342</v>
      </c>
      <c r="R233" s="676">
        <v>38966901</v>
      </c>
      <c r="S233" s="551">
        <f t="shared" si="65"/>
        <v>43881306.287500001</v>
      </c>
      <c r="T233" s="677"/>
      <c r="U233" s="716">
        <f t="shared" si="66"/>
        <v>43881306.287500001</v>
      </c>
      <c r="V233" s="755"/>
      <c r="W233" s="755"/>
      <c r="X233" s="778"/>
      <c r="Y233" s="755"/>
      <c r="Z233" s="755"/>
      <c r="AA233" s="716"/>
      <c r="AB233" s="755"/>
      <c r="AC233" s="717"/>
      <c r="AD233" s="718">
        <f t="shared" si="67"/>
        <v>43881306.287500001</v>
      </c>
      <c r="AE233" s="717"/>
      <c r="AF233" s="753">
        <f t="shared" si="62"/>
        <v>0</v>
      </c>
    </row>
    <row r="234" spans="1:32">
      <c r="A234" s="677">
        <v>220</v>
      </c>
      <c r="B234" s="379" t="s">
        <v>984</v>
      </c>
      <c r="C234" s="379" t="s">
        <v>498</v>
      </c>
      <c r="D234" s="379" t="s">
        <v>1170</v>
      </c>
      <c r="E234" s="675" t="s">
        <v>1430</v>
      </c>
      <c r="F234" s="676">
        <v>974030</v>
      </c>
      <c r="G234" s="676">
        <v>974030</v>
      </c>
      <c r="H234" s="676">
        <v>974030</v>
      </c>
      <c r="I234" s="676">
        <v>974030</v>
      </c>
      <c r="J234" s="676">
        <v>974030</v>
      </c>
      <c r="K234" s="676">
        <v>1088889</v>
      </c>
      <c r="L234" s="676">
        <v>1088889</v>
      </c>
      <c r="M234" s="676">
        <v>1088889</v>
      </c>
      <c r="N234" s="676">
        <v>1088889</v>
      </c>
      <c r="O234" s="676">
        <v>1088889</v>
      </c>
      <c r="P234" s="676">
        <v>1088889</v>
      </c>
      <c r="Q234" s="676">
        <v>1088889</v>
      </c>
      <c r="R234" s="676">
        <v>1045610</v>
      </c>
      <c r="S234" s="551">
        <f t="shared" si="65"/>
        <v>1044013.5833333334</v>
      </c>
      <c r="T234" s="677"/>
      <c r="U234" s="716">
        <f t="shared" si="66"/>
        <v>1044013.5833333334</v>
      </c>
      <c r="V234" s="755"/>
      <c r="W234" s="755"/>
      <c r="X234" s="778"/>
      <c r="Y234" s="755"/>
      <c r="Z234" s="755"/>
      <c r="AA234" s="716"/>
      <c r="AB234" s="755"/>
      <c r="AC234" s="717"/>
      <c r="AD234" s="718">
        <f t="shared" si="67"/>
        <v>1044013.5833333334</v>
      </c>
      <c r="AE234" s="717"/>
      <c r="AF234" s="753">
        <f t="shared" si="62"/>
        <v>0</v>
      </c>
    </row>
    <row r="235" spans="1:32">
      <c r="A235" s="677">
        <v>221</v>
      </c>
      <c r="B235" s="379" t="s">
        <v>1009</v>
      </c>
      <c r="C235" s="379" t="s">
        <v>498</v>
      </c>
      <c r="D235" s="379" t="s">
        <v>1420</v>
      </c>
      <c r="E235" s="675" t="s">
        <v>1582</v>
      </c>
      <c r="F235" s="676">
        <v>572922.88</v>
      </c>
      <c r="G235" s="676">
        <v>576467.22</v>
      </c>
      <c r="H235" s="676">
        <v>579688.36</v>
      </c>
      <c r="I235" s="676">
        <v>583274.55000000005</v>
      </c>
      <c r="J235" s="676">
        <v>-1.16415321826935E-10</v>
      </c>
      <c r="K235" s="676">
        <v>-1.16415321826935E-10</v>
      </c>
      <c r="L235" s="676">
        <v>-1.16415321826935E-10</v>
      </c>
      <c r="M235" s="676">
        <v>-1.16415321826935E-10</v>
      </c>
      <c r="N235" s="676">
        <v>-1.16415321826935E-10</v>
      </c>
      <c r="O235" s="676">
        <v>-1.16415321826935E-10</v>
      </c>
      <c r="P235" s="676">
        <v>-1.16415321826935E-10</v>
      </c>
      <c r="Q235" s="676">
        <v>-1.16415321826935E-10</v>
      </c>
      <c r="R235" s="676">
        <v>-1.16415321826935E-10</v>
      </c>
      <c r="S235" s="551">
        <f t="shared" si="65"/>
        <v>168824.29749999999</v>
      </c>
      <c r="T235" s="677"/>
      <c r="U235" s="716">
        <f t="shared" si="66"/>
        <v>168824.29749999999</v>
      </c>
      <c r="V235" s="755"/>
      <c r="W235" s="755"/>
      <c r="X235" s="778"/>
      <c r="Y235" s="755"/>
      <c r="Z235" s="755"/>
      <c r="AA235" s="716"/>
      <c r="AB235" s="755"/>
      <c r="AC235" s="717"/>
      <c r="AD235" s="718">
        <f t="shared" si="67"/>
        <v>168824.29749999999</v>
      </c>
      <c r="AE235" s="717"/>
      <c r="AF235" s="753">
        <f t="shared" si="62"/>
        <v>0</v>
      </c>
    </row>
    <row r="236" spans="1:32">
      <c r="A236" s="677">
        <v>222</v>
      </c>
      <c r="B236" s="379" t="s">
        <v>984</v>
      </c>
      <c r="C236" s="379" t="s">
        <v>498</v>
      </c>
      <c r="D236" s="589" t="s">
        <v>1421</v>
      </c>
      <c r="E236" s="675" t="s">
        <v>1583</v>
      </c>
      <c r="F236" s="676">
        <v>384645.37</v>
      </c>
      <c r="G236" s="676">
        <v>398905.59999999998</v>
      </c>
      <c r="H236" s="676">
        <v>463777.73</v>
      </c>
      <c r="I236" s="676">
        <v>482988.6</v>
      </c>
      <c r="J236" s="676">
        <v>634060.62</v>
      </c>
      <c r="K236" s="676">
        <v>663797.04</v>
      </c>
      <c r="L236" s="676">
        <v>811772.32</v>
      </c>
      <c r="M236" s="676">
        <v>1016915.43</v>
      </c>
      <c r="N236" s="676">
        <v>1039975.18</v>
      </c>
      <c r="O236" s="676">
        <v>1158662.44</v>
      </c>
      <c r="P236" s="676">
        <v>1330946.1000000001</v>
      </c>
      <c r="Q236" s="676">
        <v>308493.81</v>
      </c>
      <c r="R236" s="676">
        <v>373342.4</v>
      </c>
      <c r="S236" s="551">
        <f t="shared" si="65"/>
        <v>724107.39624999987</v>
      </c>
      <c r="T236" s="677"/>
      <c r="U236" s="716"/>
      <c r="V236" s="755"/>
      <c r="W236" s="755"/>
      <c r="X236" s="778">
        <f>+S236</f>
        <v>724107.39624999987</v>
      </c>
      <c r="Y236" s="755"/>
      <c r="Z236" s="755"/>
      <c r="AA236" s="716"/>
      <c r="AB236" s="755">
        <f>+X236</f>
        <v>724107.39624999987</v>
      </c>
      <c r="AC236" s="717"/>
      <c r="AD236" s="718">
        <f t="shared" si="67"/>
        <v>0</v>
      </c>
      <c r="AE236" s="717"/>
      <c r="AF236" s="753">
        <f t="shared" si="62"/>
        <v>0</v>
      </c>
    </row>
    <row r="237" spans="1:32">
      <c r="A237" s="677">
        <v>223</v>
      </c>
      <c r="B237" s="379" t="s">
        <v>984</v>
      </c>
      <c r="C237" s="379" t="s">
        <v>498</v>
      </c>
      <c r="D237" s="379" t="s">
        <v>1422</v>
      </c>
      <c r="E237" s="675" t="s">
        <v>1584</v>
      </c>
      <c r="F237" s="676">
        <v>99041.79</v>
      </c>
      <c r="G237" s="676">
        <v>112300.24</v>
      </c>
      <c r="H237" s="676">
        <v>134456.17000000001</v>
      </c>
      <c r="I237" s="676">
        <v>210911.94</v>
      </c>
      <c r="J237" s="676">
        <v>221856.71</v>
      </c>
      <c r="K237" s="676">
        <v>329775.45</v>
      </c>
      <c r="L237" s="676">
        <v>459112.21</v>
      </c>
      <c r="M237" s="676">
        <v>508145.7</v>
      </c>
      <c r="N237" s="676">
        <v>642776.54</v>
      </c>
      <c r="O237" s="676">
        <v>693067.49</v>
      </c>
      <c r="P237" s="676">
        <v>696257.88</v>
      </c>
      <c r="Q237" s="676">
        <v>181876.62</v>
      </c>
      <c r="R237" s="676">
        <v>466661.34</v>
      </c>
      <c r="S237" s="551">
        <f t="shared" si="65"/>
        <v>372782.37625000003</v>
      </c>
      <c r="T237" s="677"/>
      <c r="U237" s="716"/>
      <c r="V237" s="755"/>
      <c r="W237" s="755"/>
      <c r="X237" s="778">
        <f t="shared" ref="X237:X240" si="68">+S237</f>
        <v>372782.37625000003</v>
      </c>
      <c r="Y237" s="755"/>
      <c r="Z237" s="755"/>
      <c r="AA237" s="716"/>
      <c r="AB237" s="755">
        <f t="shared" ref="AB237:AB240" si="69">+X237</f>
        <v>372782.37625000003</v>
      </c>
      <c r="AC237" s="717"/>
      <c r="AD237" s="718">
        <f t="shared" si="67"/>
        <v>0</v>
      </c>
      <c r="AE237" s="717"/>
      <c r="AF237" s="753">
        <f t="shared" si="62"/>
        <v>0</v>
      </c>
    </row>
    <row r="238" spans="1:32">
      <c r="A238" s="677">
        <v>224</v>
      </c>
      <c r="B238" s="379" t="s">
        <v>984</v>
      </c>
      <c r="C238" s="379" t="s">
        <v>498</v>
      </c>
      <c r="D238" s="379" t="s">
        <v>1423</v>
      </c>
      <c r="E238" s="675" t="s">
        <v>1585</v>
      </c>
      <c r="F238" s="676">
        <v>951817.28999999899</v>
      </c>
      <c r="G238" s="676">
        <v>1077157.79</v>
      </c>
      <c r="H238" s="676">
        <v>1145627.6499999999</v>
      </c>
      <c r="I238" s="676">
        <v>1494681.19</v>
      </c>
      <c r="J238" s="676">
        <v>1643073.24</v>
      </c>
      <c r="K238" s="676">
        <v>1814291.2</v>
      </c>
      <c r="L238" s="676">
        <v>2092603.55</v>
      </c>
      <c r="M238" s="676">
        <v>2322449.9300000002</v>
      </c>
      <c r="N238" s="676">
        <v>2565013.1800000002</v>
      </c>
      <c r="O238" s="676">
        <v>2777890.12</v>
      </c>
      <c r="P238" s="676">
        <v>3022671.22</v>
      </c>
      <c r="Q238" s="676">
        <v>771831.92</v>
      </c>
      <c r="R238" s="676">
        <v>845715.52</v>
      </c>
      <c r="S238" s="551">
        <f t="shared" si="65"/>
        <v>1802171.4495833337</v>
      </c>
      <c r="T238" s="677"/>
      <c r="U238" s="716"/>
      <c r="V238" s="755"/>
      <c r="W238" s="755"/>
      <c r="X238" s="778">
        <f t="shared" si="68"/>
        <v>1802171.4495833337</v>
      </c>
      <c r="Y238" s="755"/>
      <c r="Z238" s="755"/>
      <c r="AA238" s="716"/>
      <c r="AB238" s="755">
        <f t="shared" si="69"/>
        <v>1802171.4495833337</v>
      </c>
      <c r="AC238" s="717"/>
      <c r="AD238" s="718">
        <f t="shared" si="67"/>
        <v>0</v>
      </c>
      <c r="AE238" s="717"/>
      <c r="AF238" s="753">
        <f t="shared" si="62"/>
        <v>0</v>
      </c>
    </row>
    <row r="239" spans="1:32">
      <c r="A239" s="677">
        <v>225</v>
      </c>
      <c r="B239" s="379" t="s">
        <v>984</v>
      </c>
      <c r="C239" s="379" t="s">
        <v>498</v>
      </c>
      <c r="D239" s="379" t="s">
        <v>1424</v>
      </c>
      <c r="E239" s="675" t="s">
        <v>1586</v>
      </c>
      <c r="F239" s="676">
        <v>1070638.9099999999</v>
      </c>
      <c r="G239" s="676">
        <v>1310660.6299999999</v>
      </c>
      <c r="H239" s="676">
        <v>1504518.3</v>
      </c>
      <c r="I239" s="676">
        <v>1654035.36</v>
      </c>
      <c r="J239" s="676">
        <v>1921879.42</v>
      </c>
      <c r="K239" s="676">
        <v>2116697.35</v>
      </c>
      <c r="L239" s="676">
        <v>2299189.14</v>
      </c>
      <c r="M239" s="676">
        <v>2487571.69</v>
      </c>
      <c r="N239" s="676">
        <v>2649592.5699999998</v>
      </c>
      <c r="O239" s="676">
        <v>2853663.91</v>
      </c>
      <c r="P239" s="676">
        <v>3048675.85</v>
      </c>
      <c r="Q239" s="676">
        <v>688050.37999999896</v>
      </c>
      <c r="R239" s="676">
        <v>881590.07999999903</v>
      </c>
      <c r="S239" s="551">
        <f t="shared" si="65"/>
        <v>1959220.7579166668</v>
      </c>
      <c r="T239" s="677"/>
      <c r="U239" s="716"/>
      <c r="V239" s="755"/>
      <c r="W239" s="755"/>
      <c r="X239" s="778">
        <f t="shared" si="68"/>
        <v>1959220.7579166668</v>
      </c>
      <c r="Y239" s="755"/>
      <c r="Z239" s="755"/>
      <c r="AA239" s="716"/>
      <c r="AB239" s="755">
        <f t="shared" si="69"/>
        <v>1959220.7579166668</v>
      </c>
      <c r="AC239" s="717"/>
      <c r="AD239" s="718">
        <f t="shared" si="67"/>
        <v>0</v>
      </c>
      <c r="AE239" s="717"/>
      <c r="AF239" s="753">
        <f t="shared" si="62"/>
        <v>0</v>
      </c>
    </row>
    <row r="240" spans="1:32">
      <c r="A240" s="677">
        <v>226</v>
      </c>
      <c r="B240" s="379" t="s">
        <v>984</v>
      </c>
      <c r="C240" s="379" t="s">
        <v>498</v>
      </c>
      <c r="D240" s="379" t="s">
        <v>1425</v>
      </c>
      <c r="E240" s="675" t="s">
        <v>1587</v>
      </c>
      <c r="F240" s="676">
        <v>4501119.47</v>
      </c>
      <c r="G240" s="676">
        <v>3572421.16</v>
      </c>
      <c r="H240" s="676">
        <v>2414771.15</v>
      </c>
      <c r="I240" s="676">
        <v>1575978.36</v>
      </c>
      <c r="J240" s="676">
        <v>1187010.43</v>
      </c>
      <c r="K240" s="676">
        <v>922138.33999999904</v>
      </c>
      <c r="L240" s="676">
        <v>736168.53999999899</v>
      </c>
      <c r="M240" s="676">
        <v>539248.86999999895</v>
      </c>
      <c r="N240" s="676">
        <v>407988.96999999898</v>
      </c>
      <c r="O240" s="676">
        <v>143363.459999999</v>
      </c>
      <c r="P240" s="676">
        <v>-469857.61000000098</v>
      </c>
      <c r="Q240" s="676">
        <v>5169450.3499999996</v>
      </c>
      <c r="R240" s="676">
        <v>4238140.62</v>
      </c>
      <c r="S240" s="551">
        <f t="shared" si="65"/>
        <v>1714026.0054166664</v>
      </c>
      <c r="T240" s="677"/>
      <c r="U240" s="716"/>
      <c r="V240" s="755"/>
      <c r="W240" s="755"/>
      <c r="X240" s="778">
        <f t="shared" si="68"/>
        <v>1714026.0054166664</v>
      </c>
      <c r="Y240" s="755"/>
      <c r="Z240" s="755"/>
      <c r="AA240" s="716"/>
      <c r="AB240" s="755">
        <f t="shared" si="69"/>
        <v>1714026.0054166664</v>
      </c>
      <c r="AC240" s="717"/>
      <c r="AD240" s="718">
        <f t="shared" si="67"/>
        <v>0</v>
      </c>
      <c r="AE240" s="717"/>
      <c r="AF240" s="753">
        <f t="shared" si="62"/>
        <v>0</v>
      </c>
    </row>
    <row r="241" spans="1:32">
      <c r="A241" s="677">
        <v>227</v>
      </c>
      <c r="B241" s="379" t="s">
        <v>984</v>
      </c>
      <c r="C241" s="379" t="s">
        <v>498</v>
      </c>
      <c r="D241" s="379" t="s">
        <v>1907</v>
      </c>
      <c r="E241" s="675" t="s">
        <v>1908</v>
      </c>
      <c r="F241" s="676">
        <v>0</v>
      </c>
      <c r="G241" s="676">
        <v>0</v>
      </c>
      <c r="H241" s="676">
        <v>0</v>
      </c>
      <c r="I241" s="676">
        <v>0</v>
      </c>
      <c r="J241" s="676">
        <v>0</v>
      </c>
      <c r="K241" s="676">
        <v>-114859</v>
      </c>
      <c r="L241" s="676">
        <v>-114859</v>
      </c>
      <c r="M241" s="676">
        <v>-114859</v>
      </c>
      <c r="N241" s="676">
        <v>-114859</v>
      </c>
      <c r="O241" s="676">
        <v>-114859</v>
      </c>
      <c r="P241" s="676">
        <v>-114859</v>
      </c>
      <c r="Q241" s="676">
        <v>-114859</v>
      </c>
      <c r="R241" s="676">
        <v>-197919</v>
      </c>
      <c r="S241" s="551">
        <f t="shared" si="65"/>
        <v>-75247.708333333328</v>
      </c>
      <c r="T241" s="677"/>
      <c r="U241" s="716">
        <f>+S241</f>
        <v>-75247.708333333328</v>
      </c>
      <c r="V241" s="755"/>
      <c r="W241" s="755"/>
      <c r="X241" s="778"/>
      <c r="Y241" s="755"/>
      <c r="Z241" s="755"/>
      <c r="AA241" s="716"/>
      <c r="AB241" s="755"/>
      <c r="AC241" s="717"/>
      <c r="AD241" s="718">
        <f>+S241</f>
        <v>-75247.708333333328</v>
      </c>
      <c r="AE241" s="717"/>
      <c r="AF241" s="753"/>
    </row>
    <row r="242" spans="1:32">
      <c r="A242" s="677">
        <v>228</v>
      </c>
      <c r="B242" s="379" t="s">
        <v>984</v>
      </c>
      <c r="C242" s="379" t="s">
        <v>498</v>
      </c>
      <c r="D242" s="379" t="s">
        <v>1909</v>
      </c>
      <c r="E242" s="675" t="s">
        <v>1910</v>
      </c>
      <c r="F242" s="676">
        <v>0</v>
      </c>
      <c r="G242" s="676">
        <v>0</v>
      </c>
      <c r="H242" s="676">
        <v>0</v>
      </c>
      <c r="I242" s="676">
        <v>0</v>
      </c>
      <c r="J242" s="676">
        <v>0</v>
      </c>
      <c r="K242" s="676">
        <v>5782287.0999999996</v>
      </c>
      <c r="L242" s="676">
        <v>5782287.0999999996</v>
      </c>
      <c r="M242" s="676">
        <v>5782287.0999999996</v>
      </c>
      <c r="N242" s="676">
        <v>5782287.0999999996</v>
      </c>
      <c r="O242" s="676">
        <v>5782287.0999999996</v>
      </c>
      <c r="P242" s="676">
        <v>5782287.0999999996</v>
      </c>
      <c r="Q242" s="676">
        <v>3075307.1</v>
      </c>
      <c r="R242" s="676">
        <v>1644093</v>
      </c>
      <c r="S242" s="551">
        <f t="shared" si="65"/>
        <v>3215923.0166666671</v>
      </c>
      <c r="T242" s="677"/>
      <c r="U242" s="716">
        <f>+S242</f>
        <v>3215923.0166666671</v>
      </c>
      <c r="V242" s="755"/>
      <c r="W242" s="755"/>
      <c r="X242" s="778"/>
      <c r="Y242" s="755"/>
      <c r="Z242" s="755"/>
      <c r="AA242" s="716"/>
      <c r="AB242" s="755"/>
      <c r="AC242" s="717"/>
      <c r="AD242" s="718">
        <f>+S242</f>
        <v>3215923.0166666671</v>
      </c>
      <c r="AE242" s="717"/>
      <c r="AF242" s="753"/>
    </row>
    <row r="243" spans="1:32">
      <c r="A243" s="677">
        <v>229</v>
      </c>
      <c r="B243" s="379" t="s">
        <v>981</v>
      </c>
      <c r="C243" s="379" t="s">
        <v>499</v>
      </c>
      <c r="D243" s="379" t="s">
        <v>1171</v>
      </c>
      <c r="E243" s="675" t="s">
        <v>1588</v>
      </c>
      <c r="F243" s="676">
        <v>2.91038304567337E-11</v>
      </c>
      <c r="G243" s="676">
        <v>139109.38</v>
      </c>
      <c r="H243" s="676">
        <v>155252.45000000001</v>
      </c>
      <c r="I243" s="676">
        <v>142839.38</v>
      </c>
      <c r="J243" s="676">
        <v>134737.65</v>
      </c>
      <c r="K243" s="676">
        <v>109902.87</v>
      </c>
      <c r="L243" s="676">
        <v>160900</v>
      </c>
      <c r="M243" s="676">
        <v>97344.49</v>
      </c>
      <c r="N243" s="676">
        <v>32966.9</v>
      </c>
      <c r="O243" s="676">
        <v>0</v>
      </c>
      <c r="P243" s="676">
        <v>0</v>
      </c>
      <c r="Q243" s="676">
        <v>0</v>
      </c>
      <c r="R243" s="676">
        <v>0</v>
      </c>
      <c r="S243" s="551">
        <f t="shared" si="65"/>
        <v>81087.759999999995</v>
      </c>
      <c r="T243" s="677"/>
      <c r="U243" s="716">
        <f t="shared" si="66"/>
        <v>81087.759999999995</v>
      </c>
      <c r="V243" s="755"/>
      <c r="W243" s="755"/>
      <c r="X243" s="778"/>
      <c r="Y243" s="755"/>
      <c r="Z243" s="755"/>
      <c r="AA243" s="716"/>
      <c r="AB243" s="755"/>
      <c r="AC243" s="717"/>
      <c r="AD243" s="718">
        <f t="shared" si="67"/>
        <v>81087.759999999995</v>
      </c>
      <c r="AE243" s="717"/>
      <c r="AF243" s="753">
        <f t="shared" si="62"/>
        <v>0</v>
      </c>
    </row>
    <row r="244" spans="1:32">
      <c r="A244" s="677">
        <v>230</v>
      </c>
      <c r="B244" s="379" t="s">
        <v>981</v>
      </c>
      <c r="C244" s="379" t="s">
        <v>499</v>
      </c>
      <c r="D244" s="589" t="s">
        <v>1172</v>
      </c>
      <c r="E244" s="675" t="s">
        <v>1589</v>
      </c>
      <c r="F244" s="676">
        <v>0</v>
      </c>
      <c r="G244" s="676">
        <v>0</v>
      </c>
      <c r="H244" s="676">
        <v>0</v>
      </c>
      <c r="I244" s="676">
        <v>0</v>
      </c>
      <c r="J244" s="676">
        <v>0</v>
      </c>
      <c r="K244" s="676">
        <v>0</v>
      </c>
      <c r="L244" s="676">
        <v>0</v>
      </c>
      <c r="M244" s="676">
        <v>0</v>
      </c>
      <c r="N244" s="676">
        <v>0</v>
      </c>
      <c r="O244" s="676">
        <v>0</v>
      </c>
      <c r="P244" s="676">
        <v>0</v>
      </c>
      <c r="Q244" s="676">
        <v>0</v>
      </c>
      <c r="R244" s="676">
        <v>0</v>
      </c>
      <c r="S244" s="551">
        <f t="shared" si="65"/>
        <v>0</v>
      </c>
      <c r="T244" s="677"/>
      <c r="U244" s="716">
        <f t="shared" si="66"/>
        <v>0</v>
      </c>
      <c r="V244" s="755"/>
      <c r="W244" s="755"/>
      <c r="X244" s="778"/>
      <c r="Y244" s="755"/>
      <c r="Z244" s="755"/>
      <c r="AA244" s="716"/>
      <c r="AB244" s="755"/>
      <c r="AC244" s="717"/>
      <c r="AD244" s="718">
        <f t="shared" si="67"/>
        <v>0</v>
      </c>
      <c r="AE244" s="717"/>
      <c r="AF244" s="753">
        <f t="shared" si="62"/>
        <v>0</v>
      </c>
    </row>
    <row r="245" spans="1:32">
      <c r="A245" s="677">
        <v>231</v>
      </c>
      <c r="B245" s="379" t="s">
        <v>981</v>
      </c>
      <c r="C245" s="379" t="s">
        <v>499</v>
      </c>
      <c r="D245" s="379" t="s">
        <v>1173</v>
      </c>
      <c r="E245" s="675" t="s">
        <v>1590</v>
      </c>
      <c r="F245" s="676">
        <v>0</v>
      </c>
      <c r="G245" s="676">
        <v>0</v>
      </c>
      <c r="H245" s="676">
        <v>0</v>
      </c>
      <c r="I245" s="676">
        <v>0</v>
      </c>
      <c r="J245" s="676">
        <v>0</v>
      </c>
      <c r="K245" s="676">
        <v>0</v>
      </c>
      <c r="L245" s="676">
        <v>0</v>
      </c>
      <c r="M245" s="676">
        <v>0</v>
      </c>
      <c r="N245" s="676">
        <v>0</v>
      </c>
      <c r="O245" s="676">
        <v>0</v>
      </c>
      <c r="P245" s="676">
        <v>0</v>
      </c>
      <c r="Q245" s="676">
        <v>0</v>
      </c>
      <c r="R245" s="676">
        <v>0</v>
      </c>
      <c r="S245" s="551">
        <f t="shared" si="65"/>
        <v>0</v>
      </c>
      <c r="T245" s="677"/>
      <c r="U245" s="716">
        <f t="shared" si="66"/>
        <v>0</v>
      </c>
      <c r="V245" s="755"/>
      <c r="W245" s="755"/>
      <c r="X245" s="778"/>
      <c r="Y245" s="755"/>
      <c r="Z245" s="755"/>
      <c r="AA245" s="716"/>
      <c r="AB245" s="755"/>
      <c r="AC245" s="717"/>
      <c r="AD245" s="718">
        <f t="shared" si="67"/>
        <v>0</v>
      </c>
      <c r="AE245" s="717"/>
      <c r="AF245" s="753">
        <f t="shared" si="62"/>
        <v>0</v>
      </c>
    </row>
    <row r="246" spans="1:32">
      <c r="A246" s="677">
        <v>232</v>
      </c>
      <c r="B246" s="379" t="s">
        <v>981</v>
      </c>
      <c r="C246" s="379" t="s">
        <v>499</v>
      </c>
      <c r="D246" s="379" t="s">
        <v>1174</v>
      </c>
      <c r="E246" s="675" t="s">
        <v>1591</v>
      </c>
      <c r="F246" s="676">
        <v>4.5474735088646402E-13</v>
      </c>
      <c r="G246" s="676">
        <v>-639.22</v>
      </c>
      <c r="H246" s="676">
        <v>854.74</v>
      </c>
      <c r="I246" s="676">
        <v>-2090.0500000000002</v>
      </c>
      <c r="J246" s="676">
        <v>-994.41</v>
      </c>
      <c r="K246" s="676">
        <v>-732.48</v>
      </c>
      <c r="L246" s="676">
        <v>1032.76</v>
      </c>
      <c r="M246" s="676">
        <v>690.6</v>
      </c>
      <c r="N246" s="676">
        <v>-2900.56</v>
      </c>
      <c r="O246" s="676">
        <v>0</v>
      </c>
      <c r="P246" s="676">
        <v>0</v>
      </c>
      <c r="Q246" s="676">
        <v>0</v>
      </c>
      <c r="R246" s="676">
        <v>0</v>
      </c>
      <c r="S246" s="551">
        <f t="shared" si="65"/>
        <v>-398.21833333333331</v>
      </c>
      <c r="T246" s="677"/>
      <c r="U246" s="716">
        <f t="shared" si="66"/>
        <v>-398.21833333333331</v>
      </c>
      <c r="V246" s="755"/>
      <c r="W246" s="755"/>
      <c r="X246" s="778"/>
      <c r="Y246" s="755"/>
      <c r="Z246" s="755"/>
      <c r="AA246" s="716"/>
      <c r="AB246" s="755"/>
      <c r="AC246" s="717"/>
      <c r="AD246" s="718">
        <f t="shared" si="67"/>
        <v>-398.21833333333331</v>
      </c>
      <c r="AE246" s="717"/>
      <c r="AF246" s="753">
        <f t="shared" si="62"/>
        <v>0</v>
      </c>
    </row>
    <row r="247" spans="1:32">
      <c r="A247" s="677">
        <v>233</v>
      </c>
      <c r="B247" s="379" t="s">
        <v>981</v>
      </c>
      <c r="C247" s="379" t="s">
        <v>499</v>
      </c>
      <c r="D247" s="379" t="s">
        <v>1175</v>
      </c>
      <c r="E247" s="675" t="s">
        <v>1592</v>
      </c>
      <c r="F247" s="676">
        <v>0</v>
      </c>
      <c r="G247" s="676">
        <v>0</v>
      </c>
      <c r="H247" s="676">
        <v>0</v>
      </c>
      <c r="I247" s="676">
        <v>0</v>
      </c>
      <c r="J247" s="676">
        <v>0</v>
      </c>
      <c r="K247" s="676">
        <v>0</v>
      </c>
      <c r="L247" s="676">
        <v>0</v>
      </c>
      <c r="M247" s="676">
        <v>0</v>
      </c>
      <c r="N247" s="676">
        <v>0</v>
      </c>
      <c r="O247" s="676">
        <v>0</v>
      </c>
      <c r="P247" s="676">
        <v>0</v>
      </c>
      <c r="Q247" s="676">
        <v>0</v>
      </c>
      <c r="R247" s="676">
        <v>0</v>
      </c>
      <c r="S247" s="551">
        <f t="shared" si="65"/>
        <v>0</v>
      </c>
      <c r="T247" s="677"/>
      <c r="U247" s="716">
        <f t="shared" si="66"/>
        <v>0</v>
      </c>
      <c r="V247" s="755"/>
      <c r="W247" s="755"/>
      <c r="X247" s="778"/>
      <c r="Y247" s="755"/>
      <c r="Z247" s="755"/>
      <c r="AA247" s="716"/>
      <c r="AB247" s="755"/>
      <c r="AC247" s="717"/>
      <c r="AD247" s="718">
        <f t="shared" si="67"/>
        <v>0</v>
      </c>
      <c r="AE247" s="717"/>
      <c r="AF247" s="753">
        <f t="shared" si="62"/>
        <v>0</v>
      </c>
    </row>
    <row r="248" spans="1:32">
      <c r="A248" s="677">
        <v>234</v>
      </c>
      <c r="B248" s="379" t="s">
        <v>981</v>
      </c>
      <c r="C248" s="379" t="s">
        <v>499</v>
      </c>
      <c r="D248" s="379" t="s">
        <v>1176</v>
      </c>
      <c r="E248" s="675" t="s">
        <v>1593</v>
      </c>
      <c r="F248" s="676">
        <v>0</v>
      </c>
      <c r="G248" s="676">
        <v>0</v>
      </c>
      <c r="H248" s="676">
        <v>0</v>
      </c>
      <c r="I248" s="676">
        <v>0</v>
      </c>
      <c r="J248" s="676">
        <v>0</v>
      </c>
      <c r="K248" s="676">
        <v>0</v>
      </c>
      <c r="L248" s="676">
        <v>0</v>
      </c>
      <c r="M248" s="676">
        <v>0</v>
      </c>
      <c r="N248" s="676">
        <v>0</v>
      </c>
      <c r="O248" s="676">
        <v>0</v>
      </c>
      <c r="P248" s="676">
        <v>0</v>
      </c>
      <c r="Q248" s="676">
        <v>0</v>
      </c>
      <c r="R248" s="676">
        <v>0</v>
      </c>
      <c r="S248" s="551">
        <f t="shared" si="65"/>
        <v>0</v>
      </c>
      <c r="T248" s="677"/>
      <c r="U248" s="716">
        <f t="shared" si="66"/>
        <v>0</v>
      </c>
      <c r="V248" s="755"/>
      <c r="W248" s="755"/>
      <c r="X248" s="778"/>
      <c r="Y248" s="755"/>
      <c r="Z248" s="755"/>
      <c r="AA248" s="716"/>
      <c r="AB248" s="755"/>
      <c r="AC248" s="717"/>
      <c r="AD248" s="718">
        <f t="shared" si="67"/>
        <v>0</v>
      </c>
      <c r="AE248" s="717"/>
      <c r="AF248" s="753">
        <f t="shared" si="62"/>
        <v>0</v>
      </c>
    </row>
    <row r="249" spans="1:32">
      <c r="A249" s="677">
        <v>235</v>
      </c>
      <c r="B249" s="379" t="s">
        <v>981</v>
      </c>
      <c r="C249" s="379" t="s">
        <v>499</v>
      </c>
      <c r="D249" s="379" t="s">
        <v>1177</v>
      </c>
      <c r="E249" s="675" t="s">
        <v>1594</v>
      </c>
      <c r="F249" s="676">
        <v>4.5474735088646402E-13</v>
      </c>
      <c r="G249" s="676">
        <v>426.58</v>
      </c>
      <c r="H249" s="676">
        <v>796.45</v>
      </c>
      <c r="I249" s="676">
        <v>-5598.04</v>
      </c>
      <c r="J249" s="676">
        <v>-599.69000000000005</v>
      </c>
      <c r="K249" s="676">
        <v>-212.59</v>
      </c>
      <c r="L249" s="676">
        <v>134.88</v>
      </c>
      <c r="M249" s="676">
        <v>413.89</v>
      </c>
      <c r="N249" s="676">
        <v>-1340.75</v>
      </c>
      <c r="O249" s="676">
        <v>0</v>
      </c>
      <c r="P249" s="676">
        <v>0</v>
      </c>
      <c r="Q249" s="676">
        <v>0</v>
      </c>
      <c r="R249" s="676">
        <v>0</v>
      </c>
      <c r="S249" s="551">
        <f t="shared" si="65"/>
        <v>-498.27250000000004</v>
      </c>
      <c r="T249" s="677"/>
      <c r="U249" s="716">
        <f t="shared" si="66"/>
        <v>-498.27250000000004</v>
      </c>
      <c r="V249" s="755"/>
      <c r="W249" s="755"/>
      <c r="X249" s="778"/>
      <c r="Y249" s="755"/>
      <c r="Z249" s="755"/>
      <c r="AA249" s="716"/>
      <c r="AB249" s="755"/>
      <c r="AC249" s="717"/>
      <c r="AD249" s="718">
        <f t="shared" si="67"/>
        <v>-498.27250000000004</v>
      </c>
      <c r="AE249" s="717"/>
      <c r="AF249" s="753">
        <f t="shared" si="62"/>
        <v>0</v>
      </c>
    </row>
    <row r="250" spans="1:32">
      <c r="A250" s="677">
        <v>236</v>
      </c>
      <c r="B250" s="379" t="s">
        <v>981</v>
      </c>
      <c r="C250" s="379" t="s">
        <v>499</v>
      </c>
      <c r="D250" s="379" t="s">
        <v>405</v>
      </c>
      <c r="E250" s="675" t="s">
        <v>1595</v>
      </c>
      <c r="F250" s="676">
        <v>0</v>
      </c>
      <c r="G250" s="676">
        <v>0</v>
      </c>
      <c r="H250" s="676">
        <v>0</v>
      </c>
      <c r="I250" s="676">
        <v>0</v>
      </c>
      <c r="J250" s="676">
        <v>0</v>
      </c>
      <c r="K250" s="676">
        <v>0</v>
      </c>
      <c r="L250" s="676">
        <v>0</v>
      </c>
      <c r="M250" s="676">
        <v>0</v>
      </c>
      <c r="N250" s="676">
        <v>0</v>
      </c>
      <c r="O250" s="676">
        <v>0</v>
      </c>
      <c r="P250" s="676">
        <v>0</v>
      </c>
      <c r="Q250" s="676">
        <v>0</v>
      </c>
      <c r="R250" s="676">
        <v>0</v>
      </c>
      <c r="S250" s="551">
        <f t="shared" si="65"/>
        <v>0</v>
      </c>
      <c r="T250" s="677"/>
      <c r="U250" s="716">
        <f t="shared" si="66"/>
        <v>0</v>
      </c>
      <c r="V250" s="755"/>
      <c r="W250" s="755"/>
      <c r="X250" s="778"/>
      <c r="Y250" s="755"/>
      <c r="Z250" s="755"/>
      <c r="AA250" s="716"/>
      <c r="AB250" s="755"/>
      <c r="AC250" s="717"/>
      <c r="AD250" s="718">
        <f t="shared" si="67"/>
        <v>0</v>
      </c>
      <c r="AE250" s="717"/>
      <c r="AF250" s="753">
        <f t="shared" si="62"/>
        <v>0</v>
      </c>
    </row>
    <row r="251" spans="1:32">
      <c r="A251" s="677">
        <v>237</v>
      </c>
      <c r="B251" s="379" t="s">
        <v>981</v>
      </c>
      <c r="C251" s="379" t="s">
        <v>499</v>
      </c>
      <c r="D251" s="379" t="s">
        <v>1178</v>
      </c>
      <c r="E251" s="675" t="s">
        <v>1596</v>
      </c>
      <c r="F251" s="676">
        <v>0</v>
      </c>
      <c r="G251" s="676">
        <v>0</v>
      </c>
      <c r="H251" s="676">
        <v>0</v>
      </c>
      <c r="I251" s="676">
        <v>0</v>
      </c>
      <c r="J251" s="676">
        <v>0</v>
      </c>
      <c r="K251" s="676">
        <v>0</v>
      </c>
      <c r="L251" s="676">
        <v>0</v>
      </c>
      <c r="M251" s="676">
        <v>0</v>
      </c>
      <c r="N251" s="676">
        <v>0</v>
      </c>
      <c r="O251" s="676">
        <v>0</v>
      </c>
      <c r="P251" s="676">
        <v>0</v>
      </c>
      <c r="Q251" s="676">
        <v>0</v>
      </c>
      <c r="R251" s="676">
        <v>0</v>
      </c>
      <c r="S251" s="551">
        <f t="shared" si="65"/>
        <v>0</v>
      </c>
      <c r="T251" s="677"/>
      <c r="U251" s="716">
        <f t="shared" si="66"/>
        <v>0</v>
      </c>
      <c r="V251" s="755"/>
      <c r="W251" s="755"/>
      <c r="X251" s="778"/>
      <c r="Y251" s="755"/>
      <c r="Z251" s="755"/>
      <c r="AA251" s="716"/>
      <c r="AB251" s="755"/>
      <c r="AC251" s="717"/>
      <c r="AD251" s="718">
        <f t="shared" si="67"/>
        <v>0</v>
      </c>
      <c r="AE251" s="717"/>
      <c r="AF251" s="753">
        <f t="shared" si="62"/>
        <v>0</v>
      </c>
    </row>
    <row r="252" spans="1:32">
      <c r="A252" s="677">
        <v>238</v>
      </c>
      <c r="B252" s="379" t="s">
        <v>981</v>
      </c>
      <c r="C252" s="379" t="s">
        <v>499</v>
      </c>
      <c r="D252" s="589" t="s">
        <v>567</v>
      </c>
      <c r="E252" s="675" t="s">
        <v>1597</v>
      </c>
      <c r="F252" s="676">
        <v>-4.5474735088646402E-13</v>
      </c>
      <c r="G252" s="676">
        <v>312.62</v>
      </c>
      <c r="H252" s="676">
        <v>752.48</v>
      </c>
      <c r="I252" s="676">
        <v>-1804.39</v>
      </c>
      <c r="J252" s="676">
        <v>-1365.12</v>
      </c>
      <c r="K252" s="676">
        <v>-816.82</v>
      </c>
      <c r="L252" s="676">
        <v>-382.23</v>
      </c>
      <c r="M252" s="676">
        <v>19.440000000000101</v>
      </c>
      <c r="N252" s="676">
        <v>-2387.5100000000002</v>
      </c>
      <c r="O252" s="676">
        <v>0</v>
      </c>
      <c r="P252" s="676">
        <v>0</v>
      </c>
      <c r="Q252" s="676">
        <v>0</v>
      </c>
      <c r="R252" s="676">
        <v>0</v>
      </c>
      <c r="S252" s="551">
        <f t="shared" si="65"/>
        <v>-472.62750000000005</v>
      </c>
      <c r="T252" s="677"/>
      <c r="U252" s="716">
        <f t="shared" si="66"/>
        <v>-472.62750000000005</v>
      </c>
      <c r="V252" s="755"/>
      <c r="W252" s="755"/>
      <c r="X252" s="778"/>
      <c r="Y252" s="755"/>
      <c r="Z252" s="755"/>
      <c r="AA252" s="716"/>
      <c r="AB252" s="755"/>
      <c r="AC252" s="717"/>
      <c r="AD252" s="718">
        <f t="shared" si="67"/>
        <v>-472.62750000000005</v>
      </c>
      <c r="AE252" s="717"/>
      <c r="AF252" s="753">
        <f t="shared" si="62"/>
        <v>0</v>
      </c>
    </row>
    <row r="253" spans="1:32">
      <c r="A253" s="677">
        <v>239</v>
      </c>
      <c r="B253" s="379" t="s">
        <v>981</v>
      </c>
      <c r="C253" s="379" t="s">
        <v>499</v>
      </c>
      <c r="D253" s="379" t="s">
        <v>1179</v>
      </c>
      <c r="E253" s="675" t="s">
        <v>1598</v>
      </c>
      <c r="F253" s="676">
        <v>-2.2737367544323201E-13</v>
      </c>
      <c r="G253" s="676">
        <v>671.92</v>
      </c>
      <c r="H253" s="676">
        <v>754.85</v>
      </c>
      <c r="I253" s="676">
        <v>410.54</v>
      </c>
      <c r="J253" s="676">
        <v>471.8</v>
      </c>
      <c r="K253" s="676">
        <v>533.36</v>
      </c>
      <c r="L253" s="676">
        <v>621.77</v>
      </c>
      <c r="M253" s="676">
        <v>709.98</v>
      </c>
      <c r="N253" s="676">
        <v>310</v>
      </c>
      <c r="O253" s="676">
        <v>0</v>
      </c>
      <c r="P253" s="676">
        <v>0</v>
      </c>
      <c r="Q253" s="676">
        <v>0</v>
      </c>
      <c r="R253" s="676">
        <v>0</v>
      </c>
      <c r="S253" s="551">
        <f t="shared" si="65"/>
        <v>373.685</v>
      </c>
      <c r="T253" s="677"/>
      <c r="U253" s="716">
        <f t="shared" si="66"/>
        <v>373.685</v>
      </c>
      <c r="V253" s="755"/>
      <c r="W253" s="755"/>
      <c r="X253" s="778"/>
      <c r="Y253" s="755"/>
      <c r="Z253" s="755"/>
      <c r="AA253" s="716"/>
      <c r="AB253" s="755"/>
      <c r="AC253" s="717"/>
      <c r="AD253" s="718">
        <f t="shared" si="67"/>
        <v>373.685</v>
      </c>
      <c r="AE253" s="717"/>
      <c r="AF253" s="753">
        <f t="shared" si="62"/>
        <v>0</v>
      </c>
    </row>
    <row r="254" spans="1:32">
      <c r="A254" s="677">
        <v>240</v>
      </c>
      <c r="B254" s="379" t="s">
        <v>981</v>
      </c>
      <c r="C254" s="379" t="s">
        <v>499</v>
      </c>
      <c r="D254" s="379" t="s">
        <v>1180</v>
      </c>
      <c r="E254" s="675" t="s">
        <v>1599</v>
      </c>
      <c r="F254" s="676">
        <v>0</v>
      </c>
      <c r="G254" s="676">
        <v>0</v>
      </c>
      <c r="H254" s="676">
        <v>0</v>
      </c>
      <c r="I254" s="676">
        <v>0</v>
      </c>
      <c r="J254" s="676">
        <v>0</v>
      </c>
      <c r="K254" s="676">
        <v>0</v>
      </c>
      <c r="L254" s="676">
        <v>0</v>
      </c>
      <c r="M254" s="676">
        <v>0</v>
      </c>
      <c r="N254" s="676">
        <v>0</v>
      </c>
      <c r="O254" s="676">
        <v>0</v>
      </c>
      <c r="P254" s="676">
        <v>0</v>
      </c>
      <c r="Q254" s="676">
        <v>0</v>
      </c>
      <c r="R254" s="676">
        <v>0</v>
      </c>
      <c r="S254" s="551">
        <f t="shared" si="65"/>
        <v>0</v>
      </c>
      <c r="T254" s="677"/>
      <c r="U254" s="716">
        <f t="shared" si="66"/>
        <v>0</v>
      </c>
      <c r="V254" s="755"/>
      <c r="W254" s="755"/>
      <c r="X254" s="778"/>
      <c r="Y254" s="755"/>
      <c r="Z254" s="755"/>
      <c r="AA254" s="716"/>
      <c r="AB254" s="755"/>
      <c r="AC254" s="717"/>
      <c r="AD254" s="718">
        <f t="shared" si="67"/>
        <v>0</v>
      </c>
      <c r="AE254" s="717"/>
      <c r="AF254" s="753">
        <f t="shared" si="62"/>
        <v>0</v>
      </c>
    </row>
    <row r="255" spans="1:32">
      <c r="A255" s="677">
        <v>241</v>
      </c>
      <c r="B255" s="379" t="s">
        <v>981</v>
      </c>
      <c r="C255" s="379" t="s">
        <v>499</v>
      </c>
      <c r="D255" s="379" t="s">
        <v>631</v>
      </c>
      <c r="E255" s="675" t="s">
        <v>1600</v>
      </c>
      <c r="F255" s="676">
        <v>0</v>
      </c>
      <c r="G255" s="676">
        <v>85.58</v>
      </c>
      <c r="H255" s="676">
        <v>235.23</v>
      </c>
      <c r="I255" s="676">
        <v>-497.31</v>
      </c>
      <c r="J255" s="676">
        <v>-454.99</v>
      </c>
      <c r="K255" s="676">
        <v>-334.77</v>
      </c>
      <c r="L255" s="676">
        <v>-214.55</v>
      </c>
      <c r="M255" s="676">
        <v>229.36</v>
      </c>
      <c r="N255" s="676">
        <v>-427.14</v>
      </c>
      <c r="O255" s="676">
        <v>0</v>
      </c>
      <c r="P255" s="676">
        <v>0</v>
      </c>
      <c r="Q255" s="676">
        <v>0</v>
      </c>
      <c r="R255" s="676">
        <v>0</v>
      </c>
      <c r="S255" s="551">
        <f t="shared" si="65"/>
        <v>-114.88249999999999</v>
      </c>
      <c r="T255" s="677"/>
      <c r="U255" s="716">
        <f t="shared" si="66"/>
        <v>-114.88249999999999</v>
      </c>
      <c r="V255" s="755"/>
      <c r="W255" s="755"/>
      <c r="X255" s="778"/>
      <c r="Y255" s="755"/>
      <c r="Z255" s="755"/>
      <c r="AA255" s="716"/>
      <c r="AB255" s="755"/>
      <c r="AC255" s="717"/>
      <c r="AD255" s="718">
        <f t="shared" si="67"/>
        <v>-114.88249999999999</v>
      </c>
      <c r="AE255" s="717"/>
      <c r="AF255" s="753">
        <f t="shared" si="62"/>
        <v>0</v>
      </c>
    </row>
    <row r="256" spans="1:32">
      <c r="A256" s="677">
        <v>242</v>
      </c>
      <c r="B256" s="379" t="s">
        <v>981</v>
      </c>
      <c r="C256" s="379" t="s">
        <v>499</v>
      </c>
      <c r="D256" s="379" t="s">
        <v>1159</v>
      </c>
      <c r="E256" s="675" t="s">
        <v>1601</v>
      </c>
      <c r="F256" s="676">
        <v>7.1054273576010003E-15</v>
      </c>
      <c r="G256" s="676">
        <v>3.14</v>
      </c>
      <c r="H256" s="676">
        <v>6.88</v>
      </c>
      <c r="I256" s="676">
        <v>-14.12</v>
      </c>
      <c r="J256" s="676">
        <v>-10.06</v>
      </c>
      <c r="K256" s="676">
        <v>-5.2</v>
      </c>
      <c r="L256" s="676">
        <v>-1.82</v>
      </c>
      <c r="M256" s="676">
        <v>4.78</v>
      </c>
      <c r="N256" s="676">
        <v>-15.34</v>
      </c>
      <c r="O256" s="676">
        <v>0</v>
      </c>
      <c r="P256" s="676">
        <v>0</v>
      </c>
      <c r="Q256" s="676">
        <v>0</v>
      </c>
      <c r="R256" s="676">
        <v>0</v>
      </c>
      <c r="S256" s="551">
        <f t="shared" si="65"/>
        <v>-2.6449999999999996</v>
      </c>
      <c r="T256" s="677"/>
      <c r="U256" s="716">
        <f t="shared" si="66"/>
        <v>-2.6449999999999996</v>
      </c>
      <c r="V256" s="755"/>
      <c r="W256" s="755"/>
      <c r="X256" s="778"/>
      <c r="Y256" s="755"/>
      <c r="Z256" s="755"/>
      <c r="AA256" s="716"/>
      <c r="AB256" s="755"/>
      <c r="AC256" s="717"/>
      <c r="AD256" s="718">
        <f t="shared" si="67"/>
        <v>-2.6449999999999996</v>
      </c>
      <c r="AE256" s="717"/>
      <c r="AF256" s="753">
        <f t="shared" si="62"/>
        <v>0</v>
      </c>
    </row>
    <row r="257" spans="1:32">
      <c r="A257" s="677">
        <v>243</v>
      </c>
      <c r="B257" s="379" t="s">
        <v>981</v>
      </c>
      <c r="C257" s="379" t="s">
        <v>499</v>
      </c>
      <c r="D257" s="677" t="s">
        <v>1181</v>
      </c>
      <c r="E257" s="675" t="s">
        <v>1602</v>
      </c>
      <c r="F257" s="676">
        <v>0</v>
      </c>
      <c r="G257" s="676">
        <v>6104.55</v>
      </c>
      <c r="H257" s="676">
        <v>5604.67</v>
      </c>
      <c r="I257" s="676">
        <v>5082.45</v>
      </c>
      <c r="J257" s="676">
        <v>4537.05</v>
      </c>
      <c r="K257" s="676">
        <v>3972.45</v>
      </c>
      <c r="L257" s="676">
        <v>3481.2</v>
      </c>
      <c r="M257" s="676">
        <v>2907.75</v>
      </c>
      <c r="N257" s="676">
        <v>2358.4499999999998</v>
      </c>
      <c r="O257" s="676">
        <v>0</v>
      </c>
      <c r="P257" s="676">
        <v>0</v>
      </c>
      <c r="Q257" s="676">
        <v>0</v>
      </c>
      <c r="R257" s="676">
        <v>0</v>
      </c>
      <c r="S257" s="551">
        <f t="shared" si="65"/>
        <v>2837.3808333333332</v>
      </c>
      <c r="T257" s="677"/>
      <c r="U257" s="716">
        <f t="shared" si="66"/>
        <v>2837.3808333333332</v>
      </c>
      <c r="V257" s="755"/>
      <c r="W257" s="755"/>
      <c r="X257" s="778"/>
      <c r="Y257" s="755"/>
      <c r="Z257" s="755"/>
      <c r="AA257" s="716"/>
      <c r="AB257" s="755"/>
      <c r="AC257" s="717"/>
      <c r="AD257" s="718">
        <f t="shared" si="67"/>
        <v>2837.3808333333332</v>
      </c>
      <c r="AE257" s="717"/>
      <c r="AF257" s="753">
        <f t="shared" si="62"/>
        <v>0</v>
      </c>
    </row>
    <row r="258" spans="1:32">
      <c r="A258" s="677">
        <v>244</v>
      </c>
      <c r="B258" s="379" t="s">
        <v>981</v>
      </c>
      <c r="C258" s="379" t="s">
        <v>499</v>
      </c>
      <c r="D258" s="379" t="s">
        <v>1182</v>
      </c>
      <c r="E258" s="675" t="s">
        <v>1603</v>
      </c>
      <c r="F258" s="676">
        <v>6.8212102632969598E-13</v>
      </c>
      <c r="G258" s="676">
        <v>-398.3</v>
      </c>
      <c r="H258" s="676">
        <v>-422.39</v>
      </c>
      <c r="I258" s="676">
        <v>-1355.93</v>
      </c>
      <c r="J258" s="676">
        <v>-1558.94</v>
      </c>
      <c r="K258" s="676">
        <v>-1668.52</v>
      </c>
      <c r="L258" s="676">
        <v>-1466.89</v>
      </c>
      <c r="M258" s="676">
        <v>-1577.53</v>
      </c>
      <c r="N258" s="676">
        <v>-2260.04</v>
      </c>
      <c r="O258" s="676">
        <v>0</v>
      </c>
      <c r="P258" s="676">
        <v>0</v>
      </c>
      <c r="Q258" s="676">
        <v>0</v>
      </c>
      <c r="R258" s="676">
        <v>0</v>
      </c>
      <c r="S258" s="551">
        <f t="shared" si="65"/>
        <v>-892.37833333333344</v>
      </c>
      <c r="T258" s="677"/>
      <c r="U258" s="716">
        <f t="shared" si="66"/>
        <v>-892.37833333333344</v>
      </c>
      <c r="V258" s="755"/>
      <c r="W258" s="755"/>
      <c r="X258" s="778"/>
      <c r="Y258" s="755"/>
      <c r="Z258" s="755"/>
      <c r="AA258" s="716"/>
      <c r="AB258" s="755"/>
      <c r="AC258" s="717"/>
      <c r="AD258" s="718">
        <f t="shared" si="67"/>
        <v>-892.37833333333344</v>
      </c>
      <c r="AE258" s="717"/>
      <c r="AF258" s="753">
        <f t="shared" si="62"/>
        <v>0</v>
      </c>
    </row>
    <row r="259" spans="1:32">
      <c r="A259" s="677">
        <v>245</v>
      </c>
      <c r="B259" s="379" t="s">
        <v>981</v>
      </c>
      <c r="C259" s="379" t="s">
        <v>499</v>
      </c>
      <c r="D259" s="379" t="s">
        <v>1183</v>
      </c>
      <c r="E259" s="675" t="s">
        <v>1604</v>
      </c>
      <c r="F259" s="676">
        <v>-9.0949470177292804E-13</v>
      </c>
      <c r="G259" s="676">
        <v>0</v>
      </c>
      <c r="H259" s="676">
        <v>0</v>
      </c>
      <c r="I259" s="676">
        <v>0</v>
      </c>
      <c r="J259" s="676">
        <v>0</v>
      </c>
      <c r="K259" s="676">
        <v>0</v>
      </c>
      <c r="L259" s="676">
        <v>0</v>
      </c>
      <c r="M259" s="676">
        <v>0</v>
      </c>
      <c r="N259" s="676">
        <v>0</v>
      </c>
      <c r="O259" s="676">
        <v>0</v>
      </c>
      <c r="P259" s="676">
        <v>0</v>
      </c>
      <c r="Q259" s="676">
        <v>0</v>
      </c>
      <c r="R259" s="676">
        <v>0</v>
      </c>
      <c r="S259" s="551">
        <f t="shared" si="65"/>
        <v>-3.7895612573872001E-14</v>
      </c>
      <c r="T259" s="677"/>
      <c r="U259" s="716">
        <f t="shared" si="66"/>
        <v>-3.7895612573872001E-14</v>
      </c>
      <c r="V259" s="755"/>
      <c r="W259" s="755"/>
      <c r="X259" s="778"/>
      <c r="Y259" s="755"/>
      <c r="Z259" s="755"/>
      <c r="AA259" s="716"/>
      <c r="AB259" s="755"/>
      <c r="AC259" s="717"/>
      <c r="AD259" s="718">
        <f t="shared" si="67"/>
        <v>-3.7895612573872001E-14</v>
      </c>
      <c r="AE259" s="717"/>
      <c r="AF259" s="753">
        <f t="shared" si="62"/>
        <v>0</v>
      </c>
    </row>
    <row r="260" spans="1:32">
      <c r="A260" s="677">
        <v>246</v>
      </c>
      <c r="B260" s="379" t="s">
        <v>981</v>
      </c>
      <c r="C260" s="379" t="s">
        <v>499</v>
      </c>
      <c r="D260" s="379" t="s">
        <v>1184</v>
      </c>
      <c r="E260" s="675" t="s">
        <v>1605</v>
      </c>
      <c r="F260" s="676">
        <v>4.5474735088646402E-13</v>
      </c>
      <c r="G260" s="676">
        <v>0</v>
      </c>
      <c r="H260" s="676">
        <v>0</v>
      </c>
      <c r="I260" s="676">
        <v>0</v>
      </c>
      <c r="J260" s="676">
        <v>0</v>
      </c>
      <c r="K260" s="676">
        <v>0</v>
      </c>
      <c r="L260" s="676">
        <v>0</v>
      </c>
      <c r="M260" s="676">
        <v>0</v>
      </c>
      <c r="N260" s="676">
        <v>0</v>
      </c>
      <c r="O260" s="676">
        <v>0</v>
      </c>
      <c r="P260" s="676">
        <v>0</v>
      </c>
      <c r="Q260" s="676">
        <v>0</v>
      </c>
      <c r="R260" s="676">
        <v>0</v>
      </c>
      <c r="S260" s="551">
        <f t="shared" si="65"/>
        <v>1.8947806286936001E-14</v>
      </c>
      <c r="T260" s="677"/>
      <c r="U260" s="716">
        <f t="shared" si="66"/>
        <v>1.8947806286936001E-14</v>
      </c>
      <c r="V260" s="755"/>
      <c r="W260" s="755"/>
      <c r="X260" s="778"/>
      <c r="Y260" s="755"/>
      <c r="Z260" s="755"/>
      <c r="AA260" s="716"/>
      <c r="AB260" s="755"/>
      <c r="AC260" s="717"/>
      <c r="AD260" s="718">
        <f t="shared" si="67"/>
        <v>1.8947806286936001E-14</v>
      </c>
      <c r="AE260" s="717"/>
      <c r="AF260" s="753">
        <f t="shared" si="62"/>
        <v>0</v>
      </c>
    </row>
    <row r="261" spans="1:32">
      <c r="A261" s="677">
        <v>247</v>
      </c>
      <c r="B261" s="379" t="s">
        <v>981</v>
      </c>
      <c r="C261" s="379" t="s">
        <v>499</v>
      </c>
      <c r="D261" s="379" t="s">
        <v>83</v>
      </c>
      <c r="E261" s="675" t="s">
        <v>1606</v>
      </c>
      <c r="F261" s="676">
        <v>0</v>
      </c>
      <c r="G261" s="676">
        <v>4116.9799999999996</v>
      </c>
      <c r="H261" s="676">
        <v>-2315.9699999999998</v>
      </c>
      <c r="I261" s="676">
        <v>-4.5474735088646402E-13</v>
      </c>
      <c r="J261" s="676">
        <v>-10113.19</v>
      </c>
      <c r="K261" s="676">
        <v>-14300.5</v>
      </c>
      <c r="L261" s="676">
        <v>7798.35</v>
      </c>
      <c r="M261" s="676">
        <v>-21758.93</v>
      </c>
      <c r="N261" s="676">
        <v>-25615.66</v>
      </c>
      <c r="O261" s="676">
        <v>0</v>
      </c>
      <c r="P261" s="676">
        <v>0</v>
      </c>
      <c r="Q261" s="676">
        <v>0</v>
      </c>
      <c r="R261" s="676">
        <v>0</v>
      </c>
      <c r="S261" s="551">
        <f t="shared" si="65"/>
        <v>-5182.41</v>
      </c>
      <c r="T261" s="677"/>
      <c r="U261" s="716">
        <f t="shared" si="66"/>
        <v>-5182.41</v>
      </c>
      <c r="V261" s="755"/>
      <c r="W261" s="755"/>
      <c r="X261" s="778"/>
      <c r="Y261" s="755"/>
      <c r="Z261" s="755"/>
      <c r="AA261" s="716"/>
      <c r="AB261" s="755"/>
      <c r="AC261" s="717"/>
      <c r="AD261" s="718">
        <f t="shared" si="67"/>
        <v>-5182.41</v>
      </c>
      <c r="AE261" s="717"/>
      <c r="AF261" s="753">
        <f t="shared" si="62"/>
        <v>0</v>
      </c>
    </row>
    <row r="262" spans="1:32">
      <c r="A262" s="677">
        <v>248</v>
      </c>
      <c r="B262" s="379" t="s">
        <v>981</v>
      </c>
      <c r="C262" s="379" t="s">
        <v>499</v>
      </c>
      <c r="D262" s="379" t="s">
        <v>1185</v>
      </c>
      <c r="E262" s="675" t="s">
        <v>1607</v>
      </c>
      <c r="F262" s="676">
        <v>-1.13686837721616E-13</v>
      </c>
      <c r="G262" s="676">
        <v>-1230.52</v>
      </c>
      <c r="H262" s="676">
        <v>-1472.64</v>
      </c>
      <c r="I262" s="676">
        <v>2.2737367544323201E-13</v>
      </c>
      <c r="J262" s="676">
        <v>-2052</v>
      </c>
      <c r="K262" s="676">
        <v>-2318.9699999999998</v>
      </c>
      <c r="L262" s="676">
        <v>-4.5474735088646402E-13</v>
      </c>
      <c r="M262" s="676">
        <v>-2083.14</v>
      </c>
      <c r="N262" s="676">
        <v>-679.34</v>
      </c>
      <c r="O262" s="676">
        <v>0</v>
      </c>
      <c r="P262" s="676">
        <v>0</v>
      </c>
      <c r="Q262" s="676">
        <v>0</v>
      </c>
      <c r="R262" s="676">
        <v>0</v>
      </c>
      <c r="S262" s="551">
        <f t="shared" si="65"/>
        <v>-819.71749999999986</v>
      </c>
      <c r="T262" s="677"/>
      <c r="U262" s="716">
        <f t="shared" si="66"/>
        <v>-819.71749999999986</v>
      </c>
      <c r="V262" s="755"/>
      <c r="W262" s="755"/>
      <c r="X262" s="778"/>
      <c r="Y262" s="755"/>
      <c r="Z262" s="755"/>
      <c r="AA262" s="716"/>
      <c r="AB262" s="755"/>
      <c r="AC262" s="717"/>
      <c r="AD262" s="718">
        <f t="shared" si="67"/>
        <v>-819.71749999999986</v>
      </c>
      <c r="AE262" s="717"/>
      <c r="AF262" s="753">
        <f t="shared" si="62"/>
        <v>0</v>
      </c>
    </row>
    <row r="263" spans="1:32">
      <c r="A263" s="677">
        <v>249</v>
      </c>
      <c r="B263" s="379" t="s">
        <v>981</v>
      </c>
      <c r="C263" s="379" t="s">
        <v>499</v>
      </c>
      <c r="D263" s="379" t="s">
        <v>106</v>
      </c>
      <c r="E263" s="675" t="s">
        <v>1608</v>
      </c>
      <c r="F263" s="676">
        <v>-7.2759576141834308E-12</v>
      </c>
      <c r="G263" s="676">
        <v>-92131.38</v>
      </c>
      <c r="H263" s="676">
        <v>-53843.67</v>
      </c>
      <c r="I263" s="676">
        <v>-7.2759576141834308E-12</v>
      </c>
      <c r="J263" s="676">
        <v>-102204.33</v>
      </c>
      <c r="K263" s="676">
        <v>-126429.75</v>
      </c>
      <c r="L263" s="676">
        <v>-1.45519152283669E-11</v>
      </c>
      <c r="M263" s="676">
        <v>-169913.37</v>
      </c>
      <c r="N263" s="676">
        <v>-60958.080000000002</v>
      </c>
      <c r="O263" s="676">
        <v>0</v>
      </c>
      <c r="P263" s="676">
        <v>0</v>
      </c>
      <c r="Q263" s="676">
        <v>0</v>
      </c>
      <c r="R263" s="676">
        <v>0</v>
      </c>
      <c r="S263" s="551">
        <f t="shared" si="65"/>
        <v>-50456.714999999997</v>
      </c>
      <c r="T263" s="677"/>
      <c r="U263" s="716">
        <f t="shared" si="66"/>
        <v>-50456.714999999997</v>
      </c>
      <c r="V263" s="755"/>
      <c r="W263" s="755"/>
      <c r="X263" s="778"/>
      <c r="Y263" s="755"/>
      <c r="Z263" s="755"/>
      <c r="AA263" s="716"/>
      <c r="AB263" s="755"/>
      <c r="AC263" s="717"/>
      <c r="AD263" s="718">
        <f t="shared" si="67"/>
        <v>-50456.714999999997</v>
      </c>
      <c r="AE263" s="717"/>
      <c r="AF263" s="753">
        <f t="shared" si="62"/>
        <v>0</v>
      </c>
    </row>
    <row r="264" spans="1:32">
      <c r="A264" s="677">
        <v>250</v>
      </c>
      <c r="B264" s="379" t="s">
        <v>382</v>
      </c>
      <c r="C264" s="379" t="s">
        <v>500</v>
      </c>
      <c r="D264" s="379" t="s">
        <v>382</v>
      </c>
      <c r="E264" s="675" t="s">
        <v>501</v>
      </c>
      <c r="F264" s="676">
        <v>59785.299999999981</v>
      </c>
      <c r="G264" s="676">
        <v>195023.09</v>
      </c>
      <c r="H264" s="676">
        <v>258706.77999999997</v>
      </c>
      <c r="I264" s="676">
        <v>238227.15999999997</v>
      </c>
      <c r="J264" s="676">
        <v>252352.69000000006</v>
      </c>
      <c r="K264" s="676">
        <v>256575.24000000002</v>
      </c>
      <c r="L264" s="676">
        <v>220507.31000000006</v>
      </c>
      <c r="M264" s="676">
        <v>199340.86</v>
      </c>
      <c r="N264" s="676">
        <v>181707.04</v>
      </c>
      <c r="O264" s="676">
        <v>160999.45000000001</v>
      </c>
      <c r="P264" s="676">
        <v>117782.74</v>
      </c>
      <c r="Q264" s="676">
        <v>105294.82</v>
      </c>
      <c r="R264" s="676">
        <v>45130.430000000102</v>
      </c>
      <c r="S264" s="551">
        <f t="shared" si="65"/>
        <v>186581.25375000003</v>
      </c>
      <c r="T264" s="677"/>
      <c r="U264" s="716">
        <f t="shared" si="66"/>
        <v>186581.25375000003</v>
      </c>
      <c r="V264" s="755"/>
      <c r="W264" s="755"/>
      <c r="X264" s="778"/>
      <c r="Y264" s="755"/>
      <c r="Z264" s="755"/>
      <c r="AA264" s="716"/>
      <c r="AB264" s="724"/>
      <c r="AC264" s="717"/>
      <c r="AD264" s="716">
        <f>+S264</f>
        <v>186581.25375000003</v>
      </c>
      <c r="AE264" s="717"/>
      <c r="AF264" s="753">
        <f t="shared" si="62"/>
        <v>0</v>
      </c>
    </row>
    <row r="265" spans="1:32">
      <c r="A265" s="677">
        <v>251</v>
      </c>
      <c r="B265" s="379" t="s">
        <v>1885</v>
      </c>
      <c r="C265" s="379" t="s">
        <v>499</v>
      </c>
      <c r="D265" s="379" t="s">
        <v>460</v>
      </c>
      <c r="E265" s="675" t="s">
        <v>1911</v>
      </c>
      <c r="F265" s="676">
        <v>0</v>
      </c>
      <c r="G265" s="676">
        <v>0</v>
      </c>
      <c r="H265" s="676">
        <v>0</v>
      </c>
      <c r="I265" s="676">
        <v>0</v>
      </c>
      <c r="J265" s="676">
        <v>0</v>
      </c>
      <c r="K265" s="676">
        <v>0</v>
      </c>
      <c r="L265" s="676">
        <v>0</v>
      </c>
      <c r="M265" s="676">
        <v>0</v>
      </c>
      <c r="N265" s="676">
        <v>0</v>
      </c>
      <c r="O265" s="676">
        <v>-160999.45000000001</v>
      </c>
      <c r="P265" s="676">
        <v>-117782.74</v>
      </c>
      <c r="Q265" s="676">
        <v>-95326.51</v>
      </c>
      <c r="R265" s="676">
        <v>-45130.43</v>
      </c>
      <c r="S265" s="551">
        <f t="shared" si="65"/>
        <v>-33056.159583333334</v>
      </c>
      <c r="T265" s="677"/>
      <c r="U265" s="716">
        <f>+S265</f>
        <v>-33056.159583333334</v>
      </c>
      <c r="V265" s="755"/>
      <c r="W265" s="755"/>
      <c r="X265" s="778"/>
      <c r="Y265" s="755"/>
      <c r="Z265" s="755"/>
      <c r="AA265" s="716"/>
      <c r="AB265" s="724"/>
      <c r="AC265" s="717"/>
      <c r="AD265" s="716">
        <f>+S265</f>
        <v>-33056.159583333334</v>
      </c>
      <c r="AE265" s="717"/>
      <c r="AF265" s="753">
        <f t="shared" si="62"/>
        <v>0</v>
      </c>
    </row>
    <row r="266" spans="1:32">
      <c r="A266" s="677">
        <v>252</v>
      </c>
      <c r="B266" s="379" t="s">
        <v>981</v>
      </c>
      <c r="C266" s="379" t="s">
        <v>459</v>
      </c>
      <c r="D266" s="379" t="s">
        <v>1187</v>
      </c>
      <c r="E266" s="675" t="s">
        <v>1609</v>
      </c>
      <c r="F266" s="676">
        <v>2988574.1</v>
      </c>
      <c r="G266" s="676">
        <v>2999372.95</v>
      </c>
      <c r="H266" s="676">
        <v>3011015.48</v>
      </c>
      <c r="I266" s="676">
        <v>3022552.53</v>
      </c>
      <c r="J266" s="676">
        <v>3033980.26</v>
      </c>
      <c r="K266" s="676">
        <v>3024547.99</v>
      </c>
      <c r="L266" s="676">
        <v>3030781.91</v>
      </c>
      <c r="M266" s="676">
        <v>3038151.27</v>
      </c>
      <c r="N266" s="676">
        <v>3045619.03</v>
      </c>
      <c r="O266" s="676">
        <v>3051406.69</v>
      </c>
      <c r="P266" s="676">
        <v>3058727.65</v>
      </c>
      <c r="Q266" s="676">
        <v>3066186.65</v>
      </c>
      <c r="R266" s="676">
        <v>4478392.82</v>
      </c>
      <c r="S266" s="551">
        <f t="shared" si="65"/>
        <v>3092985.4891666663</v>
      </c>
      <c r="T266" s="677"/>
      <c r="U266" s="716">
        <f t="shared" si="66"/>
        <v>3092985.4891666663</v>
      </c>
      <c r="V266" s="755"/>
      <c r="W266" s="755"/>
      <c r="X266" s="778"/>
      <c r="Y266" s="755"/>
      <c r="Z266" s="755"/>
      <c r="AA266" s="716"/>
      <c r="AB266" s="755"/>
      <c r="AC266" s="717"/>
      <c r="AD266" s="718">
        <f>+U266</f>
        <v>3092985.4891666663</v>
      </c>
      <c r="AE266" s="717"/>
      <c r="AF266" s="753">
        <f t="shared" si="62"/>
        <v>0</v>
      </c>
    </row>
    <row r="267" spans="1:32">
      <c r="A267" s="677">
        <v>253</v>
      </c>
      <c r="B267" s="379" t="s">
        <v>1885</v>
      </c>
      <c r="C267" s="379" t="s">
        <v>459</v>
      </c>
      <c r="D267" s="379" t="s">
        <v>1892</v>
      </c>
      <c r="E267" s="675" t="s">
        <v>1620</v>
      </c>
      <c r="F267" s="676">
        <v>0</v>
      </c>
      <c r="G267" s="676">
        <v>-137402.29999999999</v>
      </c>
      <c r="H267" s="676">
        <v>-123637.95</v>
      </c>
      <c r="I267" s="676">
        <v>-108044.38</v>
      </c>
      <c r="J267" s="676">
        <v>-352090.88</v>
      </c>
      <c r="K267" s="676">
        <v>-348666.74</v>
      </c>
      <c r="L267" s="676">
        <v>-346007.64</v>
      </c>
      <c r="M267" s="676">
        <v>-344212.35</v>
      </c>
      <c r="N267" s="676">
        <v>-342762.33</v>
      </c>
      <c r="O267" s="676">
        <v>-341265.44</v>
      </c>
      <c r="P267" s="676">
        <v>-342273.78</v>
      </c>
      <c r="Q267" s="676">
        <v>-331106.38</v>
      </c>
      <c r="R267" s="676">
        <v>-313349.98</v>
      </c>
      <c r="S267" s="551">
        <f t="shared" si="65"/>
        <v>-272845.43</v>
      </c>
      <c r="T267" s="677"/>
      <c r="U267" s="716">
        <f>+S267</f>
        <v>-272845.43</v>
      </c>
      <c r="V267" s="755"/>
      <c r="W267" s="755"/>
      <c r="X267" s="778"/>
      <c r="Y267" s="755"/>
      <c r="Z267" s="755"/>
      <c r="AA267" s="716"/>
      <c r="AB267" s="755"/>
      <c r="AC267" s="717"/>
      <c r="AD267" s="718">
        <f>+S267</f>
        <v>-272845.43</v>
      </c>
      <c r="AE267" s="717"/>
      <c r="AF267" s="753"/>
    </row>
    <row r="268" spans="1:32">
      <c r="A268" s="677">
        <v>254</v>
      </c>
      <c r="B268" s="379" t="s">
        <v>1009</v>
      </c>
      <c r="C268" s="379" t="s">
        <v>459</v>
      </c>
      <c r="D268" s="379" t="s">
        <v>1188</v>
      </c>
      <c r="E268" s="675" t="s">
        <v>1610</v>
      </c>
      <c r="F268" s="676">
        <v>29758.74</v>
      </c>
      <c r="G268" s="676">
        <v>23022.73</v>
      </c>
      <c r="H268" s="676">
        <v>16764.68</v>
      </c>
      <c r="I268" s="676">
        <v>9674.23</v>
      </c>
      <c r="J268" s="676">
        <v>4858.92</v>
      </c>
      <c r="K268" s="676">
        <v>2389.2399999999998</v>
      </c>
      <c r="L268" s="676">
        <v>727.03000000000304</v>
      </c>
      <c r="M268" s="676">
        <v>-384.97999999999701</v>
      </c>
      <c r="N268" s="676">
        <v>-1292.25</v>
      </c>
      <c r="O268" s="676">
        <v>-2209.6</v>
      </c>
      <c r="P268" s="676">
        <v>-4708.13</v>
      </c>
      <c r="Q268" s="676">
        <v>62756.39</v>
      </c>
      <c r="R268" s="676">
        <v>52817.54</v>
      </c>
      <c r="S268" s="551">
        <f t="shared" si="65"/>
        <v>12740.533333333335</v>
      </c>
      <c r="T268" s="677"/>
      <c r="U268" s="716"/>
      <c r="V268" s="755"/>
      <c r="W268" s="755"/>
      <c r="X268" s="778">
        <f>+S268</f>
        <v>12740.533333333335</v>
      </c>
      <c r="Y268" s="755"/>
      <c r="Z268" s="755"/>
      <c r="AA268" s="716"/>
      <c r="AB268" s="755">
        <f>+S268</f>
        <v>12740.533333333335</v>
      </c>
      <c r="AC268" s="717"/>
      <c r="AD268" s="718"/>
      <c r="AE268" s="717"/>
      <c r="AF268" s="753">
        <f t="shared" si="62"/>
        <v>0</v>
      </c>
    </row>
    <row r="269" spans="1:32">
      <c r="A269" s="677">
        <v>255</v>
      </c>
      <c r="B269" s="379" t="s">
        <v>1009</v>
      </c>
      <c r="C269" s="379" t="s">
        <v>459</v>
      </c>
      <c r="D269" s="379" t="s">
        <v>1189</v>
      </c>
      <c r="E269" s="675" t="s">
        <v>1611</v>
      </c>
      <c r="F269" s="676">
        <v>2049.1300000000101</v>
      </c>
      <c r="G269" s="676">
        <v>41561.81</v>
      </c>
      <c r="H269" s="676">
        <v>41794.050000000003</v>
      </c>
      <c r="I269" s="676">
        <v>42052.61</v>
      </c>
      <c r="J269" s="676">
        <v>69691.89</v>
      </c>
      <c r="K269" s="676">
        <v>70122.2</v>
      </c>
      <c r="L269" s="676">
        <v>70541.2</v>
      </c>
      <c r="M269" s="676">
        <v>70976.759999999995</v>
      </c>
      <c r="N269" s="676">
        <v>71415.009999999995</v>
      </c>
      <c r="O269" s="676">
        <v>71841.740000000005</v>
      </c>
      <c r="P269" s="676">
        <v>72285.33</v>
      </c>
      <c r="Q269" s="676">
        <v>9.9999999656574801E-3</v>
      </c>
      <c r="R269" s="676">
        <v>9.9999999656574801E-3</v>
      </c>
      <c r="S269" s="551">
        <f t="shared" si="65"/>
        <v>51942.264999999992</v>
      </c>
      <c r="T269" s="677"/>
      <c r="U269" s="716"/>
      <c r="V269" s="755"/>
      <c r="W269" s="755"/>
      <c r="X269" s="778">
        <f t="shared" ref="X269:X270" si="70">+S269</f>
        <v>51942.264999999992</v>
      </c>
      <c r="Y269" s="755"/>
      <c r="Z269" s="755"/>
      <c r="AA269" s="716"/>
      <c r="AB269" s="755">
        <f t="shared" ref="AB269:AB270" si="71">+S269</f>
        <v>51942.264999999992</v>
      </c>
      <c r="AC269" s="717"/>
      <c r="AD269" s="718"/>
      <c r="AE269" s="717"/>
      <c r="AF269" s="753">
        <f t="shared" si="62"/>
        <v>0</v>
      </c>
    </row>
    <row r="270" spans="1:32">
      <c r="A270" s="677">
        <v>256</v>
      </c>
      <c r="B270" s="379" t="s">
        <v>1009</v>
      </c>
      <c r="C270" s="379" t="s">
        <v>459</v>
      </c>
      <c r="D270" s="379" t="s">
        <v>1190</v>
      </c>
      <c r="E270" s="675" t="s">
        <v>1612</v>
      </c>
      <c r="F270" s="676">
        <v>3298.72</v>
      </c>
      <c r="G270" s="676">
        <v>3003.91</v>
      </c>
      <c r="H270" s="676">
        <v>2728.69</v>
      </c>
      <c r="I270" s="676">
        <v>2421.64</v>
      </c>
      <c r="J270" s="676">
        <v>2168.15</v>
      </c>
      <c r="K270" s="676">
        <v>1888.57</v>
      </c>
      <c r="L270" s="676">
        <v>1614.24</v>
      </c>
      <c r="M270" s="676">
        <v>1342.88</v>
      </c>
      <c r="N270" s="676">
        <v>1077.1600000000001</v>
      </c>
      <c r="O270" s="676">
        <v>809.57</v>
      </c>
      <c r="P270" s="676">
        <v>465.23</v>
      </c>
      <c r="Q270" s="676">
        <v>39036.43</v>
      </c>
      <c r="R270" s="676">
        <v>34796.76</v>
      </c>
      <c r="S270" s="551">
        <f t="shared" si="65"/>
        <v>6300.3508333333339</v>
      </c>
      <c r="T270" s="677"/>
      <c r="U270" s="716"/>
      <c r="V270" s="755"/>
      <c r="W270" s="755"/>
      <c r="X270" s="778">
        <f t="shared" si="70"/>
        <v>6300.3508333333339</v>
      </c>
      <c r="Y270" s="755"/>
      <c r="Z270" s="755"/>
      <c r="AA270" s="716"/>
      <c r="AB270" s="755">
        <f t="shared" si="71"/>
        <v>6300.3508333333339</v>
      </c>
      <c r="AC270" s="717"/>
      <c r="AD270" s="718"/>
      <c r="AE270" s="717"/>
      <c r="AF270" s="753">
        <f t="shared" si="62"/>
        <v>0</v>
      </c>
    </row>
    <row r="271" spans="1:32">
      <c r="A271" s="677">
        <v>257</v>
      </c>
      <c r="B271" s="379" t="s">
        <v>1009</v>
      </c>
      <c r="C271" s="379" t="s">
        <v>459</v>
      </c>
      <c r="D271" s="379" t="s">
        <v>1191</v>
      </c>
      <c r="E271" s="675" t="s">
        <v>1611</v>
      </c>
      <c r="F271" s="676">
        <v>7060.75</v>
      </c>
      <c r="G271" s="676">
        <v>7104.43</v>
      </c>
      <c r="H271" s="676">
        <v>7144.13</v>
      </c>
      <c r="I271" s="676">
        <v>7188.33</v>
      </c>
      <c r="J271" s="676">
        <v>40840.54</v>
      </c>
      <c r="K271" s="676">
        <v>41092.71</v>
      </c>
      <c r="L271" s="676">
        <v>41338.25</v>
      </c>
      <c r="M271" s="676">
        <v>41593.49</v>
      </c>
      <c r="N271" s="676">
        <v>41850.31</v>
      </c>
      <c r="O271" s="676">
        <v>42100.38</v>
      </c>
      <c r="P271" s="676">
        <v>47546.63</v>
      </c>
      <c r="Q271" s="676">
        <v>5217.29</v>
      </c>
      <c r="R271" s="676">
        <v>5249.5</v>
      </c>
      <c r="S271" s="551">
        <f t="shared" si="65"/>
        <v>27430.967916666665</v>
      </c>
      <c r="T271" s="677"/>
      <c r="U271" s="720"/>
      <c r="V271" s="755"/>
      <c r="W271" s="755"/>
      <c r="X271" s="778">
        <f>+S271</f>
        <v>27430.967916666665</v>
      </c>
      <c r="Y271" s="755"/>
      <c r="Z271" s="755"/>
      <c r="AA271" s="716"/>
      <c r="AB271" s="724">
        <f>+S271</f>
        <v>27430.967916666665</v>
      </c>
      <c r="AC271" s="717"/>
      <c r="AD271" s="716"/>
      <c r="AE271" s="717"/>
      <c r="AF271" s="753">
        <f t="shared" si="62"/>
        <v>0</v>
      </c>
    </row>
    <row r="272" spans="1:32">
      <c r="A272" s="677">
        <v>258</v>
      </c>
      <c r="B272" s="379" t="s">
        <v>984</v>
      </c>
      <c r="C272" s="379" t="s">
        <v>459</v>
      </c>
      <c r="D272" s="379" t="s">
        <v>1192</v>
      </c>
      <c r="E272" s="675" t="s">
        <v>1615</v>
      </c>
      <c r="F272" s="676">
        <v>14082715.25</v>
      </c>
      <c r="G272" s="676">
        <v>14082715.25</v>
      </c>
      <c r="H272" s="676">
        <v>14117014.77</v>
      </c>
      <c r="I272" s="676">
        <v>14103400.560000001</v>
      </c>
      <c r="J272" s="676">
        <v>13142221.01</v>
      </c>
      <c r="K272" s="676">
        <v>13168075.51</v>
      </c>
      <c r="L272" s="676">
        <v>13174573.15</v>
      </c>
      <c r="M272" s="676">
        <v>13175998.15</v>
      </c>
      <c r="N272" s="676">
        <v>12807390.439999999</v>
      </c>
      <c r="O272" s="676">
        <v>12850165.449999999</v>
      </c>
      <c r="P272" s="676">
        <v>12853231.449999999</v>
      </c>
      <c r="Q272" s="676">
        <v>12853380.32</v>
      </c>
      <c r="R272" s="676">
        <v>12592136.48</v>
      </c>
      <c r="S272" s="551">
        <f t="shared" si="65"/>
        <v>13305465.99375</v>
      </c>
      <c r="T272" s="677"/>
      <c r="U272" s="720">
        <f>+S272</f>
        <v>13305465.99375</v>
      </c>
      <c r="V272" s="755"/>
      <c r="W272" s="755"/>
      <c r="X272" s="778"/>
      <c r="Y272" s="755"/>
      <c r="Z272" s="755"/>
      <c r="AA272" s="716"/>
      <c r="AB272" s="724"/>
      <c r="AC272" s="717"/>
      <c r="AD272" s="716">
        <f>+S272</f>
        <v>13305465.99375</v>
      </c>
      <c r="AE272" s="717"/>
      <c r="AF272" s="753">
        <f t="shared" si="62"/>
        <v>0</v>
      </c>
    </row>
    <row r="273" spans="1:32">
      <c r="A273" s="677">
        <v>259</v>
      </c>
      <c r="B273" s="379" t="s">
        <v>984</v>
      </c>
      <c r="C273" s="379" t="s">
        <v>459</v>
      </c>
      <c r="D273" s="379" t="s">
        <v>1427</v>
      </c>
      <c r="E273" s="675" t="s">
        <v>1616</v>
      </c>
      <c r="F273" s="676">
        <v>466500</v>
      </c>
      <c r="G273" s="676">
        <v>466500</v>
      </c>
      <c r="H273" s="676">
        <v>466500</v>
      </c>
      <c r="I273" s="676">
        <v>466500</v>
      </c>
      <c r="J273" s="676">
        <v>466500</v>
      </c>
      <c r="K273" s="676">
        <v>466500</v>
      </c>
      <c r="L273" s="676">
        <v>466500</v>
      </c>
      <c r="M273" s="676">
        <v>466500</v>
      </c>
      <c r="N273" s="676">
        <v>466500</v>
      </c>
      <c r="O273" s="676">
        <v>466500</v>
      </c>
      <c r="P273" s="676">
        <v>466500</v>
      </c>
      <c r="Q273" s="676">
        <v>466500</v>
      </c>
      <c r="R273" s="676">
        <v>466500</v>
      </c>
      <c r="S273" s="551">
        <f t="shared" si="65"/>
        <v>466500</v>
      </c>
      <c r="T273" s="677"/>
      <c r="U273" s="720">
        <f>+S273</f>
        <v>466500</v>
      </c>
      <c r="V273" s="755"/>
      <c r="W273" s="755"/>
      <c r="X273" s="778"/>
      <c r="Y273" s="755"/>
      <c r="Z273" s="755"/>
      <c r="AA273" s="716"/>
      <c r="AB273" s="724"/>
      <c r="AC273" s="717"/>
      <c r="AD273" s="716">
        <f>+S273</f>
        <v>466500</v>
      </c>
      <c r="AE273" s="717"/>
      <c r="AF273" s="753">
        <f t="shared" si="62"/>
        <v>0</v>
      </c>
    </row>
    <row r="274" spans="1:32">
      <c r="A274" s="677">
        <v>260</v>
      </c>
      <c r="B274" s="379" t="s">
        <v>1009</v>
      </c>
      <c r="C274" s="379" t="s">
        <v>459</v>
      </c>
      <c r="D274" s="379" t="s">
        <v>1193</v>
      </c>
      <c r="E274" s="675" t="s">
        <v>1613</v>
      </c>
      <c r="F274" s="676">
        <v>1883502.85</v>
      </c>
      <c r="G274" s="676">
        <v>1917787.71</v>
      </c>
      <c r="H274" s="676">
        <v>1888055.06</v>
      </c>
      <c r="I274" s="676">
        <v>1892076.67</v>
      </c>
      <c r="J274" s="676">
        <v>1677901.94</v>
      </c>
      <c r="K274" s="676">
        <v>1677702.78</v>
      </c>
      <c r="L274" s="676">
        <v>1132434.1399999999</v>
      </c>
      <c r="M274" s="676">
        <v>1139554.56</v>
      </c>
      <c r="N274" s="676">
        <v>1141824.44</v>
      </c>
      <c r="O274" s="676">
        <v>1143561.54</v>
      </c>
      <c r="P274" s="676">
        <v>1144594.2</v>
      </c>
      <c r="Q274" s="676">
        <v>1153377.47</v>
      </c>
      <c r="R274" s="676">
        <v>993974.16</v>
      </c>
      <c r="S274" s="551">
        <f t="shared" si="65"/>
        <v>1445634.0845833335</v>
      </c>
      <c r="T274" s="677"/>
      <c r="U274" s="720"/>
      <c r="V274" s="755"/>
      <c r="W274" s="755"/>
      <c r="X274" s="778">
        <f t="shared" ref="X274:X291" si="72">+S274</f>
        <v>1445634.0845833335</v>
      </c>
      <c r="Y274" s="755"/>
      <c r="Z274" s="755"/>
      <c r="AA274" s="716"/>
      <c r="AB274" s="755">
        <f t="shared" ref="AB274:AB294" si="73">+S274</f>
        <v>1445634.0845833335</v>
      </c>
      <c r="AC274" s="717"/>
      <c r="AD274" s="718"/>
      <c r="AE274" s="717"/>
      <c r="AF274" s="753">
        <f t="shared" si="62"/>
        <v>0</v>
      </c>
    </row>
    <row r="275" spans="1:32">
      <c r="A275" s="677">
        <v>261</v>
      </c>
      <c r="B275" s="379" t="s">
        <v>984</v>
      </c>
      <c r="C275" s="379" t="s">
        <v>459</v>
      </c>
      <c r="D275" s="379" t="s">
        <v>1195</v>
      </c>
      <c r="E275" s="675" t="s">
        <v>1617</v>
      </c>
      <c r="F275" s="676">
        <v>5432079.7599999998</v>
      </c>
      <c r="G275" s="676">
        <v>5432079.7599999998</v>
      </c>
      <c r="H275" s="676">
        <v>5433357.4199999999</v>
      </c>
      <c r="I275" s="676">
        <v>5467967.3399999999</v>
      </c>
      <c r="J275" s="676">
        <v>5538241.4100000001</v>
      </c>
      <c r="K275" s="676">
        <v>5543262.6600000001</v>
      </c>
      <c r="L275" s="676">
        <v>5543700.8300000001</v>
      </c>
      <c r="M275" s="676">
        <v>6305032.2699999996</v>
      </c>
      <c r="N275" s="676">
        <v>6486405.6200000001</v>
      </c>
      <c r="O275" s="676">
        <v>6930150.8300000001</v>
      </c>
      <c r="P275" s="676">
        <v>7465365.1200000001</v>
      </c>
      <c r="Q275" s="676">
        <v>7744088.04</v>
      </c>
      <c r="R275" s="676">
        <v>8015406.3799999999</v>
      </c>
      <c r="S275" s="551">
        <f t="shared" si="65"/>
        <v>6217782.8641666668</v>
      </c>
      <c r="T275" s="677"/>
      <c r="U275" s="720">
        <f>+S275</f>
        <v>6217782.8641666668</v>
      </c>
      <c r="V275" s="755"/>
      <c r="W275" s="755"/>
      <c r="X275" s="778"/>
      <c r="Y275" s="755"/>
      <c r="Z275" s="755"/>
      <c r="AA275" s="716"/>
      <c r="AB275" s="755"/>
      <c r="AC275" s="717"/>
      <c r="AD275" s="718">
        <f>+S275</f>
        <v>6217782.8641666668</v>
      </c>
      <c r="AE275" s="717"/>
      <c r="AF275" s="753">
        <f t="shared" si="62"/>
        <v>0</v>
      </c>
    </row>
    <row r="276" spans="1:32">
      <c r="A276" s="677">
        <v>262</v>
      </c>
      <c r="B276" s="379" t="s">
        <v>984</v>
      </c>
      <c r="C276" s="379" t="s">
        <v>459</v>
      </c>
      <c r="D276" s="379" t="s">
        <v>1428</v>
      </c>
      <c r="E276" s="675" t="s">
        <v>1630</v>
      </c>
      <c r="F276" s="676">
        <v>5197058.3</v>
      </c>
      <c r="G276" s="676">
        <v>5151866.49</v>
      </c>
      <c r="H276" s="676">
        <v>5106674.68</v>
      </c>
      <c r="I276" s="676">
        <v>5061482.87</v>
      </c>
      <c r="J276" s="676">
        <v>5016291.0599999996</v>
      </c>
      <c r="K276" s="676">
        <v>4971099.25</v>
      </c>
      <c r="L276" s="676">
        <v>4925907.4400000004</v>
      </c>
      <c r="M276" s="676">
        <v>4880715.63</v>
      </c>
      <c r="N276" s="676">
        <v>4835523.82</v>
      </c>
      <c r="O276" s="676">
        <v>4790332.01</v>
      </c>
      <c r="P276" s="676">
        <v>4745140.2</v>
      </c>
      <c r="Q276" s="676">
        <v>4699948.3899999997</v>
      </c>
      <c r="R276" s="676">
        <v>4654756.58</v>
      </c>
      <c r="S276" s="551">
        <f t="shared" si="65"/>
        <v>4925907.4400000004</v>
      </c>
      <c r="T276" s="677"/>
      <c r="U276" s="720">
        <f>+S276</f>
        <v>4925907.4400000004</v>
      </c>
      <c r="V276" s="755"/>
      <c r="W276" s="755"/>
      <c r="X276" s="778"/>
      <c r="Y276" s="755"/>
      <c r="Z276" s="755"/>
      <c r="AA276" s="716"/>
      <c r="AB276" s="755">
        <f>+X276</f>
        <v>0</v>
      </c>
      <c r="AC276" s="717"/>
      <c r="AD276" s="718">
        <f>+S276</f>
        <v>4925907.4400000004</v>
      </c>
      <c r="AE276" s="717"/>
      <c r="AF276" s="753">
        <f t="shared" si="62"/>
        <v>0</v>
      </c>
    </row>
    <row r="277" spans="1:32">
      <c r="A277" s="677">
        <v>263</v>
      </c>
      <c r="B277" s="379" t="s">
        <v>1009</v>
      </c>
      <c r="C277" s="379" t="s">
        <v>459</v>
      </c>
      <c r="D277" s="379" t="s">
        <v>1429</v>
      </c>
      <c r="E277" s="675" t="s">
        <v>1614</v>
      </c>
      <c r="F277" s="676">
        <v>70723.14</v>
      </c>
      <c r="G277" s="676">
        <v>62709.42</v>
      </c>
      <c r="H277" s="676">
        <v>55206.400000000001</v>
      </c>
      <c r="I277" s="676">
        <v>46707.57</v>
      </c>
      <c r="J277" s="676">
        <v>234531.38</v>
      </c>
      <c r="K277" s="676">
        <v>233174.02</v>
      </c>
      <c r="L277" s="676">
        <v>231786.92</v>
      </c>
      <c r="M277" s="676">
        <v>230684.2</v>
      </c>
      <c r="N277" s="676">
        <v>229712.1</v>
      </c>
      <c r="O277" s="676">
        <v>228723.35</v>
      </c>
      <c r="P277" s="676">
        <v>226684.72</v>
      </c>
      <c r="Q277" s="676">
        <v>224096.26</v>
      </c>
      <c r="R277" s="676">
        <v>220486.17</v>
      </c>
      <c r="S277" s="551">
        <f t="shared" si="65"/>
        <v>179135.08291666667</v>
      </c>
      <c r="T277" s="677"/>
      <c r="U277" s="716"/>
      <c r="V277" s="755"/>
      <c r="W277" s="755"/>
      <c r="X277" s="778">
        <f t="shared" si="72"/>
        <v>179135.08291666667</v>
      </c>
      <c r="Y277" s="755"/>
      <c r="Z277" s="755"/>
      <c r="AA277" s="716"/>
      <c r="AB277" s="755">
        <f>+X277</f>
        <v>179135.08291666667</v>
      </c>
      <c r="AC277" s="717"/>
      <c r="AD277" s="718"/>
      <c r="AE277" s="717"/>
      <c r="AF277" s="753">
        <f t="shared" si="62"/>
        <v>0</v>
      </c>
    </row>
    <row r="278" spans="1:32">
      <c r="A278" s="677">
        <v>264</v>
      </c>
      <c r="B278" s="379" t="s">
        <v>1009</v>
      </c>
      <c r="C278" s="379" t="s">
        <v>459</v>
      </c>
      <c r="D278" s="379" t="s">
        <v>1443</v>
      </c>
      <c r="E278" s="675" t="s">
        <v>1617</v>
      </c>
      <c r="F278" s="676">
        <v>0</v>
      </c>
      <c r="G278" s="676">
        <v>0</v>
      </c>
      <c r="H278" s="676">
        <v>0</v>
      </c>
      <c r="I278" s="676">
        <v>0</v>
      </c>
      <c r="J278" s="676">
        <v>567072.48</v>
      </c>
      <c r="K278" s="676">
        <v>550870.41</v>
      </c>
      <c r="L278" s="676">
        <v>534668.34</v>
      </c>
      <c r="M278" s="676">
        <v>518466.27</v>
      </c>
      <c r="N278" s="676">
        <v>502264.2</v>
      </c>
      <c r="O278" s="676">
        <v>486062.13</v>
      </c>
      <c r="P278" s="676">
        <v>469860.06</v>
      </c>
      <c r="Q278" s="676">
        <v>453657.99</v>
      </c>
      <c r="R278" s="676">
        <v>437455.92</v>
      </c>
      <c r="S278" s="551">
        <f t="shared" si="65"/>
        <v>358470.82</v>
      </c>
      <c r="T278" s="677"/>
      <c r="U278" s="716"/>
      <c r="V278" s="755"/>
      <c r="W278" s="755"/>
      <c r="X278" s="778">
        <f>+S278</f>
        <v>358470.82</v>
      </c>
      <c r="Y278" s="755"/>
      <c r="Z278" s="755"/>
      <c r="AA278" s="716"/>
      <c r="AB278" s="755">
        <f>+S278</f>
        <v>358470.82</v>
      </c>
      <c r="AC278" s="717"/>
      <c r="AD278" s="718"/>
      <c r="AE278" s="717"/>
      <c r="AF278" s="753"/>
    </row>
    <row r="279" spans="1:32">
      <c r="A279" s="677">
        <v>265</v>
      </c>
      <c r="B279" s="379" t="s">
        <v>984</v>
      </c>
      <c r="C279" s="379" t="s">
        <v>459</v>
      </c>
      <c r="D279" s="379" t="s">
        <v>1444</v>
      </c>
      <c r="E279" s="675" t="s">
        <v>1912</v>
      </c>
      <c r="F279" s="676">
        <v>0</v>
      </c>
      <c r="G279" s="676">
        <v>0</v>
      </c>
      <c r="H279" s="676">
        <v>0</v>
      </c>
      <c r="I279" s="676">
        <v>0</v>
      </c>
      <c r="J279" s="676">
        <v>0</v>
      </c>
      <c r="K279" s="676">
        <v>0</v>
      </c>
      <c r="L279" s="676">
        <v>0</v>
      </c>
      <c r="M279" s="676">
        <v>0</v>
      </c>
      <c r="N279" s="676">
        <v>0</v>
      </c>
      <c r="O279" s="676">
        <v>0</v>
      </c>
      <c r="P279" s="676">
        <v>0</v>
      </c>
      <c r="Q279" s="676">
        <v>0</v>
      </c>
      <c r="R279" s="676">
        <v>277480.27</v>
      </c>
      <c r="S279" s="551">
        <f t="shared" si="65"/>
        <v>11561.677916666667</v>
      </c>
      <c r="T279" s="677"/>
      <c r="U279" s="716">
        <f>+S279</f>
        <v>11561.677916666667</v>
      </c>
      <c r="V279" s="755"/>
      <c r="W279" s="755"/>
      <c r="X279" s="778"/>
      <c r="Y279" s="755"/>
      <c r="Z279" s="755"/>
      <c r="AA279" s="716"/>
      <c r="AB279" s="755"/>
      <c r="AC279" s="717"/>
      <c r="AD279" s="718">
        <f>+S279</f>
        <v>11561.677916666667</v>
      </c>
      <c r="AE279" s="717"/>
      <c r="AF279" s="753"/>
    </row>
    <row r="280" spans="1:32">
      <c r="A280" s="677">
        <v>266</v>
      </c>
      <c r="B280" s="379" t="s">
        <v>1885</v>
      </c>
      <c r="C280" s="379" t="s">
        <v>502</v>
      </c>
      <c r="D280" s="379" t="s">
        <v>1892</v>
      </c>
      <c r="E280" s="675" t="s">
        <v>1620</v>
      </c>
      <c r="F280" s="676">
        <v>0</v>
      </c>
      <c r="G280" s="676">
        <v>641534.98</v>
      </c>
      <c r="H280" s="676">
        <v>1111122.68</v>
      </c>
      <c r="I280" s="676">
        <v>2014787.43</v>
      </c>
      <c r="J280" s="676">
        <v>2241907.98</v>
      </c>
      <c r="K280" s="676">
        <v>1798183.13</v>
      </c>
      <c r="L280" s="676">
        <v>1844315.2</v>
      </c>
      <c r="M280" s="676">
        <v>1839483.45</v>
      </c>
      <c r="N280" s="676">
        <v>1589409.23</v>
      </c>
      <c r="O280" s="676">
        <v>1673282.96</v>
      </c>
      <c r="P280" s="676">
        <v>2483085.9500000002</v>
      </c>
      <c r="Q280" s="676">
        <v>2304319.4700000002</v>
      </c>
      <c r="R280" s="676">
        <v>1784571.53</v>
      </c>
      <c r="S280" s="551">
        <f t="shared" si="65"/>
        <v>1702809.8520833331</v>
      </c>
      <c r="T280" s="677"/>
      <c r="U280" s="716"/>
      <c r="V280" s="755">
        <f>+S280</f>
        <v>1702809.8520833331</v>
      </c>
      <c r="W280" s="755"/>
      <c r="X280" s="778"/>
      <c r="Y280" s="755"/>
      <c r="Z280" s="755"/>
      <c r="AA280" s="716"/>
      <c r="AB280" s="755"/>
      <c r="AC280" s="717"/>
      <c r="AD280" s="718">
        <f t="shared" ref="AD280:AD281" si="74">+S280</f>
        <v>1702809.8520833331</v>
      </c>
      <c r="AE280" s="717"/>
      <c r="AF280" s="753"/>
    </row>
    <row r="281" spans="1:32">
      <c r="A281" s="677">
        <v>267</v>
      </c>
      <c r="B281" s="379" t="s">
        <v>1885</v>
      </c>
      <c r="C281" s="379" t="s">
        <v>502</v>
      </c>
      <c r="D281" s="379" t="s">
        <v>1894</v>
      </c>
      <c r="E281" s="675" t="s">
        <v>1620</v>
      </c>
      <c r="F281" s="676">
        <v>0</v>
      </c>
      <c r="G281" s="676">
        <v>1598763.47</v>
      </c>
      <c r="H281" s="676">
        <v>4137153.52</v>
      </c>
      <c r="I281" s="676">
        <v>4682162.58</v>
      </c>
      <c r="J281" s="676">
        <v>3891731.19</v>
      </c>
      <c r="K281" s="676">
        <v>3688842.38</v>
      </c>
      <c r="L281" s="676">
        <v>3465330.59</v>
      </c>
      <c r="M281" s="676">
        <v>3444803.79</v>
      </c>
      <c r="N281" s="676">
        <v>3048805.93</v>
      </c>
      <c r="O281" s="676">
        <v>3133600.3</v>
      </c>
      <c r="P281" s="676">
        <v>3430358.19</v>
      </c>
      <c r="Q281" s="676">
        <v>3793768.43</v>
      </c>
      <c r="R281" s="676">
        <v>2992929.3</v>
      </c>
      <c r="S281" s="551">
        <f t="shared" si="65"/>
        <v>3317648.7516666665</v>
      </c>
      <c r="T281" s="677"/>
      <c r="U281" s="716"/>
      <c r="V281" s="755">
        <f>+S281</f>
        <v>3317648.7516666665</v>
      </c>
      <c r="W281" s="755"/>
      <c r="X281" s="778"/>
      <c r="Y281" s="755"/>
      <c r="Z281" s="755"/>
      <c r="AA281" s="716"/>
      <c r="AB281" s="755"/>
      <c r="AC281" s="717"/>
      <c r="AD281" s="718">
        <f t="shared" si="74"/>
        <v>3317648.7516666665</v>
      </c>
      <c r="AE281" s="717"/>
      <c r="AF281" s="753"/>
    </row>
    <row r="282" spans="1:32">
      <c r="A282" s="677">
        <v>268</v>
      </c>
      <c r="B282" s="379" t="s">
        <v>984</v>
      </c>
      <c r="C282" s="379" t="s">
        <v>502</v>
      </c>
      <c r="D282" s="379" t="s">
        <v>1196</v>
      </c>
      <c r="E282" s="675" t="s">
        <v>1622</v>
      </c>
      <c r="F282" s="676">
        <v>0</v>
      </c>
      <c r="G282" s="676">
        <v>0</v>
      </c>
      <c r="H282" s="676">
        <v>0</v>
      </c>
      <c r="I282" s="676">
        <v>0</v>
      </c>
      <c r="J282" s="676">
        <v>0</v>
      </c>
      <c r="K282" s="676">
        <v>0</v>
      </c>
      <c r="L282" s="676">
        <v>0</v>
      </c>
      <c r="M282" s="676">
        <v>0</v>
      </c>
      <c r="N282" s="676">
        <v>0</v>
      </c>
      <c r="O282" s="676">
        <v>0</v>
      </c>
      <c r="P282" s="676">
        <v>0</v>
      </c>
      <c r="Q282" s="676">
        <v>0</v>
      </c>
      <c r="R282" s="676">
        <v>0</v>
      </c>
      <c r="S282" s="551">
        <f t="shared" si="65"/>
        <v>0</v>
      </c>
      <c r="T282" s="677"/>
      <c r="U282" s="716"/>
      <c r="V282" s="755"/>
      <c r="W282" s="755"/>
      <c r="X282" s="778">
        <f t="shared" si="72"/>
        <v>0</v>
      </c>
      <c r="Y282" s="755"/>
      <c r="Z282" s="755"/>
      <c r="AA282" s="716"/>
      <c r="AB282" s="755">
        <f t="shared" ref="AB282:AB291" si="75">+X282</f>
        <v>0</v>
      </c>
      <c r="AC282" s="717"/>
      <c r="AD282" s="718"/>
      <c r="AE282" s="717"/>
      <c r="AF282" s="753">
        <f t="shared" si="62"/>
        <v>0</v>
      </c>
    </row>
    <row r="283" spans="1:32">
      <c r="A283" s="677">
        <v>269</v>
      </c>
      <c r="B283" s="379" t="s">
        <v>984</v>
      </c>
      <c r="C283" s="379" t="s">
        <v>502</v>
      </c>
      <c r="D283" s="379" t="s">
        <v>1197</v>
      </c>
      <c r="E283" s="675" t="s">
        <v>1623</v>
      </c>
      <c r="F283" s="676">
        <v>0</v>
      </c>
      <c r="G283" s="676">
        <v>0</v>
      </c>
      <c r="H283" s="676">
        <v>0</v>
      </c>
      <c r="I283" s="676">
        <v>0</v>
      </c>
      <c r="J283" s="676">
        <v>0</v>
      </c>
      <c r="K283" s="676">
        <v>0</v>
      </c>
      <c r="L283" s="676">
        <v>0</v>
      </c>
      <c r="M283" s="676">
        <v>0</v>
      </c>
      <c r="N283" s="676">
        <v>0</v>
      </c>
      <c r="O283" s="676">
        <v>0</v>
      </c>
      <c r="P283" s="676">
        <v>0</v>
      </c>
      <c r="Q283" s="676">
        <v>0</v>
      </c>
      <c r="R283" s="676">
        <v>0</v>
      </c>
      <c r="S283" s="551">
        <f t="shared" si="65"/>
        <v>0</v>
      </c>
      <c r="T283" s="677"/>
      <c r="U283" s="716"/>
      <c r="V283" s="755"/>
      <c r="W283" s="755"/>
      <c r="X283" s="778">
        <f t="shared" si="72"/>
        <v>0</v>
      </c>
      <c r="Y283" s="755"/>
      <c r="Z283" s="755"/>
      <c r="AA283" s="716"/>
      <c r="AB283" s="755">
        <f t="shared" si="75"/>
        <v>0</v>
      </c>
      <c r="AC283" s="717"/>
      <c r="AD283" s="718"/>
      <c r="AE283" s="717"/>
      <c r="AF283" s="753">
        <f t="shared" si="62"/>
        <v>0</v>
      </c>
    </row>
    <row r="284" spans="1:32">
      <c r="A284" s="677">
        <v>270</v>
      </c>
      <c r="B284" s="379" t="s">
        <v>984</v>
      </c>
      <c r="C284" s="379" t="s">
        <v>502</v>
      </c>
      <c r="D284" s="379" t="s">
        <v>1189</v>
      </c>
      <c r="E284" s="675" t="s">
        <v>1624</v>
      </c>
      <c r="F284" s="676">
        <v>0</v>
      </c>
      <c r="G284" s="676">
        <v>0</v>
      </c>
      <c r="H284" s="676">
        <v>0</v>
      </c>
      <c r="I284" s="676">
        <v>0</v>
      </c>
      <c r="J284" s="676">
        <v>0</v>
      </c>
      <c r="K284" s="676">
        <v>0</v>
      </c>
      <c r="L284" s="676">
        <v>0</v>
      </c>
      <c r="M284" s="676">
        <v>0</v>
      </c>
      <c r="N284" s="676">
        <v>0</v>
      </c>
      <c r="O284" s="676">
        <v>0</v>
      </c>
      <c r="P284" s="676">
        <v>0</v>
      </c>
      <c r="Q284" s="676">
        <v>0</v>
      </c>
      <c r="R284" s="676">
        <v>0</v>
      </c>
      <c r="S284" s="551">
        <f t="shared" si="65"/>
        <v>0</v>
      </c>
      <c r="T284" s="677"/>
      <c r="U284" s="716"/>
      <c r="V284" s="755"/>
      <c r="W284" s="755"/>
      <c r="X284" s="778">
        <f t="shared" si="72"/>
        <v>0</v>
      </c>
      <c r="Y284" s="755"/>
      <c r="Z284" s="755"/>
      <c r="AA284" s="716"/>
      <c r="AB284" s="755">
        <f t="shared" si="75"/>
        <v>0</v>
      </c>
      <c r="AC284" s="717"/>
      <c r="AD284" s="718"/>
      <c r="AE284" s="717"/>
      <c r="AF284" s="753">
        <f t="shared" si="62"/>
        <v>0</v>
      </c>
    </row>
    <row r="285" spans="1:32">
      <c r="A285" s="677">
        <v>271</v>
      </c>
      <c r="B285" s="379" t="s">
        <v>984</v>
      </c>
      <c r="C285" s="379" t="s">
        <v>502</v>
      </c>
      <c r="D285" s="379" t="s">
        <v>1191</v>
      </c>
      <c r="E285" s="675" t="s">
        <v>1625</v>
      </c>
      <c r="F285" s="676">
        <v>0</v>
      </c>
      <c r="G285" s="676">
        <v>0</v>
      </c>
      <c r="H285" s="676">
        <v>0</v>
      </c>
      <c r="I285" s="676">
        <v>0</v>
      </c>
      <c r="J285" s="676">
        <v>0</v>
      </c>
      <c r="K285" s="676">
        <v>0</v>
      </c>
      <c r="L285" s="676">
        <v>0</v>
      </c>
      <c r="M285" s="676">
        <v>0</v>
      </c>
      <c r="N285" s="676">
        <v>0</v>
      </c>
      <c r="O285" s="676">
        <v>0</v>
      </c>
      <c r="P285" s="676">
        <v>0</v>
      </c>
      <c r="Q285" s="676">
        <v>0</v>
      </c>
      <c r="R285" s="676">
        <v>0</v>
      </c>
      <c r="S285" s="551">
        <f t="shared" si="65"/>
        <v>0</v>
      </c>
      <c r="T285" s="677"/>
      <c r="U285" s="716"/>
      <c r="V285" s="755"/>
      <c r="W285" s="755"/>
      <c r="X285" s="778">
        <f t="shared" si="72"/>
        <v>0</v>
      </c>
      <c r="Y285" s="755"/>
      <c r="Z285" s="755"/>
      <c r="AA285" s="716"/>
      <c r="AB285" s="755">
        <f t="shared" si="75"/>
        <v>0</v>
      </c>
      <c r="AC285" s="717"/>
      <c r="AD285" s="718"/>
      <c r="AE285" s="717"/>
      <c r="AF285" s="753">
        <f t="shared" si="62"/>
        <v>0</v>
      </c>
    </row>
    <row r="286" spans="1:32">
      <c r="A286" s="677">
        <v>272</v>
      </c>
      <c r="B286" s="379" t="s">
        <v>1009</v>
      </c>
      <c r="C286" s="379" t="s">
        <v>502</v>
      </c>
      <c r="D286" s="379" t="s">
        <v>1198</v>
      </c>
      <c r="E286" s="675" t="s">
        <v>1618</v>
      </c>
      <c r="F286" s="676">
        <v>643838.16</v>
      </c>
      <c r="G286" s="676">
        <v>984986.82</v>
      </c>
      <c r="H286" s="676">
        <v>329914.84000000003</v>
      </c>
      <c r="I286" s="676">
        <v>-368987.36</v>
      </c>
      <c r="J286" s="676">
        <v>-123533.88</v>
      </c>
      <c r="K286" s="676">
        <v>166169.65</v>
      </c>
      <c r="L286" s="676">
        <v>207631.55</v>
      </c>
      <c r="M286" s="676">
        <v>208913.58</v>
      </c>
      <c r="N286" s="676">
        <v>210203.51999999999</v>
      </c>
      <c r="O286" s="676">
        <v>205820.39</v>
      </c>
      <c r="P286" s="676">
        <v>-238349.44</v>
      </c>
      <c r="Q286" s="676">
        <v>-513985.37</v>
      </c>
      <c r="R286" s="676">
        <v>-35331.469999999899</v>
      </c>
      <c r="S286" s="551">
        <f t="shared" si="65"/>
        <v>114419.80375000001</v>
      </c>
      <c r="T286" s="677"/>
      <c r="U286" s="716"/>
      <c r="V286" s="755"/>
      <c r="W286" s="755"/>
      <c r="X286" s="778">
        <f t="shared" si="72"/>
        <v>114419.80375000001</v>
      </c>
      <c r="Y286" s="755"/>
      <c r="Z286" s="755"/>
      <c r="AA286" s="716"/>
      <c r="AB286" s="755">
        <f t="shared" si="75"/>
        <v>114419.80375000001</v>
      </c>
      <c r="AC286" s="717"/>
      <c r="AD286" s="718"/>
      <c r="AE286" s="717"/>
      <c r="AF286" s="753">
        <f t="shared" si="62"/>
        <v>0</v>
      </c>
    </row>
    <row r="287" spans="1:32">
      <c r="A287" s="677">
        <v>273</v>
      </c>
      <c r="B287" s="379" t="s">
        <v>1009</v>
      </c>
      <c r="C287" s="379" t="s">
        <v>502</v>
      </c>
      <c r="D287" s="379" t="s">
        <v>1199</v>
      </c>
      <c r="E287" s="675" t="s">
        <v>1619</v>
      </c>
      <c r="F287" s="676">
        <v>-228902.82</v>
      </c>
      <c r="G287" s="676">
        <v>-1130641.23</v>
      </c>
      <c r="H287" s="676">
        <v>-1158532.98</v>
      </c>
      <c r="I287" s="676">
        <v>-1532863.72</v>
      </c>
      <c r="J287" s="676">
        <v>-2118355.13</v>
      </c>
      <c r="K287" s="676">
        <v>-2008163.65</v>
      </c>
      <c r="L287" s="676">
        <v>-2142432.1</v>
      </c>
      <c r="M287" s="676">
        <v>-2174164.87</v>
      </c>
      <c r="N287" s="676">
        <v>-1947628.44</v>
      </c>
      <c r="O287" s="676">
        <v>-2078140.8</v>
      </c>
      <c r="P287" s="676">
        <v>-2580194.39</v>
      </c>
      <c r="Q287" s="676">
        <v>-360682.3</v>
      </c>
      <c r="R287" s="676">
        <v>-590581.18999999994</v>
      </c>
      <c r="S287" s="551">
        <f t="shared" si="65"/>
        <v>-1636795.1345833333</v>
      </c>
      <c r="T287" s="677"/>
      <c r="U287" s="716"/>
      <c r="V287" s="755"/>
      <c r="W287" s="755"/>
      <c r="X287" s="778">
        <f t="shared" si="72"/>
        <v>-1636795.1345833333</v>
      </c>
      <c r="Y287" s="755"/>
      <c r="Z287" s="755"/>
      <c r="AA287" s="716"/>
      <c r="AB287" s="755">
        <f t="shared" si="75"/>
        <v>-1636795.1345833333</v>
      </c>
      <c r="AC287" s="717"/>
      <c r="AD287" s="718"/>
      <c r="AE287" s="717"/>
      <c r="AF287" s="753">
        <f t="shared" si="62"/>
        <v>0</v>
      </c>
    </row>
    <row r="288" spans="1:32">
      <c r="A288" s="677">
        <v>274</v>
      </c>
      <c r="B288" s="379" t="s">
        <v>1009</v>
      </c>
      <c r="C288" s="379" t="s">
        <v>502</v>
      </c>
      <c r="D288" s="379" t="s">
        <v>1200</v>
      </c>
      <c r="E288" s="675" t="s">
        <v>1620</v>
      </c>
      <c r="F288" s="676">
        <v>444461.68</v>
      </c>
      <c r="G288" s="676">
        <v>0</v>
      </c>
      <c r="H288" s="676">
        <v>0</v>
      </c>
      <c r="I288" s="676">
        <v>0</v>
      </c>
      <c r="J288" s="676">
        <v>0</v>
      </c>
      <c r="K288" s="676">
        <v>0</v>
      </c>
      <c r="L288" s="676">
        <v>0</v>
      </c>
      <c r="M288" s="676">
        <v>0</v>
      </c>
      <c r="N288" s="676">
        <v>0</v>
      </c>
      <c r="O288" s="676">
        <v>0</v>
      </c>
      <c r="P288" s="676">
        <v>0</v>
      </c>
      <c r="Q288" s="676">
        <v>0</v>
      </c>
      <c r="R288" s="676">
        <v>0</v>
      </c>
      <c r="S288" s="551">
        <f t="shared" si="65"/>
        <v>18519.236666666668</v>
      </c>
      <c r="T288" s="677"/>
      <c r="U288" s="716"/>
      <c r="V288" s="755">
        <f>+S288</f>
        <v>18519.236666666668</v>
      </c>
      <c r="W288" s="755"/>
      <c r="X288" s="778"/>
      <c r="Y288" s="755"/>
      <c r="Z288" s="755"/>
      <c r="AA288" s="716"/>
      <c r="AB288" s="755">
        <f t="shared" si="75"/>
        <v>0</v>
      </c>
      <c r="AC288" s="717"/>
      <c r="AD288" s="718">
        <f>+S288</f>
        <v>18519.236666666668</v>
      </c>
      <c r="AE288" s="717"/>
      <c r="AF288" s="753">
        <f t="shared" si="62"/>
        <v>0</v>
      </c>
    </row>
    <row r="289" spans="1:32">
      <c r="A289" s="677">
        <v>275</v>
      </c>
      <c r="B289" s="379" t="s">
        <v>1009</v>
      </c>
      <c r="C289" s="379" t="s">
        <v>502</v>
      </c>
      <c r="D289" s="379" t="s">
        <v>1201</v>
      </c>
      <c r="E289" s="675" t="s">
        <v>1621</v>
      </c>
      <c r="F289" s="676">
        <v>-859397.02</v>
      </c>
      <c r="G289" s="676">
        <v>-647935</v>
      </c>
      <c r="H289" s="676">
        <v>-449843.62</v>
      </c>
      <c r="I289" s="676">
        <v>-224713.82</v>
      </c>
      <c r="J289" s="676">
        <v>-72025.13</v>
      </c>
      <c r="K289" s="676">
        <v>7716.5999999999904</v>
      </c>
      <c r="L289" s="676">
        <v>62336.9</v>
      </c>
      <c r="M289" s="676">
        <v>102130.51</v>
      </c>
      <c r="N289" s="676">
        <v>135575.28</v>
      </c>
      <c r="O289" s="676">
        <v>168612.3</v>
      </c>
      <c r="P289" s="676">
        <v>247812.78</v>
      </c>
      <c r="Q289" s="676">
        <v>-1598765.05</v>
      </c>
      <c r="R289" s="676">
        <v>-1349763.52</v>
      </c>
      <c r="S289" s="551">
        <f t="shared" si="65"/>
        <v>-281139.87666666665</v>
      </c>
      <c r="T289" s="677"/>
      <c r="U289" s="716"/>
      <c r="V289" s="755"/>
      <c r="W289" s="755"/>
      <c r="X289" s="778">
        <f t="shared" si="72"/>
        <v>-281139.87666666665</v>
      </c>
      <c r="Y289" s="755"/>
      <c r="Z289" s="755"/>
      <c r="AA289" s="716"/>
      <c r="AB289" s="755">
        <f t="shared" si="75"/>
        <v>-281139.87666666665</v>
      </c>
      <c r="AC289" s="717"/>
      <c r="AD289" s="718"/>
      <c r="AE289" s="717"/>
      <c r="AF289" s="753">
        <f t="shared" si="62"/>
        <v>0</v>
      </c>
    </row>
    <row r="290" spans="1:32">
      <c r="A290" s="677">
        <v>276</v>
      </c>
      <c r="B290" s="379" t="s">
        <v>984</v>
      </c>
      <c r="C290" s="379" t="s">
        <v>502</v>
      </c>
      <c r="D290" s="379" t="s">
        <v>1913</v>
      </c>
      <c r="E290" s="675" t="s">
        <v>1914</v>
      </c>
      <c r="F290" s="676">
        <v>0</v>
      </c>
      <c r="G290" s="676">
        <v>152054.43</v>
      </c>
      <c r="H290" s="676">
        <v>167339.07999999999</v>
      </c>
      <c r="I290" s="676">
        <v>111777.47</v>
      </c>
      <c r="J290" s="676">
        <v>72006.16</v>
      </c>
      <c r="K290" s="676">
        <v>36094.269999999997</v>
      </c>
      <c r="L290" s="676">
        <v>28148.45</v>
      </c>
      <c r="M290" s="676">
        <v>23637.33</v>
      </c>
      <c r="N290" s="676">
        <v>12440.41</v>
      </c>
      <c r="O290" s="676">
        <v>30425.15</v>
      </c>
      <c r="P290" s="676">
        <v>87645.1</v>
      </c>
      <c r="Q290" s="676">
        <v>169113.25</v>
      </c>
      <c r="R290" s="676">
        <v>191104.65</v>
      </c>
      <c r="S290" s="551">
        <f t="shared" si="65"/>
        <v>82186.118749999994</v>
      </c>
      <c r="T290" s="677"/>
      <c r="U290" s="716"/>
      <c r="V290" s="755"/>
      <c r="W290" s="755"/>
      <c r="X290" s="778">
        <f t="shared" si="72"/>
        <v>82186.118749999994</v>
      </c>
      <c r="Y290" s="755"/>
      <c r="Z290" s="755"/>
      <c r="AA290" s="716"/>
      <c r="AB290" s="755">
        <f t="shared" si="75"/>
        <v>82186.118749999994</v>
      </c>
      <c r="AC290" s="717"/>
      <c r="AD290" s="718"/>
      <c r="AE290" s="717"/>
      <c r="AF290" s="753">
        <f t="shared" si="62"/>
        <v>0</v>
      </c>
    </row>
    <row r="291" spans="1:32">
      <c r="A291" s="677">
        <v>277</v>
      </c>
      <c r="B291" s="379" t="s">
        <v>984</v>
      </c>
      <c r="C291" s="379" t="s">
        <v>502</v>
      </c>
      <c r="D291" s="379" t="s">
        <v>1194</v>
      </c>
      <c r="E291" s="675" t="s">
        <v>1626</v>
      </c>
      <c r="F291" s="676">
        <v>0</v>
      </c>
      <c r="G291" s="676">
        <v>0</v>
      </c>
      <c r="H291" s="676">
        <v>0</v>
      </c>
      <c r="I291" s="676">
        <v>0</v>
      </c>
      <c r="J291" s="676">
        <v>0</v>
      </c>
      <c r="K291" s="676">
        <v>0</v>
      </c>
      <c r="L291" s="676">
        <v>0</v>
      </c>
      <c r="M291" s="676">
        <v>0</v>
      </c>
      <c r="N291" s="676">
        <v>0</v>
      </c>
      <c r="O291" s="676">
        <v>0</v>
      </c>
      <c r="P291" s="676">
        <v>0</v>
      </c>
      <c r="Q291" s="676">
        <v>0</v>
      </c>
      <c r="R291" s="676">
        <v>0</v>
      </c>
      <c r="S291" s="551">
        <f t="shared" si="65"/>
        <v>0</v>
      </c>
      <c r="T291" s="677"/>
      <c r="U291" s="716"/>
      <c r="V291" s="755"/>
      <c r="W291" s="755"/>
      <c r="X291" s="778">
        <f t="shared" si="72"/>
        <v>0</v>
      </c>
      <c r="Y291" s="755"/>
      <c r="Z291" s="755"/>
      <c r="AA291" s="716"/>
      <c r="AB291" s="755">
        <f t="shared" si="75"/>
        <v>0</v>
      </c>
      <c r="AC291" s="717"/>
      <c r="AD291" s="718"/>
      <c r="AE291" s="717"/>
      <c r="AF291" s="753">
        <f t="shared" si="62"/>
        <v>0</v>
      </c>
    </row>
    <row r="292" spans="1:32">
      <c r="A292" s="677">
        <v>278</v>
      </c>
      <c r="B292" s="379" t="s">
        <v>984</v>
      </c>
      <c r="C292" s="379" t="s">
        <v>502</v>
      </c>
      <c r="D292" s="379" t="s">
        <v>1195</v>
      </c>
      <c r="E292" s="675" t="s">
        <v>1627</v>
      </c>
      <c r="F292" s="676">
        <v>4075395.82</v>
      </c>
      <c r="G292" s="676">
        <v>0</v>
      </c>
      <c r="H292" s="676">
        <v>0</v>
      </c>
      <c r="I292" s="676">
        <v>0</v>
      </c>
      <c r="J292" s="676">
        <v>0</v>
      </c>
      <c r="K292" s="676">
        <v>0</v>
      </c>
      <c r="L292" s="676">
        <v>0</v>
      </c>
      <c r="M292" s="676">
        <v>0</v>
      </c>
      <c r="N292" s="676">
        <v>0</v>
      </c>
      <c r="O292" s="676">
        <v>0</v>
      </c>
      <c r="P292" s="676">
        <v>0</v>
      </c>
      <c r="Q292" s="676">
        <v>0</v>
      </c>
      <c r="R292" s="676">
        <v>0</v>
      </c>
      <c r="S292" s="551">
        <f t="shared" si="65"/>
        <v>169808.15916666665</v>
      </c>
      <c r="T292" s="677"/>
      <c r="U292" s="716"/>
      <c r="V292" s="755">
        <f>+S292</f>
        <v>169808.15916666665</v>
      </c>
      <c r="W292" s="755"/>
      <c r="X292" s="778"/>
      <c r="Y292" s="755"/>
      <c r="Z292" s="755"/>
      <c r="AA292" s="716"/>
      <c r="AB292" s="755"/>
      <c r="AC292" s="717"/>
      <c r="AD292" s="718">
        <f>+S292</f>
        <v>169808.15916666665</v>
      </c>
      <c r="AE292" s="717"/>
      <c r="AF292" s="753">
        <f t="shared" si="62"/>
        <v>0</v>
      </c>
    </row>
    <row r="293" spans="1:32">
      <c r="A293" s="677">
        <v>279</v>
      </c>
      <c r="B293" s="379" t="s">
        <v>984</v>
      </c>
      <c r="C293" s="379" t="s">
        <v>502</v>
      </c>
      <c r="D293" s="379" t="s">
        <v>1429</v>
      </c>
      <c r="E293" s="675" t="s">
        <v>1628</v>
      </c>
      <c r="F293" s="676">
        <v>-5089098.99</v>
      </c>
      <c r="G293" s="676">
        <v>-4124640.33</v>
      </c>
      <c r="H293" s="676">
        <v>-3089840.52</v>
      </c>
      <c r="I293" s="676">
        <v>-1945226.2</v>
      </c>
      <c r="J293" s="676">
        <v>-1296286.46</v>
      </c>
      <c r="K293" s="676">
        <v>-902155.4</v>
      </c>
      <c r="L293" s="676">
        <v>-660483.6</v>
      </c>
      <c r="M293" s="676">
        <v>-453451.97</v>
      </c>
      <c r="N293" s="676">
        <v>-263237.06</v>
      </c>
      <c r="O293" s="676">
        <v>-83052.119999999806</v>
      </c>
      <c r="P293" s="676">
        <v>346885.78</v>
      </c>
      <c r="Q293" s="676">
        <v>1797161.5</v>
      </c>
      <c r="R293" s="676">
        <v>1618895.22</v>
      </c>
      <c r="S293" s="551">
        <f t="shared" ref="S293:S297" si="76">((F293+R293)+((G293+H293+I293+J293+K293+L293+M293+N293+O293+P293+Q293)*2))/24</f>
        <v>-1034119.0220833332</v>
      </c>
      <c r="T293" s="677"/>
      <c r="U293" s="716"/>
      <c r="V293" s="755"/>
      <c r="W293" s="755"/>
      <c r="X293" s="778">
        <f>+S293</f>
        <v>-1034119.0220833332</v>
      </c>
      <c r="Y293" s="755"/>
      <c r="Z293" s="755"/>
      <c r="AA293" s="716"/>
      <c r="AB293" s="755">
        <f t="shared" si="73"/>
        <v>-1034119.0220833332</v>
      </c>
      <c r="AC293" s="717"/>
      <c r="AD293" s="718"/>
      <c r="AE293" s="717"/>
      <c r="AF293" s="753">
        <f t="shared" si="62"/>
        <v>0</v>
      </c>
    </row>
    <row r="294" spans="1:32">
      <c r="A294" s="677">
        <v>280</v>
      </c>
      <c r="B294" s="379" t="s">
        <v>981</v>
      </c>
      <c r="C294" s="379" t="s">
        <v>503</v>
      </c>
      <c r="D294" s="379" t="s">
        <v>463</v>
      </c>
      <c r="E294" s="675" t="s">
        <v>1629</v>
      </c>
      <c r="F294" s="676">
        <v>4405213</v>
      </c>
      <c r="G294" s="676">
        <v>4405213</v>
      </c>
      <c r="H294" s="676">
        <v>4405213</v>
      </c>
      <c r="I294" s="676">
        <v>4405213</v>
      </c>
      <c r="J294" s="676">
        <v>4405213</v>
      </c>
      <c r="K294" s="676">
        <v>4405213</v>
      </c>
      <c r="L294" s="676">
        <v>4405213</v>
      </c>
      <c r="M294" s="676">
        <v>4405213</v>
      </c>
      <c r="N294" s="676">
        <v>4405213</v>
      </c>
      <c r="O294" s="676">
        <v>4405213</v>
      </c>
      <c r="P294" s="676">
        <v>4405213</v>
      </c>
      <c r="Q294" s="676">
        <v>4405213</v>
      </c>
      <c r="R294" s="676">
        <v>5114217</v>
      </c>
      <c r="S294" s="551">
        <f t="shared" si="76"/>
        <v>4434754.833333333</v>
      </c>
      <c r="T294" s="677"/>
      <c r="U294" s="716"/>
      <c r="V294" s="755"/>
      <c r="W294" s="755"/>
      <c r="X294" s="778">
        <f>+S294</f>
        <v>4434754.833333333</v>
      </c>
      <c r="Y294" s="755"/>
      <c r="Z294" s="755"/>
      <c r="AA294" s="716"/>
      <c r="AB294" s="755">
        <f t="shared" si="73"/>
        <v>4434754.833333333</v>
      </c>
      <c r="AC294" s="717"/>
      <c r="AD294" s="718"/>
      <c r="AE294" s="717"/>
      <c r="AF294" s="753">
        <f t="shared" si="62"/>
        <v>0</v>
      </c>
    </row>
    <row r="295" spans="1:32">
      <c r="A295" s="677">
        <v>281</v>
      </c>
      <c r="B295" s="379" t="s">
        <v>984</v>
      </c>
      <c r="C295" s="379" t="s">
        <v>502</v>
      </c>
      <c r="D295" s="379" t="s">
        <v>1202</v>
      </c>
      <c r="E295" s="675" t="s">
        <v>1915</v>
      </c>
      <c r="F295" s="676">
        <v>1013703.17</v>
      </c>
      <c r="G295" s="676">
        <v>1862122.14</v>
      </c>
      <c r="H295" s="676">
        <v>-1875742.37</v>
      </c>
      <c r="I295" s="676">
        <v>-3284598.31</v>
      </c>
      <c r="J295" s="676">
        <v>-2886883.79</v>
      </c>
      <c r="K295" s="676">
        <v>-2954889.15</v>
      </c>
      <c r="L295" s="676">
        <v>-2925317.55</v>
      </c>
      <c r="M295" s="676">
        <v>-3111066.99</v>
      </c>
      <c r="N295" s="676">
        <v>-2851899.68</v>
      </c>
      <c r="O295" s="676">
        <v>-3210940.66</v>
      </c>
      <c r="P295" s="676">
        <v>-4163630.2</v>
      </c>
      <c r="Q295" s="676">
        <v>-5420059.8200000003</v>
      </c>
      <c r="R295" s="676">
        <v>-4410222.42</v>
      </c>
      <c r="S295" s="551">
        <f t="shared" si="76"/>
        <v>-2710097.1670833337</v>
      </c>
      <c r="T295" s="677"/>
      <c r="U295" s="716"/>
      <c r="V295" s="755"/>
      <c r="W295" s="755"/>
      <c r="X295" s="778">
        <f>+S295</f>
        <v>-2710097.1670833337</v>
      </c>
      <c r="Y295" s="755"/>
      <c r="Z295" s="755"/>
      <c r="AA295" s="716"/>
      <c r="AB295" s="755">
        <f>+S295</f>
        <v>-2710097.1670833337</v>
      </c>
      <c r="AC295" s="717"/>
      <c r="AD295" s="718"/>
      <c r="AE295" s="717"/>
      <c r="AF295" s="753"/>
    </row>
    <row r="296" spans="1:32">
      <c r="A296" s="677">
        <v>282</v>
      </c>
      <c r="B296" s="379" t="s">
        <v>984</v>
      </c>
      <c r="C296" s="379" t="s">
        <v>502</v>
      </c>
      <c r="D296" s="379" t="s">
        <v>1913</v>
      </c>
      <c r="E296" s="675" t="s">
        <v>1914</v>
      </c>
      <c r="F296" s="676">
        <v>0</v>
      </c>
      <c r="G296" s="676">
        <v>663754.72</v>
      </c>
      <c r="H296" s="676">
        <v>828429.37</v>
      </c>
      <c r="I296" s="676">
        <v>547661.93000000005</v>
      </c>
      <c r="J296" s="676">
        <v>291439.06</v>
      </c>
      <c r="K296" s="676">
        <v>168202.17</v>
      </c>
      <c r="L296" s="676">
        <v>120470.56</v>
      </c>
      <c r="M296" s="676">
        <v>119715.17</v>
      </c>
      <c r="N296" s="676">
        <v>66330.809999999896</v>
      </c>
      <c r="O296" s="676">
        <v>160392.48000000001</v>
      </c>
      <c r="P296" s="676">
        <v>386386.23</v>
      </c>
      <c r="Q296" s="676">
        <v>-170858.55</v>
      </c>
      <c r="R296" s="676">
        <v>-201602.1</v>
      </c>
      <c r="S296" s="551">
        <f t="shared" si="76"/>
        <v>256760.2416666667</v>
      </c>
      <c r="T296" s="677"/>
      <c r="U296" s="716"/>
      <c r="V296" s="755"/>
      <c r="W296" s="755"/>
      <c r="X296" s="778">
        <f>+S296</f>
        <v>256760.2416666667</v>
      </c>
      <c r="Y296" s="755"/>
      <c r="Z296" s="755"/>
      <c r="AA296" s="716"/>
      <c r="AB296" s="755">
        <f>+S296</f>
        <v>256760.2416666667</v>
      </c>
      <c r="AC296" s="717"/>
      <c r="AD296" s="718"/>
      <c r="AE296" s="717"/>
      <c r="AF296" s="753"/>
    </row>
    <row r="297" spans="1:32">
      <c r="A297" s="677">
        <v>283</v>
      </c>
      <c r="B297" s="379" t="s">
        <v>1885</v>
      </c>
      <c r="C297" s="379" t="s">
        <v>1916</v>
      </c>
      <c r="D297" s="379" t="s">
        <v>457</v>
      </c>
      <c r="E297" s="675" t="s">
        <v>1917</v>
      </c>
      <c r="F297" s="676">
        <v>0</v>
      </c>
      <c r="G297" s="676">
        <v>0</v>
      </c>
      <c r="H297" s="676">
        <v>289719.78000000003</v>
      </c>
      <c r="I297" s="676">
        <v>283311.46000000002</v>
      </c>
      <c r="J297" s="676">
        <v>278107.78999999998</v>
      </c>
      <c r="K297" s="676">
        <v>272887.74</v>
      </c>
      <c r="L297" s="676">
        <v>266375.51</v>
      </c>
      <c r="M297" s="676">
        <v>251531.02</v>
      </c>
      <c r="N297" s="676">
        <v>246178.54</v>
      </c>
      <c r="O297" s="676">
        <v>239584.91</v>
      </c>
      <c r="P297" s="676">
        <v>234195.48</v>
      </c>
      <c r="Q297" s="676">
        <v>228789.27</v>
      </c>
      <c r="R297" s="676">
        <v>220703.66</v>
      </c>
      <c r="S297" s="551">
        <f t="shared" si="76"/>
        <v>225086.11083333334</v>
      </c>
      <c r="T297" s="677"/>
      <c r="U297" s="716"/>
      <c r="V297" s="755">
        <f>+S297</f>
        <v>225086.11083333334</v>
      </c>
      <c r="W297" s="755"/>
      <c r="X297" s="778"/>
      <c r="Y297" s="755"/>
      <c r="Z297" s="755"/>
      <c r="AA297" s="716"/>
      <c r="AB297" s="755"/>
      <c r="AC297" s="717"/>
      <c r="AD297" s="718">
        <f>+S297</f>
        <v>225086.11083333334</v>
      </c>
      <c r="AE297" s="717"/>
      <c r="AF297" s="753"/>
    </row>
    <row r="298" spans="1:32">
      <c r="A298" s="677">
        <v>284</v>
      </c>
      <c r="B298" s="677"/>
      <c r="C298" s="677"/>
      <c r="D298" s="677"/>
      <c r="E298" s="675" t="s">
        <v>504</v>
      </c>
      <c r="F298" s="553">
        <f>SUM(F229:F297)</f>
        <v>90797163.850000009</v>
      </c>
      <c r="G298" s="553">
        <f t="shared" ref="G298:S298" si="77">SUM(G229:G297)</f>
        <v>83872115.900000006</v>
      </c>
      <c r="H298" s="553">
        <f t="shared" si="77"/>
        <v>84250807.50999999</v>
      </c>
      <c r="I298" s="553">
        <f t="shared" si="77"/>
        <v>84249637.769999996</v>
      </c>
      <c r="J298" s="553">
        <f t="shared" si="77"/>
        <v>82986934.51000002</v>
      </c>
      <c r="K298" s="553">
        <f t="shared" si="77"/>
        <v>82892982.759999961</v>
      </c>
      <c r="L298" s="553">
        <f t="shared" si="77"/>
        <v>82461224.200000063</v>
      </c>
      <c r="M298" s="553">
        <f t="shared" si="77"/>
        <v>82876149.450000018</v>
      </c>
      <c r="N298" s="553">
        <f t="shared" si="77"/>
        <v>82646604.889999986</v>
      </c>
      <c r="O298" s="553">
        <f t="shared" si="77"/>
        <v>82951796.799999997</v>
      </c>
      <c r="P298" s="553">
        <f t="shared" si="77"/>
        <v>83443873.230000019</v>
      </c>
      <c r="Q298" s="553">
        <f t="shared" si="77"/>
        <v>80998826.870000005</v>
      </c>
      <c r="R298" s="553">
        <f t="shared" si="77"/>
        <v>78817809.329999998</v>
      </c>
      <c r="S298" s="553">
        <f t="shared" si="77"/>
        <v>83203203.373333305</v>
      </c>
      <c r="T298" s="677"/>
      <c r="U298" s="716"/>
      <c r="V298" s="755"/>
      <c r="W298" s="755"/>
      <c r="X298" s="778"/>
      <c r="Y298" s="755"/>
      <c r="Z298" s="755"/>
      <c r="AA298" s="716"/>
      <c r="AB298" s="755"/>
      <c r="AC298" s="717"/>
      <c r="AD298" s="717"/>
      <c r="AE298" s="717"/>
      <c r="AF298" s="753">
        <f t="shared" si="62"/>
        <v>0</v>
      </c>
    </row>
    <row r="299" spans="1:32">
      <c r="A299" s="677">
        <v>285</v>
      </c>
      <c r="B299" s="677"/>
      <c r="C299" s="677"/>
      <c r="D299" s="677"/>
      <c r="E299" s="662"/>
      <c r="F299" s="676"/>
      <c r="G299" s="377"/>
      <c r="H299" s="368"/>
      <c r="I299" s="368"/>
      <c r="J299" s="369"/>
      <c r="K299" s="370"/>
      <c r="L299" s="371"/>
      <c r="M299" s="372"/>
      <c r="N299" s="373"/>
      <c r="O299" s="663"/>
      <c r="P299" s="374"/>
      <c r="Q299" s="378"/>
      <c r="R299" s="676"/>
      <c r="S299" s="357"/>
      <c r="T299" s="677"/>
      <c r="U299" s="716"/>
      <c r="V299" s="755"/>
      <c r="W299" s="755"/>
      <c r="X299" s="778"/>
      <c r="Y299" s="755"/>
      <c r="Z299" s="755"/>
      <c r="AA299" s="716"/>
      <c r="AB299" s="755"/>
      <c r="AC299" s="717"/>
      <c r="AD299" s="717"/>
      <c r="AE299" s="717"/>
      <c r="AF299" s="753">
        <f t="shared" si="62"/>
        <v>0</v>
      </c>
    </row>
    <row r="300" spans="1:32">
      <c r="A300" s="677">
        <v>286</v>
      </c>
      <c r="B300" s="379" t="s">
        <v>382</v>
      </c>
      <c r="C300" s="379" t="s">
        <v>505</v>
      </c>
      <c r="D300" s="379" t="s">
        <v>382</v>
      </c>
      <c r="E300" s="675" t="s">
        <v>506</v>
      </c>
      <c r="F300" s="676">
        <v>139413148.13</v>
      </c>
      <c r="G300" s="676">
        <v>19498287.82</v>
      </c>
      <c r="H300" s="676">
        <v>42963718.759999998</v>
      </c>
      <c r="I300" s="676">
        <v>60184862.039999999</v>
      </c>
      <c r="J300" s="676">
        <v>70104690.230000004</v>
      </c>
      <c r="K300" s="676">
        <v>76135787.719999999</v>
      </c>
      <c r="L300" s="676">
        <v>80684630.609999999</v>
      </c>
      <c r="M300" s="676">
        <v>85208369.680000007</v>
      </c>
      <c r="N300" s="676">
        <v>88234764.299999997</v>
      </c>
      <c r="O300" s="676">
        <v>94309037.239999995</v>
      </c>
      <c r="P300" s="676">
        <v>108758984.14</v>
      </c>
      <c r="Q300" s="676">
        <v>130579212.08</v>
      </c>
      <c r="R300" s="676">
        <v>156654971.69999999</v>
      </c>
      <c r="S300" s="551">
        <f>((F300+R300)+((G300+H300+I300+J300+K300+L300+M300+N300+O300+P300+Q300)*2))/24</f>
        <v>83724700.377916679</v>
      </c>
      <c r="T300" s="677"/>
      <c r="U300" s="716"/>
      <c r="V300" s="755"/>
      <c r="W300" s="755">
        <f t="shared" ref="W300:W303" si="78">+S300</f>
        <v>83724700.377916679</v>
      </c>
      <c r="X300" s="778"/>
      <c r="Y300" s="755"/>
      <c r="Z300" s="755"/>
      <c r="AA300" s="716"/>
      <c r="AB300" s="755"/>
      <c r="AC300" s="718">
        <f>+S300</f>
        <v>83724700.377916679</v>
      </c>
      <c r="AD300" s="717"/>
      <c r="AE300" s="717"/>
      <c r="AF300" s="753">
        <f t="shared" si="62"/>
        <v>0</v>
      </c>
    </row>
    <row r="301" spans="1:32">
      <c r="A301" s="677">
        <v>287</v>
      </c>
      <c r="B301" s="379" t="s">
        <v>382</v>
      </c>
      <c r="C301" s="379" t="s">
        <v>507</v>
      </c>
      <c r="D301" s="379" t="s">
        <v>382</v>
      </c>
      <c r="E301" s="675" t="s">
        <v>508</v>
      </c>
      <c r="F301" s="676">
        <v>53526616.649999999</v>
      </c>
      <c r="G301" s="676">
        <v>5902548.9699999997</v>
      </c>
      <c r="H301" s="676">
        <v>10693985.939999999</v>
      </c>
      <c r="I301" s="676">
        <v>15974280.960000001</v>
      </c>
      <c r="J301" s="676">
        <v>20516668.18</v>
      </c>
      <c r="K301" s="676">
        <v>25771922.5</v>
      </c>
      <c r="L301" s="676">
        <v>29912106.329999998</v>
      </c>
      <c r="M301" s="676">
        <v>34604558.259999998</v>
      </c>
      <c r="N301" s="676">
        <v>38762060.390000001</v>
      </c>
      <c r="O301" s="676">
        <v>43384306.619999997</v>
      </c>
      <c r="P301" s="676">
        <v>48722937.189999998</v>
      </c>
      <c r="Q301" s="676">
        <v>53673859.75</v>
      </c>
      <c r="R301" s="676">
        <v>59786976.289999999</v>
      </c>
      <c r="S301" s="551">
        <f>((F301+R301)+((G301+H301+I301+J301+K301+L301+M301+N301+O301+P301+Q301)*2))/24</f>
        <v>32048002.629999995</v>
      </c>
      <c r="T301" s="677"/>
      <c r="U301" s="716"/>
      <c r="V301" s="755"/>
      <c r="W301" s="755">
        <f t="shared" si="78"/>
        <v>32048002.629999995</v>
      </c>
      <c r="X301" s="778"/>
      <c r="Y301" s="755"/>
      <c r="Z301" s="755"/>
      <c r="AA301" s="716"/>
      <c r="AB301" s="755"/>
      <c r="AC301" s="718">
        <f t="shared" ref="AC301:AC303" si="79">+S301</f>
        <v>32048002.629999995</v>
      </c>
      <c r="AD301" s="717"/>
      <c r="AE301" s="717"/>
      <c r="AF301" s="753">
        <f t="shared" ref="AF301:AF369" si="80">+U301+V301-AD301</f>
        <v>0</v>
      </c>
    </row>
    <row r="302" spans="1:32">
      <c r="A302" s="677">
        <v>288</v>
      </c>
      <c r="B302" s="379" t="s">
        <v>382</v>
      </c>
      <c r="C302" s="379" t="s">
        <v>509</v>
      </c>
      <c r="D302" s="379" t="s">
        <v>510</v>
      </c>
      <c r="E302" s="675" t="s">
        <v>511</v>
      </c>
      <c r="F302" s="676">
        <v>0</v>
      </c>
      <c r="G302" s="676">
        <v>0</v>
      </c>
      <c r="H302" s="676">
        <v>0</v>
      </c>
      <c r="I302" s="676">
        <v>0</v>
      </c>
      <c r="J302" s="676">
        <v>0</v>
      </c>
      <c r="K302" s="676">
        <v>0</v>
      </c>
      <c r="L302" s="676">
        <v>0</v>
      </c>
      <c r="M302" s="676">
        <v>0</v>
      </c>
      <c r="N302" s="676">
        <v>0</v>
      </c>
      <c r="O302" s="676">
        <v>0</v>
      </c>
      <c r="P302" s="676">
        <v>0</v>
      </c>
      <c r="Q302" s="676">
        <v>0</v>
      </c>
      <c r="R302" s="676">
        <v>0</v>
      </c>
      <c r="S302" s="551">
        <f>((F302+R302)+((G302+H302+I302+J302+K302+L302+M302+N302+O302+P302+Q302)*2))/24</f>
        <v>0</v>
      </c>
      <c r="T302" s="677"/>
      <c r="U302" s="716"/>
      <c r="V302" s="755"/>
      <c r="W302" s="755">
        <f t="shared" si="78"/>
        <v>0</v>
      </c>
      <c r="X302" s="778"/>
      <c r="Y302" s="755"/>
      <c r="Z302" s="755"/>
      <c r="AA302" s="716"/>
      <c r="AB302" s="755"/>
      <c r="AC302" s="718">
        <f t="shared" si="79"/>
        <v>0</v>
      </c>
      <c r="AD302" s="717"/>
      <c r="AE302" s="717"/>
      <c r="AF302" s="753">
        <f t="shared" si="80"/>
        <v>0</v>
      </c>
    </row>
    <row r="303" spans="1:32">
      <c r="A303" s="677">
        <v>289</v>
      </c>
      <c r="B303" s="379" t="s">
        <v>382</v>
      </c>
      <c r="C303" s="379" t="s">
        <v>512</v>
      </c>
      <c r="D303" s="379" t="s">
        <v>382</v>
      </c>
      <c r="E303" s="675" t="s">
        <v>513</v>
      </c>
      <c r="F303" s="366">
        <v>8005145.8399999999</v>
      </c>
      <c r="G303" s="366">
        <v>608458.04</v>
      </c>
      <c r="H303" s="366">
        <v>1195964.1399999999</v>
      </c>
      <c r="I303" s="366">
        <v>1854951.61</v>
      </c>
      <c r="J303" s="366">
        <v>2642517.87</v>
      </c>
      <c r="K303" s="366">
        <v>3362523.23</v>
      </c>
      <c r="L303" s="366">
        <v>3945487.04</v>
      </c>
      <c r="M303" s="366">
        <v>4778990.8600000003</v>
      </c>
      <c r="N303" s="366">
        <v>5481968.5499999998</v>
      </c>
      <c r="O303" s="366">
        <v>6115121.4000000004</v>
      </c>
      <c r="P303" s="366">
        <v>6909520.1299999999</v>
      </c>
      <c r="Q303" s="366">
        <v>7549900.5300000003</v>
      </c>
      <c r="R303" s="366">
        <v>8302733.6799999997</v>
      </c>
      <c r="S303" s="551">
        <f>((F303+R303)+((G303+H303+I303+J303+K303+L303+M303+N303+O303+P303+Q303)*2))/24</f>
        <v>4383278.5966666667</v>
      </c>
      <c r="T303" s="677"/>
      <c r="U303" s="716"/>
      <c r="V303" s="755"/>
      <c r="W303" s="755">
        <f t="shared" si="78"/>
        <v>4383278.5966666667</v>
      </c>
      <c r="X303" s="778"/>
      <c r="Y303" s="755"/>
      <c r="Z303" s="755"/>
      <c r="AA303" s="716"/>
      <c r="AB303" s="755"/>
      <c r="AC303" s="718">
        <f t="shared" si="79"/>
        <v>4383278.5966666667</v>
      </c>
      <c r="AD303" s="717"/>
      <c r="AE303" s="717"/>
      <c r="AF303" s="753">
        <f t="shared" si="80"/>
        <v>0</v>
      </c>
    </row>
    <row r="304" spans="1:32">
      <c r="A304" s="677">
        <v>290</v>
      </c>
      <c r="B304" s="379"/>
      <c r="C304" s="379"/>
      <c r="D304" s="379"/>
      <c r="E304" s="675" t="s">
        <v>514</v>
      </c>
      <c r="F304" s="358">
        <f>SUM(F300:F303)</f>
        <v>200944910.62</v>
      </c>
      <c r="G304" s="358">
        <f t="shared" ref="G304:S304" si="81">SUM(G300:G303)</f>
        <v>26009294.829999998</v>
      </c>
      <c r="H304" s="358">
        <f t="shared" si="81"/>
        <v>54853668.839999996</v>
      </c>
      <c r="I304" s="358">
        <f t="shared" si="81"/>
        <v>78014094.609999999</v>
      </c>
      <c r="J304" s="358">
        <f t="shared" si="81"/>
        <v>93263876.280000001</v>
      </c>
      <c r="K304" s="358">
        <f t="shared" si="81"/>
        <v>105270233.45</v>
      </c>
      <c r="L304" s="358">
        <f t="shared" si="81"/>
        <v>114542223.98</v>
      </c>
      <c r="M304" s="358">
        <f t="shared" si="81"/>
        <v>124591918.8</v>
      </c>
      <c r="N304" s="358">
        <f t="shared" si="81"/>
        <v>132478793.23999999</v>
      </c>
      <c r="O304" s="358">
        <f t="shared" si="81"/>
        <v>143808465.25999999</v>
      </c>
      <c r="P304" s="358">
        <f t="shared" si="81"/>
        <v>164391441.45999998</v>
      </c>
      <c r="Q304" s="358">
        <f t="shared" si="81"/>
        <v>191802972.35999998</v>
      </c>
      <c r="R304" s="358">
        <f t="shared" si="81"/>
        <v>224744681.66999999</v>
      </c>
      <c r="S304" s="553">
        <f t="shared" si="81"/>
        <v>120155981.60458334</v>
      </c>
      <c r="T304" s="677"/>
      <c r="U304" s="716"/>
      <c r="V304" s="755"/>
      <c r="W304" s="755"/>
      <c r="X304" s="778"/>
      <c r="Y304" s="755"/>
      <c r="Z304" s="755"/>
      <c r="AA304" s="716"/>
      <c r="AB304" s="755"/>
      <c r="AC304" s="717"/>
      <c r="AD304" s="717"/>
      <c r="AE304" s="717"/>
      <c r="AF304" s="753">
        <f t="shared" si="80"/>
        <v>0</v>
      </c>
    </row>
    <row r="305" spans="1:32">
      <c r="A305" s="677">
        <v>291</v>
      </c>
      <c r="B305" s="677"/>
      <c r="C305" s="677"/>
      <c r="D305" s="677"/>
      <c r="E305" s="662"/>
      <c r="F305" s="676"/>
      <c r="G305" s="377"/>
      <c r="H305" s="368"/>
      <c r="I305" s="368"/>
      <c r="J305" s="369"/>
      <c r="K305" s="370"/>
      <c r="L305" s="371"/>
      <c r="M305" s="372"/>
      <c r="N305" s="373"/>
      <c r="O305" s="663"/>
      <c r="P305" s="374"/>
      <c r="Q305" s="378"/>
      <c r="R305" s="676"/>
      <c r="S305" s="357"/>
      <c r="T305" s="677"/>
      <c r="U305" s="716"/>
      <c r="V305" s="755"/>
      <c r="W305" s="755"/>
      <c r="X305" s="778"/>
      <c r="Y305" s="755"/>
      <c r="Z305" s="755"/>
      <c r="AA305" s="716"/>
      <c r="AB305" s="755"/>
      <c r="AC305" s="717"/>
      <c r="AD305" s="717"/>
      <c r="AE305" s="717"/>
      <c r="AF305" s="753">
        <f t="shared" si="80"/>
        <v>0</v>
      </c>
    </row>
    <row r="306" spans="1:32">
      <c r="A306" s="677">
        <v>292</v>
      </c>
      <c r="B306" s="379" t="s">
        <v>1009</v>
      </c>
      <c r="C306" s="379" t="s">
        <v>515</v>
      </c>
      <c r="D306" s="677"/>
      <c r="E306" s="675" t="s">
        <v>516</v>
      </c>
      <c r="F306" s="676">
        <v>0</v>
      </c>
      <c r="G306" s="676">
        <v>0</v>
      </c>
      <c r="H306" s="676">
        <v>0</v>
      </c>
      <c r="I306" s="676">
        <v>0</v>
      </c>
      <c r="J306" s="676">
        <v>0</v>
      </c>
      <c r="K306" s="676">
        <v>0</v>
      </c>
      <c r="L306" s="676">
        <v>0</v>
      </c>
      <c r="M306" s="676">
        <v>0</v>
      </c>
      <c r="N306" s="676">
        <v>0</v>
      </c>
      <c r="O306" s="676">
        <v>0</v>
      </c>
      <c r="P306" s="676">
        <v>0</v>
      </c>
      <c r="Q306" s="676">
        <v>0</v>
      </c>
      <c r="R306" s="676">
        <v>0</v>
      </c>
      <c r="S306" s="357">
        <f>((F306+R306)+((G306+H306+I306+J306+K306+L306+M306+N306+O306+P306+Q306)*2))/24</f>
        <v>0</v>
      </c>
      <c r="T306" s="677"/>
      <c r="U306" s="716"/>
      <c r="V306" s="755"/>
      <c r="W306" s="755">
        <f t="shared" ref="W306:W324" si="82">+S306</f>
        <v>0</v>
      </c>
      <c r="X306" s="778"/>
      <c r="Y306" s="755"/>
      <c r="Z306" s="755"/>
      <c r="AA306" s="716"/>
      <c r="AB306" s="755"/>
      <c r="AC306" s="718">
        <f t="shared" ref="AC306:AC324" si="83">+S306</f>
        <v>0</v>
      </c>
      <c r="AD306" s="717"/>
      <c r="AE306" s="717"/>
      <c r="AF306" s="753">
        <f t="shared" si="80"/>
        <v>0</v>
      </c>
    </row>
    <row r="307" spans="1:32">
      <c r="A307" s="677">
        <v>293</v>
      </c>
      <c r="B307" s="379" t="s">
        <v>984</v>
      </c>
      <c r="C307" s="379" t="s">
        <v>515</v>
      </c>
      <c r="D307" s="677"/>
      <c r="E307" s="675" t="s">
        <v>516</v>
      </c>
      <c r="F307" s="676">
        <v>0</v>
      </c>
      <c r="G307" s="676">
        <v>0</v>
      </c>
      <c r="H307" s="676">
        <v>0</v>
      </c>
      <c r="I307" s="676">
        <v>0</v>
      </c>
      <c r="J307" s="676">
        <v>0</v>
      </c>
      <c r="K307" s="676">
        <v>0</v>
      </c>
      <c r="L307" s="676">
        <v>0</v>
      </c>
      <c r="M307" s="676">
        <v>0</v>
      </c>
      <c r="N307" s="676">
        <v>0</v>
      </c>
      <c r="O307" s="676">
        <v>0</v>
      </c>
      <c r="P307" s="676">
        <v>0</v>
      </c>
      <c r="Q307" s="676">
        <v>0</v>
      </c>
      <c r="R307" s="676">
        <v>0</v>
      </c>
      <c r="S307" s="357">
        <f>((F307+R307)+((G307+H307+I307+J307+K307+L307+M307+N307+O307+P307+Q307)*2))/24</f>
        <v>0</v>
      </c>
      <c r="T307" s="677"/>
      <c r="U307" s="716"/>
      <c r="V307" s="755"/>
      <c r="W307" s="755">
        <f t="shared" si="82"/>
        <v>0</v>
      </c>
      <c r="X307" s="778"/>
      <c r="Y307" s="755"/>
      <c r="Z307" s="755"/>
      <c r="AA307" s="716"/>
      <c r="AB307" s="755"/>
      <c r="AC307" s="718">
        <f t="shared" si="83"/>
        <v>0</v>
      </c>
      <c r="AD307" s="717"/>
      <c r="AE307" s="717"/>
      <c r="AF307" s="753">
        <f t="shared" si="80"/>
        <v>0</v>
      </c>
    </row>
    <row r="308" spans="1:32">
      <c r="A308" s="677">
        <v>294</v>
      </c>
      <c r="B308" s="379"/>
      <c r="C308" s="379"/>
      <c r="D308" s="677"/>
      <c r="E308" s="675"/>
      <c r="F308" s="676"/>
      <c r="G308" s="676"/>
      <c r="H308" s="676"/>
      <c r="I308" s="676"/>
      <c r="J308" s="676"/>
      <c r="K308" s="676"/>
      <c r="L308" s="676"/>
      <c r="M308" s="676"/>
      <c r="N308" s="676"/>
      <c r="O308" s="676"/>
      <c r="P308" s="676"/>
      <c r="Q308" s="676"/>
      <c r="R308" s="676"/>
      <c r="S308" s="357"/>
      <c r="T308" s="677"/>
      <c r="U308" s="716"/>
      <c r="V308" s="755"/>
      <c r="W308" s="755"/>
      <c r="X308" s="778"/>
      <c r="Y308" s="755"/>
      <c r="Z308" s="755"/>
      <c r="AA308" s="716"/>
      <c r="AB308" s="755"/>
      <c r="AC308" s="718"/>
      <c r="AD308" s="717"/>
      <c r="AE308" s="717"/>
      <c r="AF308" s="753"/>
    </row>
    <row r="309" spans="1:32">
      <c r="A309" s="677">
        <v>295</v>
      </c>
      <c r="B309" s="677" t="s">
        <v>981</v>
      </c>
      <c r="C309" s="677" t="s">
        <v>517</v>
      </c>
      <c r="D309" s="677" t="s">
        <v>1918</v>
      </c>
      <c r="E309" s="662" t="s">
        <v>1919</v>
      </c>
      <c r="F309" s="676">
        <v>0</v>
      </c>
      <c r="G309" s="377">
        <v>0</v>
      </c>
      <c r="H309" s="368">
        <v>0</v>
      </c>
      <c r="I309" s="368">
        <v>0</v>
      </c>
      <c r="J309" s="369">
        <v>0</v>
      </c>
      <c r="K309" s="370">
        <v>0</v>
      </c>
      <c r="L309" s="371">
        <v>15645</v>
      </c>
      <c r="M309" s="372">
        <v>21777</v>
      </c>
      <c r="N309" s="373">
        <v>24843</v>
      </c>
      <c r="O309" s="663">
        <v>27909</v>
      </c>
      <c r="P309" s="374">
        <v>30975</v>
      </c>
      <c r="Q309" s="378">
        <v>34041</v>
      </c>
      <c r="R309" s="676">
        <v>36822.300000000003</v>
      </c>
      <c r="S309" s="551">
        <f>((F309+R309)+((G309+H309+I309+J309+K309+L309+M309+N309+O309+P309+Q309)*2))/24</f>
        <v>14466.762499999999</v>
      </c>
      <c r="T309" s="677"/>
      <c r="U309" s="716"/>
      <c r="V309" s="755"/>
      <c r="W309" s="755">
        <f t="shared" si="82"/>
        <v>14466.762499999999</v>
      </c>
      <c r="X309" s="778"/>
      <c r="Y309" s="755"/>
      <c r="Z309" s="755"/>
      <c r="AA309" s="716"/>
      <c r="AB309" s="755"/>
      <c r="AC309" s="718">
        <f t="shared" si="83"/>
        <v>14466.762499999999</v>
      </c>
      <c r="AD309" s="717"/>
      <c r="AE309" s="717"/>
      <c r="AF309" s="753">
        <f t="shared" si="80"/>
        <v>0</v>
      </c>
    </row>
    <row r="310" spans="1:32">
      <c r="A310" s="677">
        <v>296</v>
      </c>
      <c r="B310" s="379" t="s">
        <v>1009</v>
      </c>
      <c r="C310" s="379" t="s">
        <v>517</v>
      </c>
      <c r="D310" s="379" t="s">
        <v>1203</v>
      </c>
      <c r="E310" s="675" t="s">
        <v>1632</v>
      </c>
      <c r="F310" s="676">
        <v>192824.35</v>
      </c>
      <c r="G310" s="676">
        <v>16075.52</v>
      </c>
      <c r="H310" s="676">
        <v>32151.040000000001</v>
      </c>
      <c r="I310" s="676">
        <v>47638.3</v>
      </c>
      <c r="J310" s="676">
        <v>63125.56</v>
      </c>
      <c r="K310" s="676">
        <v>78612.820000000007</v>
      </c>
      <c r="L310" s="676">
        <v>94100.08</v>
      </c>
      <c r="M310" s="676">
        <v>109587.34</v>
      </c>
      <c r="N310" s="676">
        <v>125074.6</v>
      </c>
      <c r="O310" s="676">
        <v>140561.85999999999</v>
      </c>
      <c r="P310" s="676">
        <v>156049.12</v>
      </c>
      <c r="Q310" s="676">
        <v>171536.38</v>
      </c>
      <c r="R310" s="676">
        <v>187023.64</v>
      </c>
      <c r="S310" s="551">
        <f>((F310+R310)+((G310+H310+I310+J310+K310+L310+M310+N310+O310+P310+Q310)*2))/24</f>
        <v>102036.38458333333</v>
      </c>
      <c r="T310" s="677"/>
      <c r="U310" s="716"/>
      <c r="V310" s="755"/>
      <c r="W310" s="755">
        <f t="shared" si="82"/>
        <v>102036.38458333333</v>
      </c>
      <c r="X310" s="778"/>
      <c r="Y310" s="755"/>
      <c r="Z310" s="755"/>
      <c r="AA310" s="716"/>
      <c r="AB310" s="755"/>
      <c r="AC310" s="718">
        <f t="shared" si="83"/>
        <v>102036.38458333333</v>
      </c>
      <c r="AD310" s="717"/>
      <c r="AE310" s="717"/>
      <c r="AF310" s="753">
        <f t="shared" si="80"/>
        <v>0</v>
      </c>
    </row>
    <row r="311" spans="1:32">
      <c r="A311" s="677">
        <v>297</v>
      </c>
      <c r="B311" s="379" t="s">
        <v>984</v>
      </c>
      <c r="C311" s="379" t="s">
        <v>517</v>
      </c>
      <c r="D311" s="379" t="s">
        <v>1203</v>
      </c>
      <c r="E311" s="675" t="s">
        <v>1631</v>
      </c>
      <c r="F311" s="676">
        <v>441440.08</v>
      </c>
      <c r="G311" s="676">
        <v>58775.53</v>
      </c>
      <c r="H311" s="676">
        <v>121314.8</v>
      </c>
      <c r="I311" s="676">
        <v>189419.16</v>
      </c>
      <c r="J311" s="676">
        <v>232166.32</v>
      </c>
      <c r="K311" s="676">
        <v>250545.63</v>
      </c>
      <c r="L311" s="676">
        <v>271208.3</v>
      </c>
      <c r="M311" s="676">
        <v>289762.34999999998</v>
      </c>
      <c r="N311" s="676">
        <v>307709.62</v>
      </c>
      <c r="O311" s="676">
        <v>325464.8</v>
      </c>
      <c r="P311" s="676">
        <v>354222.54</v>
      </c>
      <c r="Q311" s="676">
        <v>399806.24</v>
      </c>
      <c r="R311" s="676">
        <v>467665.9</v>
      </c>
      <c r="S311" s="551">
        <f t="shared" ref="S311:S323" si="84">((F311+R311)+((G311+H311+I311+J311+K311+L311+M311+N311+O311+P311+Q311)*2))/24</f>
        <v>271245.69</v>
      </c>
      <c r="T311" s="677"/>
      <c r="U311" s="716"/>
      <c r="V311" s="755"/>
      <c r="W311" s="755">
        <f t="shared" si="82"/>
        <v>271245.69</v>
      </c>
      <c r="X311" s="778"/>
      <c r="Y311" s="755"/>
      <c r="Z311" s="755"/>
      <c r="AA311" s="716"/>
      <c r="AB311" s="755"/>
      <c r="AC311" s="718">
        <f t="shared" si="83"/>
        <v>271245.69</v>
      </c>
      <c r="AD311" s="717"/>
      <c r="AE311" s="717"/>
      <c r="AF311" s="753">
        <f t="shared" si="80"/>
        <v>0</v>
      </c>
    </row>
    <row r="312" spans="1:32">
      <c r="A312" s="677">
        <v>298</v>
      </c>
      <c r="B312" s="379" t="s">
        <v>984</v>
      </c>
      <c r="C312" s="379" t="s">
        <v>517</v>
      </c>
      <c r="D312" s="379" t="s">
        <v>442</v>
      </c>
      <c r="E312" s="675" t="s">
        <v>1638</v>
      </c>
      <c r="F312" s="676">
        <v>9826025.0600000005</v>
      </c>
      <c r="G312" s="676">
        <v>1330854.8700000001</v>
      </c>
      <c r="H312" s="676">
        <v>2753725.76</v>
      </c>
      <c r="I312" s="676">
        <v>4331125.0999999996</v>
      </c>
      <c r="J312" s="676">
        <v>5281304.3499999996</v>
      </c>
      <c r="K312" s="676">
        <v>5900267.8399999999</v>
      </c>
      <c r="L312" s="676">
        <v>6320072.2400000002</v>
      </c>
      <c r="M312" s="676">
        <v>6691861.2599999998</v>
      </c>
      <c r="N312" s="676">
        <v>7047148.79</v>
      </c>
      <c r="O312" s="676">
        <v>7385522.6399999997</v>
      </c>
      <c r="P312" s="676">
        <v>7965182.3099999996</v>
      </c>
      <c r="Q312" s="676">
        <v>8954706.1400000006</v>
      </c>
      <c r="R312" s="676">
        <v>10518223.220000001</v>
      </c>
      <c r="S312" s="551">
        <f t="shared" si="84"/>
        <v>6177824.6200000001</v>
      </c>
      <c r="T312" s="677"/>
      <c r="U312" s="716"/>
      <c r="V312" s="755"/>
      <c r="W312" s="755">
        <f t="shared" si="82"/>
        <v>6177824.6200000001</v>
      </c>
      <c r="X312" s="778"/>
      <c r="Y312" s="755"/>
      <c r="Z312" s="755"/>
      <c r="AA312" s="716"/>
      <c r="AB312" s="755"/>
      <c r="AC312" s="718">
        <f t="shared" si="83"/>
        <v>6177824.6200000001</v>
      </c>
      <c r="AD312" s="717"/>
      <c r="AE312" s="717"/>
      <c r="AF312" s="753">
        <f t="shared" si="80"/>
        <v>0</v>
      </c>
    </row>
    <row r="313" spans="1:32">
      <c r="A313" s="677">
        <v>299</v>
      </c>
      <c r="B313" s="379" t="s">
        <v>984</v>
      </c>
      <c r="C313" s="379" t="s">
        <v>517</v>
      </c>
      <c r="D313" s="379" t="s">
        <v>443</v>
      </c>
      <c r="E313" s="675" t="s">
        <v>1639</v>
      </c>
      <c r="F313" s="676">
        <v>8579658.0999999996</v>
      </c>
      <c r="G313" s="676">
        <v>1130343.76</v>
      </c>
      <c r="H313" s="676">
        <v>2489322.56</v>
      </c>
      <c r="I313" s="676">
        <v>3523896.71</v>
      </c>
      <c r="J313" s="676">
        <v>4124001.15</v>
      </c>
      <c r="K313" s="676">
        <v>4562856.3499999996</v>
      </c>
      <c r="L313" s="676">
        <v>4905032.3899999997</v>
      </c>
      <c r="M313" s="676">
        <v>5260591.8499999996</v>
      </c>
      <c r="N313" s="676">
        <v>5546447.9800000004</v>
      </c>
      <c r="O313" s="676">
        <v>5977545.0199999996</v>
      </c>
      <c r="P313" s="676">
        <v>6793463.6500000004</v>
      </c>
      <c r="Q313" s="676">
        <v>7994039.8399999999</v>
      </c>
      <c r="R313" s="676">
        <v>9428488.2300000004</v>
      </c>
      <c r="S313" s="551">
        <f t="shared" si="84"/>
        <v>5109301.2020833325</v>
      </c>
      <c r="T313" s="677"/>
      <c r="U313" s="716"/>
      <c r="V313" s="755"/>
      <c r="W313" s="755">
        <f t="shared" si="82"/>
        <v>5109301.2020833325</v>
      </c>
      <c r="X313" s="778"/>
      <c r="Y313" s="755"/>
      <c r="Z313" s="755"/>
      <c r="AA313" s="716"/>
      <c r="AB313" s="755"/>
      <c r="AC313" s="718">
        <f t="shared" si="83"/>
        <v>5109301.2020833325</v>
      </c>
      <c r="AD313" s="717"/>
      <c r="AE313" s="717"/>
      <c r="AF313" s="753">
        <f t="shared" si="80"/>
        <v>0</v>
      </c>
    </row>
    <row r="314" spans="1:32">
      <c r="A314" s="677">
        <v>300</v>
      </c>
      <c r="B314" s="379" t="s">
        <v>1009</v>
      </c>
      <c r="C314" s="379" t="s">
        <v>517</v>
      </c>
      <c r="D314" s="589" t="s">
        <v>1204</v>
      </c>
      <c r="E314" s="675" t="s">
        <v>1635</v>
      </c>
      <c r="F314" s="676">
        <v>85001.3</v>
      </c>
      <c r="G314" s="676">
        <v>6897.58</v>
      </c>
      <c r="H314" s="676">
        <v>13795.16</v>
      </c>
      <c r="I314" s="676">
        <v>20692.740000000002</v>
      </c>
      <c r="J314" s="676">
        <v>27590.32</v>
      </c>
      <c r="K314" s="676">
        <v>34487.9</v>
      </c>
      <c r="L314" s="676">
        <v>41385.480000000003</v>
      </c>
      <c r="M314" s="676">
        <v>48283.06</v>
      </c>
      <c r="N314" s="676">
        <v>54360.84</v>
      </c>
      <c r="O314" s="676">
        <v>60438.62</v>
      </c>
      <c r="P314" s="676">
        <v>66516.399999999994</v>
      </c>
      <c r="Q314" s="676">
        <v>72594.179999999993</v>
      </c>
      <c r="R314" s="676">
        <v>78671.960000000006</v>
      </c>
      <c r="S314" s="551">
        <f t="shared" si="84"/>
        <v>44073.242499999993</v>
      </c>
      <c r="T314" s="677"/>
      <c r="U314" s="716"/>
      <c r="V314" s="755"/>
      <c r="W314" s="755">
        <f t="shared" si="82"/>
        <v>44073.242499999993</v>
      </c>
      <c r="X314" s="778"/>
      <c r="Y314" s="755"/>
      <c r="Z314" s="755"/>
      <c r="AA314" s="716"/>
      <c r="AB314" s="755"/>
      <c r="AC314" s="718">
        <f t="shared" si="83"/>
        <v>44073.242499999993</v>
      </c>
      <c r="AD314" s="717"/>
      <c r="AE314" s="717"/>
      <c r="AF314" s="753">
        <f t="shared" si="80"/>
        <v>0</v>
      </c>
    </row>
    <row r="315" spans="1:32">
      <c r="A315" s="677">
        <v>301</v>
      </c>
      <c r="B315" s="379" t="s">
        <v>1009</v>
      </c>
      <c r="C315" s="379" t="s">
        <v>517</v>
      </c>
      <c r="D315" s="589" t="s">
        <v>1205</v>
      </c>
      <c r="E315" s="675" t="s">
        <v>1636</v>
      </c>
      <c r="F315" s="676">
        <v>1424187.05</v>
      </c>
      <c r="G315" s="676">
        <v>226798.65</v>
      </c>
      <c r="H315" s="676">
        <v>450539.53</v>
      </c>
      <c r="I315" s="676">
        <v>638883.72</v>
      </c>
      <c r="J315" s="676">
        <v>771798.77</v>
      </c>
      <c r="K315" s="676">
        <v>835906.93</v>
      </c>
      <c r="L315" s="676">
        <v>898115.42</v>
      </c>
      <c r="M315" s="676">
        <v>945799.7</v>
      </c>
      <c r="N315" s="676">
        <v>981155.53</v>
      </c>
      <c r="O315" s="676">
        <v>1042395.09</v>
      </c>
      <c r="P315" s="676">
        <v>1184892.1100000001</v>
      </c>
      <c r="Q315" s="676">
        <v>1365899.69</v>
      </c>
      <c r="R315" s="676">
        <v>1595454.84</v>
      </c>
      <c r="S315" s="551">
        <f t="shared" si="84"/>
        <v>904333.8404166667</v>
      </c>
      <c r="T315" s="677"/>
      <c r="U315" s="716"/>
      <c r="V315" s="755"/>
      <c r="W315" s="755">
        <f t="shared" si="82"/>
        <v>904333.8404166667</v>
      </c>
      <c r="X315" s="778"/>
      <c r="Y315" s="755"/>
      <c r="Z315" s="755"/>
      <c r="AA315" s="716"/>
      <c r="AB315" s="755"/>
      <c r="AC315" s="718">
        <f t="shared" si="83"/>
        <v>904333.8404166667</v>
      </c>
      <c r="AD315" s="717"/>
      <c r="AE315" s="717"/>
      <c r="AF315" s="753">
        <f t="shared" si="80"/>
        <v>0</v>
      </c>
    </row>
    <row r="316" spans="1:32">
      <c r="A316" s="677">
        <v>302</v>
      </c>
      <c r="B316" s="379" t="s">
        <v>984</v>
      </c>
      <c r="C316" s="379" t="s">
        <v>517</v>
      </c>
      <c r="D316" s="379" t="s">
        <v>1205</v>
      </c>
      <c r="E316" s="675" t="s">
        <v>1636</v>
      </c>
      <c r="F316" s="676">
        <v>208767.15</v>
      </c>
      <c r="G316" s="676">
        <v>28074.04</v>
      </c>
      <c r="H316" s="676">
        <v>56328.07</v>
      </c>
      <c r="I316" s="676">
        <v>88208.68</v>
      </c>
      <c r="J316" s="676">
        <v>109657.23</v>
      </c>
      <c r="K316" s="676">
        <v>126784.31</v>
      </c>
      <c r="L316" s="676">
        <v>136473.24</v>
      </c>
      <c r="M316" s="676">
        <v>145011.71</v>
      </c>
      <c r="N316" s="676">
        <v>152642.22</v>
      </c>
      <c r="O316" s="676">
        <v>160059.82</v>
      </c>
      <c r="P316" s="676">
        <v>170421.06</v>
      </c>
      <c r="Q316" s="676">
        <v>189387.09</v>
      </c>
      <c r="R316" s="676">
        <v>217905.58</v>
      </c>
      <c r="S316" s="551">
        <f t="shared" si="84"/>
        <v>131365.31958333333</v>
      </c>
      <c r="T316" s="677"/>
      <c r="U316" s="716"/>
      <c r="V316" s="755"/>
      <c r="W316" s="755">
        <f t="shared" si="82"/>
        <v>131365.31958333333</v>
      </c>
      <c r="X316" s="778"/>
      <c r="Y316" s="755"/>
      <c r="Z316" s="755"/>
      <c r="AA316" s="716"/>
      <c r="AB316" s="755"/>
      <c r="AC316" s="718">
        <f t="shared" si="83"/>
        <v>131365.31958333333</v>
      </c>
      <c r="AD316" s="717"/>
      <c r="AE316" s="717"/>
      <c r="AF316" s="753">
        <f t="shared" si="80"/>
        <v>0</v>
      </c>
    </row>
    <row r="317" spans="1:32">
      <c r="A317" s="677">
        <v>303</v>
      </c>
      <c r="B317" s="379" t="s">
        <v>1009</v>
      </c>
      <c r="C317" s="379" t="s">
        <v>517</v>
      </c>
      <c r="D317" s="379" t="s">
        <v>1206</v>
      </c>
      <c r="E317" s="675" t="s">
        <v>1637</v>
      </c>
      <c r="F317" s="676">
        <v>1111049.94</v>
      </c>
      <c r="G317" s="676">
        <v>171653.98</v>
      </c>
      <c r="H317" s="676">
        <v>334372.89</v>
      </c>
      <c r="I317" s="676">
        <v>517885.19</v>
      </c>
      <c r="J317" s="676">
        <v>647470.17000000004</v>
      </c>
      <c r="K317" s="676">
        <v>720626.82</v>
      </c>
      <c r="L317" s="676">
        <v>772105.24</v>
      </c>
      <c r="M317" s="676">
        <v>823398.98</v>
      </c>
      <c r="N317" s="676">
        <v>873249.75</v>
      </c>
      <c r="O317" s="676">
        <v>922405.42</v>
      </c>
      <c r="P317" s="676">
        <v>1020907.49</v>
      </c>
      <c r="Q317" s="676">
        <v>1171886.22</v>
      </c>
      <c r="R317" s="676">
        <v>1400826.71</v>
      </c>
      <c r="S317" s="551">
        <f t="shared" si="84"/>
        <v>769325.0395833333</v>
      </c>
      <c r="T317" s="677"/>
      <c r="U317" s="716"/>
      <c r="V317" s="755"/>
      <c r="W317" s="755">
        <f t="shared" si="82"/>
        <v>769325.0395833333</v>
      </c>
      <c r="X317" s="778"/>
      <c r="Y317" s="755"/>
      <c r="Z317" s="755"/>
      <c r="AA317" s="716"/>
      <c r="AB317" s="755"/>
      <c r="AC317" s="718">
        <f t="shared" si="83"/>
        <v>769325.0395833333</v>
      </c>
      <c r="AD317" s="717"/>
      <c r="AE317" s="717"/>
      <c r="AF317" s="753">
        <f t="shared" si="80"/>
        <v>0</v>
      </c>
    </row>
    <row r="318" spans="1:32">
      <c r="A318" s="677">
        <v>304</v>
      </c>
      <c r="B318" s="379" t="s">
        <v>981</v>
      </c>
      <c r="C318" s="379" t="s">
        <v>517</v>
      </c>
      <c r="D318" s="379" t="s">
        <v>1207</v>
      </c>
      <c r="E318" s="675" t="s">
        <v>1633</v>
      </c>
      <c r="F318" s="676">
        <v>275293.73</v>
      </c>
      <c r="G318" s="676">
        <v>19332</v>
      </c>
      <c r="H318" s="676">
        <v>38664</v>
      </c>
      <c r="I318" s="676">
        <v>57996</v>
      </c>
      <c r="J318" s="676">
        <v>35187.17</v>
      </c>
      <c r="K318" s="676">
        <v>48970.17</v>
      </c>
      <c r="L318" s="676">
        <v>65561.17</v>
      </c>
      <c r="M318" s="676">
        <v>82152.17</v>
      </c>
      <c r="N318" s="676">
        <v>107031.17</v>
      </c>
      <c r="O318" s="676">
        <v>124658.17</v>
      </c>
      <c r="P318" s="676">
        <v>142285.17000000001</v>
      </c>
      <c r="Q318" s="676">
        <v>159912.17000000001</v>
      </c>
      <c r="R318" s="676">
        <v>177539.17</v>
      </c>
      <c r="S318" s="551">
        <f t="shared" si="84"/>
        <v>92347.150833333333</v>
      </c>
      <c r="T318" s="677"/>
      <c r="U318" s="716"/>
      <c r="V318" s="755"/>
      <c r="W318" s="755">
        <f t="shared" si="82"/>
        <v>92347.150833333333</v>
      </c>
      <c r="X318" s="778"/>
      <c r="Y318" s="755"/>
      <c r="Z318" s="755"/>
      <c r="AA318" s="716"/>
      <c r="AB318" s="755"/>
      <c r="AC318" s="718">
        <f t="shared" si="83"/>
        <v>92347.150833333333</v>
      </c>
      <c r="AD318" s="717"/>
      <c r="AE318" s="717"/>
      <c r="AF318" s="753">
        <f t="shared" si="80"/>
        <v>0</v>
      </c>
    </row>
    <row r="319" spans="1:32">
      <c r="A319" s="677">
        <v>305</v>
      </c>
      <c r="B319" s="379" t="s">
        <v>1009</v>
      </c>
      <c r="C319" s="379" t="s">
        <v>517</v>
      </c>
      <c r="D319" s="379" t="s">
        <v>1207</v>
      </c>
      <c r="E319" s="675" t="s">
        <v>1633</v>
      </c>
      <c r="F319" s="676">
        <v>1616657.04</v>
      </c>
      <c r="G319" s="676">
        <v>140517</v>
      </c>
      <c r="H319" s="676">
        <v>281034</v>
      </c>
      <c r="I319" s="676">
        <v>421551</v>
      </c>
      <c r="J319" s="676">
        <v>562068</v>
      </c>
      <c r="K319" s="676">
        <v>702585</v>
      </c>
      <c r="L319" s="676">
        <v>843102</v>
      </c>
      <c r="M319" s="676">
        <v>1000496</v>
      </c>
      <c r="N319" s="676">
        <v>1157890</v>
      </c>
      <c r="O319" s="676">
        <v>1315284</v>
      </c>
      <c r="P319" s="676">
        <v>1472678</v>
      </c>
      <c r="Q319" s="676">
        <v>1629206.24</v>
      </c>
      <c r="R319" s="676">
        <v>1785732.24</v>
      </c>
      <c r="S319" s="551">
        <f>((F319+R319)+((G319+H319+I319+J319+K319+L319+M319+N319+O319+P319+Q319)*2))/24</f>
        <v>935633.82333333336</v>
      </c>
      <c r="T319" s="677"/>
      <c r="U319" s="716"/>
      <c r="V319" s="755"/>
      <c r="W319" s="755">
        <f t="shared" si="82"/>
        <v>935633.82333333336</v>
      </c>
      <c r="X319" s="778"/>
      <c r="Y319" s="755"/>
      <c r="Z319" s="755"/>
      <c r="AA319" s="716"/>
      <c r="AB319" s="755"/>
      <c r="AC319" s="718">
        <f t="shared" si="83"/>
        <v>935633.82333333336</v>
      </c>
      <c r="AD319" s="717"/>
      <c r="AE319" s="717"/>
      <c r="AF319" s="753">
        <f t="shared" si="80"/>
        <v>0</v>
      </c>
    </row>
    <row r="320" spans="1:32">
      <c r="A320" s="677">
        <v>306</v>
      </c>
      <c r="B320" s="379" t="s">
        <v>984</v>
      </c>
      <c r="C320" s="379" t="s">
        <v>517</v>
      </c>
      <c r="D320" s="379" t="s">
        <v>1207</v>
      </c>
      <c r="E320" s="675" t="s">
        <v>1633</v>
      </c>
      <c r="F320" s="676">
        <v>2348751.16</v>
      </c>
      <c r="G320" s="676">
        <v>209006</v>
      </c>
      <c r="H320" s="676">
        <v>418012</v>
      </c>
      <c r="I320" s="676">
        <v>627018</v>
      </c>
      <c r="J320" s="676">
        <v>442240.22</v>
      </c>
      <c r="K320" s="676">
        <v>610455.22</v>
      </c>
      <c r="L320" s="676">
        <v>812934.22</v>
      </c>
      <c r="M320" s="676">
        <v>1015413.22</v>
      </c>
      <c r="N320" s="676">
        <v>1319034.22</v>
      </c>
      <c r="O320" s="676">
        <v>1534156.22</v>
      </c>
      <c r="P320" s="676">
        <v>1749278.22</v>
      </c>
      <c r="Q320" s="676">
        <v>1964400.22</v>
      </c>
      <c r="R320" s="676">
        <v>2179522.2200000002</v>
      </c>
      <c r="S320" s="551">
        <f t="shared" si="84"/>
        <v>1080507.0374999999</v>
      </c>
      <c r="T320" s="677"/>
      <c r="U320" s="716"/>
      <c r="V320" s="755"/>
      <c r="W320" s="755">
        <f t="shared" si="82"/>
        <v>1080507.0374999999</v>
      </c>
      <c r="X320" s="778"/>
      <c r="Y320" s="755"/>
      <c r="Z320" s="755"/>
      <c r="AA320" s="716"/>
      <c r="AB320" s="755"/>
      <c r="AC320" s="718">
        <f t="shared" si="83"/>
        <v>1080507.0374999999</v>
      </c>
      <c r="AD320" s="717"/>
      <c r="AE320" s="717"/>
      <c r="AF320" s="753">
        <f t="shared" si="80"/>
        <v>0</v>
      </c>
    </row>
    <row r="321" spans="1:32">
      <c r="A321" s="677">
        <v>307</v>
      </c>
      <c r="B321" s="379" t="s">
        <v>981</v>
      </c>
      <c r="C321" s="379" t="s">
        <v>517</v>
      </c>
      <c r="D321" s="379" t="s">
        <v>1208</v>
      </c>
      <c r="E321" s="675" t="s">
        <v>1634</v>
      </c>
      <c r="F321" s="676">
        <v>2223.23</v>
      </c>
      <c r="G321" s="676">
        <v>105.15</v>
      </c>
      <c r="H321" s="676">
        <v>105.15</v>
      </c>
      <c r="I321" s="676">
        <v>553.16</v>
      </c>
      <c r="J321" s="676">
        <v>1039.1099999999999</v>
      </c>
      <c r="K321" s="676">
        <v>1039.1099999999999</v>
      </c>
      <c r="L321" s="676">
        <v>1039.1099999999999</v>
      </c>
      <c r="M321" s="676">
        <v>1039.1099999999999</v>
      </c>
      <c r="N321" s="676">
        <v>1137.29</v>
      </c>
      <c r="O321" s="676">
        <v>1137.29</v>
      </c>
      <c r="P321" s="676">
        <v>1315.87</v>
      </c>
      <c r="Q321" s="676">
        <v>1315.87</v>
      </c>
      <c r="R321" s="676">
        <v>1315.87</v>
      </c>
      <c r="S321" s="551">
        <f t="shared" si="84"/>
        <v>966.31416666666644</v>
      </c>
      <c r="T321" s="677"/>
      <c r="U321" s="716"/>
      <c r="V321" s="755"/>
      <c r="W321" s="755">
        <f t="shared" si="82"/>
        <v>966.31416666666644</v>
      </c>
      <c r="X321" s="778"/>
      <c r="Y321" s="755"/>
      <c r="Z321" s="755"/>
      <c r="AA321" s="716"/>
      <c r="AB321" s="755"/>
      <c r="AC321" s="718">
        <f t="shared" si="83"/>
        <v>966.31416666666644</v>
      </c>
      <c r="AD321" s="717"/>
      <c r="AE321" s="717"/>
      <c r="AF321" s="753">
        <f t="shared" si="80"/>
        <v>0</v>
      </c>
    </row>
    <row r="322" spans="1:32">
      <c r="A322" s="677">
        <v>308</v>
      </c>
      <c r="B322" s="379" t="s">
        <v>1009</v>
      </c>
      <c r="C322" s="379" t="s">
        <v>517</v>
      </c>
      <c r="D322" s="379" t="s">
        <v>1208</v>
      </c>
      <c r="E322" s="675" t="s">
        <v>1634</v>
      </c>
      <c r="F322" s="676">
        <v>26450.98</v>
      </c>
      <c r="G322" s="676">
        <v>291</v>
      </c>
      <c r="H322" s="676">
        <v>814.83</v>
      </c>
      <c r="I322" s="676">
        <v>1120.78</v>
      </c>
      <c r="J322" s="676">
        <v>1244.54</v>
      </c>
      <c r="K322" s="676">
        <v>1623.2</v>
      </c>
      <c r="L322" s="676">
        <v>2082.31</v>
      </c>
      <c r="M322" s="676">
        <v>2624.81</v>
      </c>
      <c r="N322" s="676">
        <v>3267.91</v>
      </c>
      <c r="O322" s="676">
        <v>3725.11</v>
      </c>
      <c r="P322" s="676">
        <v>26823.8</v>
      </c>
      <c r="Q322" s="676">
        <v>27291.8</v>
      </c>
      <c r="R322" s="676">
        <v>27706.880000000001</v>
      </c>
      <c r="S322" s="551">
        <f t="shared" si="84"/>
        <v>8165.7516666666661</v>
      </c>
      <c r="T322" s="677"/>
      <c r="U322" s="716"/>
      <c r="V322" s="755"/>
      <c r="W322" s="755">
        <f t="shared" si="82"/>
        <v>8165.7516666666661</v>
      </c>
      <c r="X322" s="778"/>
      <c r="Y322" s="755"/>
      <c r="Z322" s="755"/>
      <c r="AA322" s="716"/>
      <c r="AB322" s="755"/>
      <c r="AC322" s="718">
        <f t="shared" si="83"/>
        <v>8165.7516666666661</v>
      </c>
      <c r="AD322" s="717"/>
      <c r="AE322" s="717"/>
      <c r="AF322" s="753">
        <f t="shared" si="80"/>
        <v>0</v>
      </c>
    </row>
    <row r="323" spans="1:32">
      <c r="A323" s="677">
        <v>309</v>
      </c>
      <c r="B323" s="379" t="s">
        <v>984</v>
      </c>
      <c r="C323" s="379" t="s">
        <v>517</v>
      </c>
      <c r="D323" s="379" t="s">
        <v>1208</v>
      </c>
      <c r="E323" s="675" t="s">
        <v>1634</v>
      </c>
      <c r="F323" s="676">
        <v>34335.31</v>
      </c>
      <c r="G323" s="676">
        <v>141.65</v>
      </c>
      <c r="H323" s="676">
        <v>791.36</v>
      </c>
      <c r="I323" s="676">
        <v>16005.09</v>
      </c>
      <c r="J323" s="676">
        <v>6911.61</v>
      </c>
      <c r="K323" s="676">
        <v>7607.94</v>
      </c>
      <c r="L323" s="676">
        <v>7851.93</v>
      </c>
      <c r="M323" s="676">
        <v>8879.27</v>
      </c>
      <c r="N323" s="676">
        <v>14413.81</v>
      </c>
      <c r="O323" s="676">
        <v>17217.419999999998</v>
      </c>
      <c r="P323" s="676">
        <v>17223.32</v>
      </c>
      <c r="Q323" s="676">
        <v>22366.77</v>
      </c>
      <c r="R323" s="676">
        <v>23966.93</v>
      </c>
      <c r="S323" s="551">
        <f t="shared" si="84"/>
        <v>12380.1075</v>
      </c>
      <c r="T323" s="677"/>
      <c r="U323" s="716"/>
      <c r="V323" s="755"/>
      <c r="W323" s="755">
        <f t="shared" si="82"/>
        <v>12380.1075</v>
      </c>
      <c r="X323" s="778"/>
      <c r="Y323" s="755"/>
      <c r="Z323" s="755"/>
      <c r="AA323" s="716"/>
      <c r="AB323" s="755"/>
      <c r="AC323" s="718">
        <f t="shared" si="83"/>
        <v>12380.1075</v>
      </c>
      <c r="AD323" s="717"/>
      <c r="AE323" s="717"/>
      <c r="AF323" s="753">
        <f t="shared" si="80"/>
        <v>0</v>
      </c>
    </row>
    <row r="324" spans="1:32">
      <c r="A324" s="677">
        <v>310</v>
      </c>
      <c r="B324" s="677" t="s">
        <v>382</v>
      </c>
      <c r="C324" s="677" t="s">
        <v>518</v>
      </c>
      <c r="D324" s="677" t="s">
        <v>382</v>
      </c>
      <c r="E324" s="675" t="s">
        <v>1640</v>
      </c>
      <c r="F324" s="366">
        <v>2257640.98</v>
      </c>
      <c r="G324" s="366">
        <v>227876.63</v>
      </c>
      <c r="H324" s="366">
        <v>435984.76</v>
      </c>
      <c r="I324" s="366">
        <v>635136.4</v>
      </c>
      <c r="J324" s="366">
        <v>841363.86</v>
      </c>
      <c r="K324" s="366">
        <v>1045796.29</v>
      </c>
      <c r="L324" s="366">
        <v>1224380.81</v>
      </c>
      <c r="M324" s="366">
        <v>1426816.56</v>
      </c>
      <c r="N324" s="366">
        <v>1614952.02</v>
      </c>
      <c r="O324" s="366">
        <v>1799163.64</v>
      </c>
      <c r="P324" s="366">
        <v>2000828.68</v>
      </c>
      <c r="Q324" s="366">
        <v>2171032.12</v>
      </c>
      <c r="R324" s="366">
        <v>2415606.38</v>
      </c>
      <c r="S324" s="551">
        <f>((F324+R324)+((G324+H324+I324+J324+K324+L324+M324+N324+O324+P324+Q324)*2))/24</f>
        <v>1313329.6208333333</v>
      </c>
      <c r="T324" s="677"/>
      <c r="U324" s="716"/>
      <c r="V324" s="755"/>
      <c r="W324" s="755">
        <f t="shared" si="82"/>
        <v>1313329.6208333333</v>
      </c>
      <c r="X324" s="778"/>
      <c r="Y324" s="755"/>
      <c r="Z324" s="755"/>
      <c r="AA324" s="716"/>
      <c r="AB324" s="755"/>
      <c r="AC324" s="718">
        <f t="shared" si="83"/>
        <v>1313329.6208333333</v>
      </c>
      <c r="AD324" s="717"/>
      <c r="AE324" s="717"/>
      <c r="AF324" s="753">
        <f t="shared" si="80"/>
        <v>0</v>
      </c>
    </row>
    <row r="325" spans="1:32">
      <c r="A325" s="677">
        <v>311</v>
      </c>
      <c r="B325" s="677"/>
      <c r="C325" s="677"/>
      <c r="D325" s="677"/>
      <c r="E325" s="662" t="s">
        <v>519</v>
      </c>
      <c r="F325" s="358">
        <f>SUM(F309:F324)</f>
        <v>28430305.460000001</v>
      </c>
      <c r="G325" s="358">
        <f t="shared" ref="G325:S325" si="85">SUM(G309:G324)</f>
        <v>3566743.36</v>
      </c>
      <c r="H325" s="358">
        <f t="shared" si="85"/>
        <v>7426955.9100000011</v>
      </c>
      <c r="I325" s="358">
        <f t="shared" si="85"/>
        <v>11117130.029999999</v>
      </c>
      <c r="J325" s="358">
        <f t="shared" si="85"/>
        <v>13147168.379999997</v>
      </c>
      <c r="K325" s="358">
        <f t="shared" si="85"/>
        <v>14928165.530000001</v>
      </c>
      <c r="L325" s="358">
        <f t="shared" si="85"/>
        <v>16411088.940000001</v>
      </c>
      <c r="M325" s="358">
        <f t="shared" si="85"/>
        <v>17873494.390000001</v>
      </c>
      <c r="N325" s="358">
        <f t="shared" si="85"/>
        <v>19330358.749999996</v>
      </c>
      <c r="O325" s="358">
        <f t="shared" si="85"/>
        <v>20837644.119999997</v>
      </c>
      <c r="P325" s="358">
        <f t="shared" si="85"/>
        <v>23153062.740000002</v>
      </c>
      <c r="Q325" s="358">
        <f t="shared" si="85"/>
        <v>26329421.970000003</v>
      </c>
      <c r="R325" s="358">
        <f t="shared" si="85"/>
        <v>30542472.069999997</v>
      </c>
      <c r="S325" s="358">
        <f t="shared" si="85"/>
        <v>16967301.907083333</v>
      </c>
      <c r="T325" s="677"/>
      <c r="U325" s="716"/>
      <c r="V325" s="755"/>
      <c r="W325" s="755"/>
      <c r="X325" s="778"/>
      <c r="Y325" s="755"/>
      <c r="Z325" s="755"/>
      <c r="AA325" s="716"/>
      <c r="AB325" s="755"/>
      <c r="AC325" s="717"/>
      <c r="AD325" s="717"/>
      <c r="AE325" s="717"/>
      <c r="AF325" s="753">
        <f t="shared" si="80"/>
        <v>0</v>
      </c>
    </row>
    <row r="326" spans="1:32">
      <c r="A326" s="677">
        <v>312</v>
      </c>
      <c r="B326" s="677"/>
      <c r="C326" s="677"/>
      <c r="D326" s="677"/>
      <c r="E326" s="662"/>
      <c r="F326" s="676"/>
      <c r="G326" s="377"/>
      <c r="H326" s="368"/>
      <c r="I326" s="368"/>
      <c r="J326" s="369"/>
      <c r="K326" s="370"/>
      <c r="L326" s="371"/>
      <c r="M326" s="372"/>
      <c r="N326" s="373"/>
      <c r="O326" s="663"/>
      <c r="P326" s="374"/>
      <c r="Q326" s="378"/>
      <c r="R326" s="676"/>
      <c r="S326" s="357"/>
      <c r="T326" s="677"/>
      <c r="U326" s="716"/>
      <c r="V326" s="755"/>
      <c r="W326" s="755"/>
      <c r="X326" s="778"/>
      <c r="Y326" s="755"/>
      <c r="Z326" s="755"/>
      <c r="AA326" s="716"/>
      <c r="AB326" s="755"/>
      <c r="AC326" s="717"/>
      <c r="AD326" s="717"/>
      <c r="AE326" s="717"/>
      <c r="AF326" s="753">
        <f t="shared" si="80"/>
        <v>0</v>
      </c>
    </row>
    <row r="327" spans="1:32">
      <c r="A327" s="677">
        <v>313</v>
      </c>
      <c r="B327" s="379" t="s">
        <v>981</v>
      </c>
      <c r="C327" s="379" t="s">
        <v>520</v>
      </c>
      <c r="D327" s="677"/>
      <c r="E327" s="675" t="s">
        <v>1641</v>
      </c>
      <c r="F327" s="676">
        <v>26303412.609999999</v>
      </c>
      <c r="G327" s="676">
        <v>2356483.42</v>
      </c>
      <c r="H327" s="676">
        <v>4726032.16</v>
      </c>
      <c r="I327" s="676">
        <v>7104545.4199999999</v>
      </c>
      <c r="J327" s="676">
        <v>9497469.6799999997</v>
      </c>
      <c r="K327" s="676">
        <v>11907578.300000001</v>
      </c>
      <c r="L327" s="676">
        <v>14334782.939999999</v>
      </c>
      <c r="M327" s="676">
        <v>16782480.190000001</v>
      </c>
      <c r="N327" s="676">
        <v>19235705.48</v>
      </c>
      <c r="O327" s="676">
        <v>21703420.32</v>
      </c>
      <c r="P327" s="676">
        <v>24188691.23</v>
      </c>
      <c r="Q327" s="676">
        <v>26702769.57</v>
      </c>
      <c r="R327" s="676">
        <v>29230447.98</v>
      </c>
      <c r="S327" s="357">
        <f>((F327+R327)+((G327+H327+I327+J327+K327+L327+M327+N327+O327+P327+Q327)*2))/24</f>
        <v>15525574.08375</v>
      </c>
      <c r="T327" s="677"/>
      <c r="U327" s="716"/>
      <c r="V327" s="755"/>
      <c r="W327" s="755">
        <f t="shared" ref="W327:W329" si="86">+S327</f>
        <v>15525574.08375</v>
      </c>
      <c r="X327" s="778"/>
      <c r="Y327" s="755"/>
      <c r="Z327" s="755"/>
      <c r="AA327" s="716"/>
      <c r="AB327" s="755"/>
      <c r="AC327" s="718">
        <f t="shared" ref="AC327:AC328" si="87">+S327</f>
        <v>15525574.08375</v>
      </c>
      <c r="AD327" s="717"/>
      <c r="AE327" s="717"/>
      <c r="AF327" s="753">
        <f t="shared" si="80"/>
        <v>0</v>
      </c>
    </row>
    <row r="328" spans="1:32">
      <c r="A328" s="677">
        <v>314</v>
      </c>
      <c r="B328" s="379" t="s">
        <v>981</v>
      </c>
      <c r="C328" s="379" t="s">
        <v>521</v>
      </c>
      <c r="D328" s="677"/>
      <c r="E328" s="675" t="s">
        <v>1642</v>
      </c>
      <c r="F328" s="676">
        <v>3486360.4</v>
      </c>
      <c r="G328" s="676">
        <v>288580.90000000002</v>
      </c>
      <c r="H328" s="676">
        <v>577130.34</v>
      </c>
      <c r="I328" s="676">
        <v>865679.78</v>
      </c>
      <c r="J328" s="676">
        <v>1151676.1000000001</v>
      </c>
      <c r="K328" s="676">
        <v>1438514.42</v>
      </c>
      <c r="L328" s="676">
        <v>1725352.74</v>
      </c>
      <c r="M328" s="676">
        <v>2012192.61</v>
      </c>
      <c r="N328" s="676">
        <v>2299181.62</v>
      </c>
      <c r="O328" s="676">
        <v>2586176.0699999998</v>
      </c>
      <c r="P328" s="676">
        <v>2876670.55</v>
      </c>
      <c r="Q328" s="676">
        <v>3166291.48</v>
      </c>
      <c r="R328" s="676">
        <v>3457659.27</v>
      </c>
      <c r="S328" s="357">
        <f>((F328+R328)+((G328+H328+I328+J328+K328+L328+M328+N328+O328+P328+Q328)*2))/24</f>
        <v>1871621.3704166671</v>
      </c>
      <c r="T328" s="677"/>
      <c r="U328" s="716"/>
      <c r="V328" s="755"/>
      <c r="W328" s="755">
        <f t="shared" si="86"/>
        <v>1871621.3704166671</v>
      </c>
      <c r="X328" s="778"/>
      <c r="Y328" s="755"/>
      <c r="Z328" s="755"/>
      <c r="AA328" s="716"/>
      <c r="AB328" s="755"/>
      <c r="AC328" s="718">
        <f t="shared" si="87"/>
        <v>1871621.3704166671</v>
      </c>
      <c r="AD328" s="717"/>
      <c r="AE328" s="717"/>
      <c r="AF328" s="753">
        <f t="shared" si="80"/>
        <v>0</v>
      </c>
    </row>
    <row r="329" spans="1:32">
      <c r="A329" s="677">
        <v>315</v>
      </c>
      <c r="B329" s="379" t="s">
        <v>981</v>
      </c>
      <c r="C329" s="589" t="s">
        <v>522</v>
      </c>
      <c r="D329" s="677"/>
      <c r="E329" s="675" t="s">
        <v>1643</v>
      </c>
      <c r="F329" s="366">
        <v>0</v>
      </c>
      <c r="G329" s="366">
        <v>0</v>
      </c>
      <c r="H329" s="366">
        <v>0</v>
      </c>
      <c r="I329" s="366">
        <v>0</v>
      </c>
      <c r="J329" s="366">
        <v>0</v>
      </c>
      <c r="K329" s="366">
        <v>0</v>
      </c>
      <c r="L329" s="366">
        <v>0</v>
      </c>
      <c r="M329" s="366">
        <v>0</v>
      </c>
      <c r="N329" s="366">
        <v>0</v>
      </c>
      <c r="O329" s="366">
        <v>0</v>
      </c>
      <c r="P329" s="366">
        <v>0</v>
      </c>
      <c r="Q329" s="366">
        <v>0</v>
      </c>
      <c r="R329" s="366">
        <v>0</v>
      </c>
      <c r="S329" s="357">
        <f>((F329+R329)+((G329+H329+I329+J329+K329+L329+M329+N329+O329+P329+Q329)*2))/24</f>
        <v>0</v>
      </c>
      <c r="T329" s="677"/>
      <c r="U329" s="716"/>
      <c r="V329" s="755"/>
      <c r="W329" s="755">
        <f t="shared" si="86"/>
        <v>0</v>
      </c>
      <c r="X329" s="778"/>
      <c r="Y329" s="755"/>
      <c r="Z329" s="755"/>
      <c r="AA329" s="716"/>
      <c r="AB329" s="755"/>
      <c r="AC329" s="718">
        <f>+S329</f>
        <v>0</v>
      </c>
      <c r="AD329" s="717"/>
      <c r="AE329" s="717"/>
      <c r="AF329" s="753">
        <f t="shared" si="80"/>
        <v>0</v>
      </c>
    </row>
    <row r="330" spans="1:32">
      <c r="A330" s="677">
        <v>316</v>
      </c>
      <c r="B330" s="677"/>
      <c r="C330" s="677"/>
      <c r="D330" s="677"/>
      <c r="E330" s="675" t="s">
        <v>523</v>
      </c>
      <c r="F330" s="358">
        <f>SUM(F327:F329)</f>
        <v>29789773.009999998</v>
      </c>
      <c r="G330" s="358">
        <f t="shared" ref="G330:S330" si="88">SUM(G327:G329)</f>
        <v>2645064.3199999998</v>
      </c>
      <c r="H330" s="358">
        <f t="shared" si="88"/>
        <v>5303162.5</v>
      </c>
      <c r="I330" s="358">
        <f t="shared" si="88"/>
        <v>7970225.2000000002</v>
      </c>
      <c r="J330" s="358">
        <f t="shared" si="88"/>
        <v>10649145.779999999</v>
      </c>
      <c r="K330" s="358">
        <f t="shared" si="88"/>
        <v>13346092.720000001</v>
      </c>
      <c r="L330" s="358">
        <f t="shared" si="88"/>
        <v>16060135.68</v>
      </c>
      <c r="M330" s="358">
        <f t="shared" si="88"/>
        <v>18794672.800000001</v>
      </c>
      <c r="N330" s="358">
        <f t="shared" si="88"/>
        <v>21534887.100000001</v>
      </c>
      <c r="O330" s="358">
        <f t="shared" si="88"/>
        <v>24289596.390000001</v>
      </c>
      <c r="P330" s="358">
        <f t="shared" si="88"/>
        <v>27065361.780000001</v>
      </c>
      <c r="Q330" s="358">
        <f t="shared" si="88"/>
        <v>29869061.050000001</v>
      </c>
      <c r="R330" s="358">
        <f t="shared" si="88"/>
        <v>32688107.25</v>
      </c>
      <c r="S330" s="553">
        <f t="shared" si="88"/>
        <v>17397195.454166666</v>
      </c>
      <c r="T330" s="677"/>
      <c r="U330" s="716"/>
      <c r="V330" s="755"/>
      <c r="W330" s="755"/>
      <c r="X330" s="778"/>
      <c r="Y330" s="755"/>
      <c r="Z330" s="755"/>
      <c r="AA330" s="716"/>
      <c r="AB330" s="755"/>
      <c r="AC330" s="717"/>
      <c r="AD330" s="717"/>
      <c r="AE330" s="717"/>
      <c r="AF330" s="753">
        <f t="shared" si="80"/>
        <v>0</v>
      </c>
    </row>
    <row r="331" spans="1:32">
      <c r="A331" s="677">
        <v>317</v>
      </c>
      <c r="B331" s="677"/>
      <c r="C331" s="677"/>
      <c r="D331" s="677"/>
      <c r="E331" s="662"/>
      <c r="F331" s="676"/>
      <c r="G331" s="377"/>
      <c r="H331" s="368"/>
      <c r="I331" s="368"/>
      <c r="J331" s="369"/>
      <c r="K331" s="370"/>
      <c r="L331" s="371"/>
      <c r="M331" s="372"/>
      <c r="N331" s="373"/>
      <c r="O331" s="663"/>
      <c r="P331" s="374"/>
      <c r="Q331" s="378"/>
      <c r="R331" s="676"/>
      <c r="S331" s="357"/>
      <c r="T331" s="677"/>
      <c r="U331" s="716"/>
      <c r="V331" s="755"/>
      <c r="W331" s="755"/>
      <c r="X331" s="778"/>
      <c r="Y331" s="755"/>
      <c r="Z331" s="755"/>
      <c r="AA331" s="716"/>
      <c r="AB331" s="755"/>
      <c r="AC331" s="717"/>
      <c r="AD331" s="717"/>
      <c r="AE331" s="717"/>
      <c r="AF331" s="753">
        <f t="shared" si="80"/>
        <v>0</v>
      </c>
    </row>
    <row r="332" spans="1:32">
      <c r="A332" s="677">
        <v>318</v>
      </c>
      <c r="B332" s="379" t="s">
        <v>981</v>
      </c>
      <c r="C332" s="379" t="s">
        <v>524</v>
      </c>
      <c r="D332" s="677"/>
      <c r="E332" s="675" t="s">
        <v>525</v>
      </c>
      <c r="F332" s="676">
        <v>0</v>
      </c>
      <c r="G332" s="676">
        <v>0</v>
      </c>
      <c r="H332" s="676">
        <v>0</v>
      </c>
      <c r="I332" s="676">
        <v>0</v>
      </c>
      <c r="J332" s="676">
        <v>0</v>
      </c>
      <c r="K332" s="676">
        <v>0</v>
      </c>
      <c r="L332" s="676">
        <v>0</v>
      </c>
      <c r="M332" s="676">
        <v>0</v>
      </c>
      <c r="N332" s="676">
        <v>0</v>
      </c>
      <c r="O332" s="676">
        <v>0</v>
      </c>
      <c r="P332" s="676">
        <v>0</v>
      </c>
      <c r="Q332" s="676">
        <v>0</v>
      </c>
      <c r="R332" s="676">
        <v>0</v>
      </c>
      <c r="S332" s="551">
        <f>((F332+R332)+((G332+H332+I332+J332+K332+L332+M332+N332+O332+P332+Q332)*2))/24</f>
        <v>0</v>
      </c>
      <c r="T332" s="677"/>
      <c r="U332" s="716"/>
      <c r="V332" s="755"/>
      <c r="W332" s="755"/>
      <c r="X332" s="778"/>
      <c r="Y332" s="755"/>
      <c r="Z332" s="755"/>
      <c r="AA332" s="716"/>
      <c r="AB332" s="755"/>
      <c r="AC332" s="717"/>
      <c r="AD332" s="717"/>
      <c r="AE332" s="717"/>
      <c r="AF332" s="753">
        <f t="shared" si="80"/>
        <v>0</v>
      </c>
    </row>
    <row r="333" spans="1:32">
      <c r="A333" s="677">
        <v>319</v>
      </c>
      <c r="B333" s="379" t="s">
        <v>981</v>
      </c>
      <c r="C333" s="379" t="s">
        <v>526</v>
      </c>
      <c r="D333" s="677"/>
      <c r="E333" s="675" t="s">
        <v>527</v>
      </c>
      <c r="F333" s="676">
        <v>11139099.369999999</v>
      </c>
      <c r="G333" s="676">
        <v>928096.05</v>
      </c>
      <c r="H333" s="676">
        <v>1856104.6</v>
      </c>
      <c r="I333" s="676">
        <v>2784113.15</v>
      </c>
      <c r="J333" s="676">
        <v>3712121.68</v>
      </c>
      <c r="K333" s="676">
        <v>4639727.7300000004</v>
      </c>
      <c r="L333" s="676">
        <v>5812917.1200000001</v>
      </c>
      <c r="M333" s="676">
        <v>6986106.4900000002</v>
      </c>
      <c r="N333" s="676">
        <v>8159252.1100000003</v>
      </c>
      <c r="O333" s="676">
        <v>9332397.75</v>
      </c>
      <c r="P333" s="676">
        <v>10505543.369999999</v>
      </c>
      <c r="Q333" s="676">
        <v>11678579.609999999</v>
      </c>
      <c r="R333" s="676">
        <v>12851615.869999999</v>
      </c>
      <c r="S333" s="551">
        <f>((F333+R333)+((G333+H333+I333+J333+K333+L333+M333+N333+O333+P333+Q333)*2))/24</f>
        <v>6532526.4400000004</v>
      </c>
      <c r="T333" s="677"/>
      <c r="U333" s="716"/>
      <c r="V333" s="755"/>
      <c r="W333" s="755">
        <f t="shared" ref="W333:W347" si="89">+S333</f>
        <v>6532526.4400000004</v>
      </c>
      <c r="X333" s="778"/>
      <c r="Y333" s="755"/>
      <c r="Z333" s="755"/>
      <c r="AA333" s="716"/>
      <c r="AB333" s="755"/>
      <c r="AC333" s="718">
        <f t="shared" ref="AC333:AC347" si="90">+S333</f>
        <v>6532526.4400000004</v>
      </c>
      <c r="AD333" s="717"/>
      <c r="AE333" s="717"/>
      <c r="AF333" s="753">
        <f t="shared" si="80"/>
        <v>0</v>
      </c>
    </row>
    <row r="334" spans="1:32">
      <c r="A334" s="677">
        <v>320</v>
      </c>
      <c r="B334" s="379" t="s">
        <v>981</v>
      </c>
      <c r="C334" s="379" t="s">
        <v>526</v>
      </c>
      <c r="D334" s="379" t="s">
        <v>528</v>
      </c>
      <c r="E334" s="663" t="s">
        <v>529</v>
      </c>
      <c r="F334" s="676">
        <v>548333.80000000005</v>
      </c>
      <c r="G334" s="676">
        <v>165230.87</v>
      </c>
      <c r="H334" s="676">
        <v>320019.8</v>
      </c>
      <c r="I334" s="676">
        <v>478537.68</v>
      </c>
      <c r="J334" s="676">
        <v>580989.74</v>
      </c>
      <c r="K334" s="676">
        <v>789188.57</v>
      </c>
      <c r="L334" s="676">
        <v>873005.23</v>
      </c>
      <c r="M334" s="676">
        <v>917419.62</v>
      </c>
      <c r="N334" s="676">
        <v>993359.71</v>
      </c>
      <c r="O334" s="676">
        <v>1067622.68</v>
      </c>
      <c r="P334" s="676">
        <v>1095507.58</v>
      </c>
      <c r="Q334" s="676">
        <v>1146976.75</v>
      </c>
      <c r="R334" s="676">
        <v>1237444.53</v>
      </c>
      <c r="S334" s="551">
        <f>((F334+R334)+((G334+H334+I334+J334+K334+L334+M334+N334+O334+P334+Q334)*2))/24</f>
        <v>776728.94958333333</v>
      </c>
      <c r="T334" s="677"/>
      <c r="U334" s="716"/>
      <c r="V334" s="755"/>
      <c r="W334" s="755">
        <f t="shared" si="89"/>
        <v>776728.94958333333</v>
      </c>
      <c r="X334" s="778"/>
      <c r="Y334" s="755"/>
      <c r="Z334" s="755"/>
      <c r="AA334" s="716"/>
      <c r="AB334" s="755"/>
      <c r="AC334" s="718">
        <f t="shared" si="90"/>
        <v>776728.94958333333</v>
      </c>
      <c r="AD334" s="717"/>
      <c r="AE334" s="717"/>
      <c r="AF334" s="753">
        <f t="shared" si="80"/>
        <v>0</v>
      </c>
    </row>
    <row r="335" spans="1:32">
      <c r="A335" s="677">
        <v>321</v>
      </c>
      <c r="B335" s="379" t="s">
        <v>981</v>
      </c>
      <c r="C335" s="379" t="s">
        <v>526</v>
      </c>
      <c r="D335" s="379" t="s">
        <v>562</v>
      </c>
      <c r="E335" s="663" t="s">
        <v>1920</v>
      </c>
      <c r="F335" s="676">
        <v>0</v>
      </c>
      <c r="G335" s="676">
        <v>0</v>
      </c>
      <c r="H335" s="676">
        <v>0</v>
      </c>
      <c r="I335" s="676">
        <v>0</v>
      </c>
      <c r="J335" s="676">
        <v>31250.01</v>
      </c>
      <c r="K335" s="676">
        <v>39322.93</v>
      </c>
      <c r="L335" s="676">
        <v>48958.35</v>
      </c>
      <c r="M335" s="676">
        <v>59722.239999999998</v>
      </c>
      <c r="N335" s="676">
        <v>70486.13</v>
      </c>
      <c r="O335" s="676">
        <v>81076.39</v>
      </c>
      <c r="P335" s="676">
        <v>91840.28</v>
      </c>
      <c r="Q335" s="676">
        <v>102256.95</v>
      </c>
      <c r="R335" s="676">
        <v>113020.83</v>
      </c>
      <c r="S335" s="551">
        <f t="shared" ref="S335:S339" si="91">((F335+R335)+((G335+H335+I335+J335+K335+L335+M335+N335+O335+P335+Q335)*2))/24</f>
        <v>48451.974583333329</v>
      </c>
      <c r="T335" s="677"/>
      <c r="U335" s="716"/>
      <c r="V335" s="755"/>
      <c r="W335" s="755">
        <f t="shared" si="89"/>
        <v>48451.974583333329</v>
      </c>
      <c r="X335" s="778"/>
      <c r="Y335" s="755"/>
      <c r="Z335" s="755"/>
      <c r="AA335" s="716"/>
      <c r="AB335" s="755"/>
      <c r="AC335" s="718">
        <f>+W335</f>
        <v>48451.974583333329</v>
      </c>
      <c r="AD335" s="717"/>
      <c r="AE335" s="717"/>
      <c r="AF335" s="753"/>
    </row>
    <row r="336" spans="1:32">
      <c r="A336" s="677">
        <v>322</v>
      </c>
      <c r="B336" s="379" t="s">
        <v>981</v>
      </c>
      <c r="C336" s="379" t="s">
        <v>530</v>
      </c>
      <c r="D336" s="379" t="s">
        <v>1921</v>
      </c>
      <c r="E336" s="663" t="s">
        <v>1922</v>
      </c>
      <c r="F336" s="676">
        <v>0</v>
      </c>
      <c r="G336" s="676">
        <v>0</v>
      </c>
      <c r="H336" s="676">
        <v>0</v>
      </c>
      <c r="I336" s="676">
        <v>1110</v>
      </c>
      <c r="J336" s="676">
        <v>1110</v>
      </c>
      <c r="K336" s="676">
        <v>1110</v>
      </c>
      <c r="L336" s="676">
        <v>1682</v>
      </c>
      <c r="M336" s="676">
        <v>1682</v>
      </c>
      <c r="N336" s="676">
        <v>1682</v>
      </c>
      <c r="O336" s="676">
        <v>2191</v>
      </c>
      <c r="P336" s="676">
        <v>2191</v>
      </c>
      <c r="Q336" s="676">
        <v>2191</v>
      </c>
      <c r="R336" s="676">
        <v>3227</v>
      </c>
      <c r="S336" s="551">
        <f t="shared" si="91"/>
        <v>1380.2083333333333</v>
      </c>
      <c r="T336" s="677"/>
      <c r="U336" s="716"/>
      <c r="V336" s="755"/>
      <c r="W336" s="755">
        <f t="shared" si="89"/>
        <v>1380.2083333333333</v>
      </c>
      <c r="X336" s="778"/>
      <c r="Y336" s="755"/>
      <c r="Z336" s="755"/>
      <c r="AA336" s="716"/>
      <c r="AB336" s="755"/>
      <c r="AC336" s="718">
        <f>+W336</f>
        <v>1380.2083333333333</v>
      </c>
      <c r="AD336" s="717"/>
      <c r="AE336" s="717"/>
      <c r="AF336" s="753"/>
    </row>
    <row r="337" spans="1:32">
      <c r="A337" s="677">
        <v>323</v>
      </c>
      <c r="B337" s="379" t="s">
        <v>981</v>
      </c>
      <c r="C337" s="379" t="s">
        <v>530</v>
      </c>
      <c r="D337" s="379" t="s">
        <v>392</v>
      </c>
      <c r="E337" s="675" t="s">
        <v>1645</v>
      </c>
      <c r="F337" s="676">
        <v>95052.07</v>
      </c>
      <c r="G337" s="676">
        <v>8072.92</v>
      </c>
      <c r="H337" s="676">
        <v>15364.59</v>
      </c>
      <c r="I337" s="676">
        <v>23437.51</v>
      </c>
      <c r="J337" s="676">
        <v>3.6379788070917101E-12</v>
      </c>
      <c r="K337" s="676">
        <v>3.6379788070917101E-12</v>
      </c>
      <c r="L337" s="676">
        <v>3.6379788070917101E-12</v>
      </c>
      <c r="M337" s="676">
        <v>3.6379788070917101E-12</v>
      </c>
      <c r="N337" s="676">
        <v>3.6379788070917101E-12</v>
      </c>
      <c r="O337" s="676">
        <v>3.6379788070917101E-12</v>
      </c>
      <c r="P337" s="676">
        <v>3.6379788070917101E-12</v>
      </c>
      <c r="Q337" s="676">
        <v>3.6379788070917101E-12</v>
      </c>
      <c r="R337" s="676">
        <v>3.6379788070917101E-12</v>
      </c>
      <c r="S337" s="551">
        <f t="shared" si="91"/>
        <v>7866.7545833333343</v>
      </c>
      <c r="T337" s="677"/>
      <c r="U337" s="716"/>
      <c r="V337" s="755"/>
      <c r="W337" s="755">
        <f t="shared" si="89"/>
        <v>7866.7545833333343</v>
      </c>
      <c r="X337" s="778"/>
      <c r="Y337" s="755"/>
      <c r="Z337" s="755"/>
      <c r="AA337" s="716"/>
      <c r="AB337" s="755"/>
      <c r="AC337" s="718">
        <f t="shared" si="90"/>
        <v>7866.7545833333343</v>
      </c>
      <c r="AD337" s="717"/>
      <c r="AE337" s="717"/>
      <c r="AF337" s="753">
        <f t="shared" si="80"/>
        <v>0</v>
      </c>
    </row>
    <row r="338" spans="1:32">
      <c r="A338" s="677">
        <v>324</v>
      </c>
      <c r="B338" s="379" t="s">
        <v>981</v>
      </c>
      <c r="C338" s="379" t="s">
        <v>530</v>
      </c>
      <c r="D338" s="379" t="s">
        <v>1923</v>
      </c>
      <c r="E338" s="675" t="s">
        <v>1924</v>
      </c>
      <c r="F338" s="676">
        <v>0</v>
      </c>
      <c r="G338" s="676">
        <v>34533.33</v>
      </c>
      <c r="H338" s="676">
        <v>103337.65</v>
      </c>
      <c r="I338" s="676">
        <v>205798.22</v>
      </c>
      <c r="J338" s="676">
        <v>377331.64</v>
      </c>
      <c r="K338" s="676">
        <v>556400.62</v>
      </c>
      <c r="L338" s="676">
        <v>702228.65</v>
      </c>
      <c r="M338" s="676">
        <v>801606.15</v>
      </c>
      <c r="N338" s="676">
        <v>896076.18</v>
      </c>
      <c r="O338" s="676">
        <v>984024.68</v>
      </c>
      <c r="P338" s="676">
        <v>1069734.94</v>
      </c>
      <c r="Q338" s="676">
        <v>1146529.3899999999</v>
      </c>
      <c r="R338" s="676">
        <v>1212769.3899999999</v>
      </c>
      <c r="S338" s="551">
        <f t="shared" si="91"/>
        <v>623665.51208333333</v>
      </c>
      <c r="T338" s="677"/>
      <c r="U338" s="716"/>
      <c r="V338" s="755"/>
      <c r="W338" s="755">
        <f t="shared" si="89"/>
        <v>623665.51208333333</v>
      </c>
      <c r="X338" s="778"/>
      <c r="Y338" s="755"/>
      <c r="Z338" s="755"/>
      <c r="AA338" s="716"/>
      <c r="AB338" s="755"/>
      <c r="AC338" s="718">
        <f t="shared" si="90"/>
        <v>623665.51208333333</v>
      </c>
      <c r="AD338" s="717"/>
      <c r="AE338" s="717"/>
      <c r="AF338" s="753"/>
    </row>
    <row r="339" spans="1:32">
      <c r="A339" s="677">
        <v>325</v>
      </c>
      <c r="B339" s="379" t="s">
        <v>981</v>
      </c>
      <c r="C339" s="379" t="s">
        <v>530</v>
      </c>
      <c r="D339" s="379" t="s">
        <v>539</v>
      </c>
      <c r="E339" s="675" t="s">
        <v>1925</v>
      </c>
      <c r="F339" s="676">
        <v>0</v>
      </c>
      <c r="G339" s="676">
        <v>0</v>
      </c>
      <c r="H339" s="676">
        <v>0</v>
      </c>
      <c r="I339" s="676">
        <v>7555.44</v>
      </c>
      <c r="J339" s="676">
        <v>7555.44</v>
      </c>
      <c r="K339" s="676">
        <v>7555.44</v>
      </c>
      <c r="L339" s="676">
        <v>17094.7</v>
      </c>
      <c r="M339" s="676">
        <v>17094.7</v>
      </c>
      <c r="N339" s="676">
        <v>17094.7</v>
      </c>
      <c r="O339" s="676">
        <v>25258.66</v>
      </c>
      <c r="P339" s="676">
        <v>25258.66</v>
      </c>
      <c r="Q339" s="676">
        <v>25258.66</v>
      </c>
      <c r="R339" s="676">
        <v>33252.980000000003</v>
      </c>
      <c r="S339" s="551">
        <f t="shared" si="91"/>
        <v>13862.740833333331</v>
      </c>
      <c r="T339" s="677"/>
      <c r="U339" s="716"/>
      <c r="V339" s="755"/>
      <c r="W339" s="755">
        <f t="shared" si="89"/>
        <v>13862.740833333331</v>
      </c>
      <c r="X339" s="778"/>
      <c r="Y339" s="755"/>
      <c r="Z339" s="755"/>
      <c r="AA339" s="716"/>
      <c r="AB339" s="755"/>
      <c r="AC339" s="718">
        <f t="shared" si="90"/>
        <v>13862.740833333331</v>
      </c>
      <c r="AD339" s="717"/>
      <c r="AE339" s="717"/>
      <c r="AF339" s="753"/>
    </row>
    <row r="340" spans="1:32">
      <c r="A340" s="677">
        <v>326</v>
      </c>
      <c r="B340" s="379" t="s">
        <v>1009</v>
      </c>
      <c r="C340" s="379" t="s">
        <v>530</v>
      </c>
      <c r="D340" s="379" t="s">
        <v>1209</v>
      </c>
      <c r="E340" s="675" t="s">
        <v>1646</v>
      </c>
      <c r="F340" s="676">
        <v>3105.24</v>
      </c>
      <c r="G340" s="676">
        <v>50.32</v>
      </c>
      <c r="H340" s="676">
        <v>117.73</v>
      </c>
      <c r="I340" s="676">
        <v>241.09</v>
      </c>
      <c r="J340" s="676">
        <v>481.33</v>
      </c>
      <c r="K340" s="676">
        <v>732.42</v>
      </c>
      <c r="L340" s="676">
        <v>949.16</v>
      </c>
      <c r="M340" s="676">
        <v>1236.6300000000001</v>
      </c>
      <c r="N340" s="676">
        <v>1532.37</v>
      </c>
      <c r="O340" s="676">
        <v>1820.65</v>
      </c>
      <c r="P340" s="676">
        <v>2317.12</v>
      </c>
      <c r="Q340" s="676">
        <v>2571.5300000000002</v>
      </c>
      <c r="R340" s="676">
        <v>4567.83</v>
      </c>
      <c r="S340" s="551">
        <f t="shared" ref="S340:S345" si="92">((F340+R340)+((G340+H340+I340+J340+K340+L340+M340+N340+O340+P340+Q340)*2))/24</f>
        <v>1323.9070833333333</v>
      </c>
      <c r="T340" s="677"/>
      <c r="U340" s="716"/>
      <c r="V340" s="755"/>
      <c r="W340" s="755">
        <f t="shared" si="89"/>
        <v>1323.9070833333333</v>
      </c>
      <c r="X340" s="778"/>
      <c r="Y340" s="755"/>
      <c r="Z340" s="755"/>
      <c r="AA340" s="716"/>
      <c r="AB340" s="755"/>
      <c r="AC340" s="718">
        <f t="shared" si="90"/>
        <v>1323.9070833333333</v>
      </c>
      <c r="AD340" s="717"/>
      <c r="AE340" s="717"/>
      <c r="AF340" s="753">
        <f t="shared" si="80"/>
        <v>0</v>
      </c>
    </row>
    <row r="341" spans="1:32">
      <c r="A341" s="677">
        <v>327</v>
      </c>
      <c r="B341" s="379" t="s">
        <v>1009</v>
      </c>
      <c r="C341" s="379" t="s">
        <v>530</v>
      </c>
      <c r="D341" s="379" t="s">
        <v>1210</v>
      </c>
      <c r="E341" s="675" t="s">
        <v>1647</v>
      </c>
      <c r="F341" s="676">
        <v>156518.59</v>
      </c>
      <c r="G341" s="676">
        <v>0</v>
      </c>
      <c r="H341" s="676">
        <v>0</v>
      </c>
      <c r="I341" s="676">
        <v>0</v>
      </c>
      <c r="J341" s="676">
        <v>0</v>
      </c>
      <c r="K341" s="676">
        <v>0</v>
      </c>
      <c r="L341" s="676">
        <v>0</v>
      </c>
      <c r="M341" s="676">
        <v>0</v>
      </c>
      <c r="N341" s="676">
        <v>0</v>
      </c>
      <c r="O341" s="676">
        <v>0</v>
      </c>
      <c r="P341" s="676">
        <v>0</v>
      </c>
      <c r="Q341" s="676">
        <v>0</v>
      </c>
      <c r="R341" s="676">
        <v>0</v>
      </c>
      <c r="S341" s="551">
        <f t="shared" si="92"/>
        <v>6521.6079166666668</v>
      </c>
      <c r="T341" s="677"/>
      <c r="U341" s="716"/>
      <c r="V341" s="755"/>
      <c r="W341" s="755">
        <f t="shared" si="89"/>
        <v>6521.6079166666668</v>
      </c>
      <c r="X341" s="778"/>
      <c r="Y341" s="755"/>
      <c r="Z341" s="755"/>
      <c r="AA341" s="716"/>
      <c r="AB341" s="755"/>
      <c r="AC341" s="718">
        <f t="shared" si="90"/>
        <v>6521.6079166666668</v>
      </c>
      <c r="AD341" s="717"/>
      <c r="AE341" s="717"/>
      <c r="AF341" s="753">
        <f t="shared" si="80"/>
        <v>0</v>
      </c>
    </row>
    <row r="342" spans="1:32">
      <c r="A342" s="677">
        <v>328</v>
      </c>
      <c r="B342" s="379" t="s">
        <v>1009</v>
      </c>
      <c r="C342" s="379" t="s">
        <v>530</v>
      </c>
      <c r="D342" s="379" t="s">
        <v>1211</v>
      </c>
      <c r="E342" s="675" t="s">
        <v>1648</v>
      </c>
      <c r="F342" s="676">
        <v>39378.44</v>
      </c>
      <c r="G342" s="676">
        <v>0</v>
      </c>
      <c r="H342" s="676">
        <v>0</v>
      </c>
      <c r="I342" s="676">
        <v>0</v>
      </c>
      <c r="J342" s="676">
        <v>9490.2900000000009</v>
      </c>
      <c r="K342" s="676">
        <v>21965.360000000001</v>
      </c>
      <c r="L342" s="676">
        <v>31077.74</v>
      </c>
      <c r="M342" s="676">
        <v>40780.449999999997</v>
      </c>
      <c r="N342" s="676">
        <v>50530.43</v>
      </c>
      <c r="O342" s="676">
        <v>58370.19</v>
      </c>
      <c r="P342" s="676">
        <v>67212.75</v>
      </c>
      <c r="Q342" s="676">
        <v>79771.240000000005</v>
      </c>
      <c r="R342" s="676">
        <v>92377.64</v>
      </c>
      <c r="S342" s="551">
        <f t="shared" si="92"/>
        <v>35423.040833333333</v>
      </c>
      <c r="T342" s="677"/>
      <c r="U342" s="716"/>
      <c r="V342" s="755"/>
      <c r="W342" s="755">
        <f t="shared" si="89"/>
        <v>35423.040833333333</v>
      </c>
      <c r="X342" s="778"/>
      <c r="Y342" s="755"/>
      <c r="Z342" s="755"/>
      <c r="AA342" s="716"/>
      <c r="AB342" s="755"/>
      <c r="AC342" s="718">
        <f t="shared" si="90"/>
        <v>35423.040833333333</v>
      </c>
      <c r="AD342" s="717"/>
      <c r="AE342" s="717"/>
      <c r="AF342" s="753">
        <f t="shared" si="80"/>
        <v>0</v>
      </c>
    </row>
    <row r="343" spans="1:32">
      <c r="A343" s="677">
        <v>329</v>
      </c>
      <c r="B343" s="379" t="s">
        <v>984</v>
      </c>
      <c r="C343" s="379" t="s">
        <v>530</v>
      </c>
      <c r="D343" s="379" t="s">
        <v>1209</v>
      </c>
      <c r="E343" s="675" t="s">
        <v>1646</v>
      </c>
      <c r="F343" s="676">
        <v>12321.35</v>
      </c>
      <c r="G343" s="676">
        <v>144.74</v>
      </c>
      <c r="H343" s="676">
        <v>424.49</v>
      </c>
      <c r="I343" s="676">
        <v>944.89</v>
      </c>
      <c r="J343" s="676">
        <v>1674.17</v>
      </c>
      <c r="K343" s="676">
        <v>2379.8200000000002</v>
      </c>
      <c r="L343" s="676">
        <v>3131.36</v>
      </c>
      <c r="M343" s="676">
        <v>4037.04</v>
      </c>
      <c r="N343" s="676">
        <v>5172.18</v>
      </c>
      <c r="O343" s="676">
        <v>6230.27</v>
      </c>
      <c r="P343" s="676">
        <v>7596.28</v>
      </c>
      <c r="Q343" s="676">
        <v>8494.06</v>
      </c>
      <c r="R343" s="676">
        <v>16599.79</v>
      </c>
      <c r="S343" s="551">
        <f t="shared" si="92"/>
        <v>4557.4891666666672</v>
      </c>
      <c r="T343" s="677"/>
      <c r="U343" s="716"/>
      <c r="V343" s="755"/>
      <c r="W343" s="755">
        <f t="shared" si="89"/>
        <v>4557.4891666666672</v>
      </c>
      <c r="X343" s="778"/>
      <c r="Y343" s="755"/>
      <c r="Z343" s="755"/>
      <c r="AA343" s="716"/>
      <c r="AB343" s="755"/>
      <c r="AC343" s="718">
        <f t="shared" si="90"/>
        <v>4557.4891666666672</v>
      </c>
      <c r="AD343" s="717"/>
      <c r="AE343" s="717"/>
      <c r="AF343" s="753">
        <f t="shared" si="80"/>
        <v>0</v>
      </c>
    </row>
    <row r="344" spans="1:32">
      <c r="A344" s="677">
        <v>330</v>
      </c>
      <c r="B344" s="379" t="s">
        <v>984</v>
      </c>
      <c r="C344" s="379" t="s">
        <v>530</v>
      </c>
      <c r="D344" s="379" t="s">
        <v>1210</v>
      </c>
      <c r="E344" s="675" t="s">
        <v>1647</v>
      </c>
      <c r="F344" s="676">
        <v>0</v>
      </c>
      <c r="G344" s="676">
        <v>0</v>
      </c>
      <c r="H344" s="676">
        <v>0</v>
      </c>
      <c r="I344" s="676">
        <v>0</v>
      </c>
      <c r="J344" s="676">
        <v>0</v>
      </c>
      <c r="K344" s="676">
        <v>0</v>
      </c>
      <c r="L344" s="676">
        <v>0</v>
      </c>
      <c r="M344" s="676">
        <v>0</v>
      </c>
      <c r="N344" s="676">
        <v>0</v>
      </c>
      <c r="O344" s="676">
        <v>0</v>
      </c>
      <c r="P344" s="676">
        <v>0</v>
      </c>
      <c r="Q344" s="676">
        <v>0</v>
      </c>
      <c r="R344" s="676">
        <v>0</v>
      </c>
      <c r="S344" s="551">
        <f t="shared" si="92"/>
        <v>0</v>
      </c>
      <c r="T344" s="677"/>
      <c r="U344" s="716"/>
      <c r="V344" s="755"/>
      <c r="W344" s="755">
        <f t="shared" si="89"/>
        <v>0</v>
      </c>
      <c r="X344" s="778"/>
      <c r="Y344" s="755"/>
      <c r="Z344" s="755"/>
      <c r="AA344" s="716"/>
      <c r="AB344" s="755"/>
      <c r="AC344" s="718">
        <f t="shared" si="90"/>
        <v>0</v>
      </c>
      <c r="AD344" s="717"/>
      <c r="AE344" s="717"/>
      <c r="AF344" s="753">
        <f t="shared" si="80"/>
        <v>0</v>
      </c>
    </row>
    <row r="345" spans="1:32">
      <c r="A345" s="677">
        <v>331</v>
      </c>
      <c r="B345" s="379" t="s">
        <v>984</v>
      </c>
      <c r="C345" s="379" t="s">
        <v>530</v>
      </c>
      <c r="D345" s="379" t="s">
        <v>1211</v>
      </c>
      <c r="E345" s="675" t="s">
        <v>1648</v>
      </c>
      <c r="F345" s="676">
        <v>53464.6</v>
      </c>
      <c r="G345" s="676">
        <v>0</v>
      </c>
      <c r="H345" s="676">
        <v>0</v>
      </c>
      <c r="I345" s="676">
        <v>0</v>
      </c>
      <c r="J345" s="676">
        <v>0</v>
      </c>
      <c r="K345" s="676">
        <v>0</v>
      </c>
      <c r="L345" s="676">
        <v>0</v>
      </c>
      <c r="M345" s="676">
        <v>0</v>
      </c>
      <c r="N345" s="676">
        <v>0</v>
      </c>
      <c r="O345" s="676">
        <v>0</v>
      </c>
      <c r="P345" s="676">
        <v>0</v>
      </c>
      <c r="Q345" s="676">
        <v>0</v>
      </c>
      <c r="R345" s="676">
        <v>0</v>
      </c>
      <c r="S345" s="551">
        <f t="shared" si="92"/>
        <v>2227.6916666666666</v>
      </c>
      <c r="T345" s="677"/>
      <c r="U345" s="716"/>
      <c r="V345" s="755"/>
      <c r="W345" s="755">
        <f t="shared" si="89"/>
        <v>2227.6916666666666</v>
      </c>
      <c r="X345" s="778"/>
      <c r="Y345" s="755"/>
      <c r="Z345" s="755"/>
      <c r="AA345" s="716"/>
      <c r="AB345" s="755"/>
      <c r="AC345" s="718">
        <f t="shared" si="90"/>
        <v>2227.6916666666666</v>
      </c>
      <c r="AD345" s="717"/>
      <c r="AE345" s="717"/>
      <c r="AF345" s="753">
        <f t="shared" si="80"/>
        <v>0</v>
      </c>
    </row>
    <row r="346" spans="1:32">
      <c r="A346" s="677">
        <v>332</v>
      </c>
      <c r="B346" s="379" t="s">
        <v>981</v>
      </c>
      <c r="C346" s="379" t="s">
        <v>531</v>
      </c>
      <c r="D346" s="677"/>
      <c r="E346" s="675" t="s">
        <v>532</v>
      </c>
      <c r="F346" s="676">
        <v>200172.75</v>
      </c>
      <c r="G346" s="676">
        <v>16464.189999999999</v>
      </c>
      <c r="H346" s="676">
        <v>33621.160000000003</v>
      </c>
      <c r="I346" s="676">
        <v>50081.73</v>
      </c>
      <c r="J346" s="676">
        <v>66542.3</v>
      </c>
      <c r="K346" s="676">
        <v>86139.56</v>
      </c>
      <c r="L346" s="676">
        <v>169066.61</v>
      </c>
      <c r="M346" s="676">
        <v>186772.98</v>
      </c>
      <c r="N346" s="676">
        <v>142055.23000000001</v>
      </c>
      <c r="O346" s="676">
        <v>160580.14000000001</v>
      </c>
      <c r="P346" s="676">
        <v>179105.05</v>
      </c>
      <c r="Q346" s="676">
        <v>198455.11</v>
      </c>
      <c r="R346" s="676">
        <v>216975.49</v>
      </c>
      <c r="S346" s="551">
        <f>((F346+R346)+((G346+H346+I346+J346+K346+L346+M346+N346+O346+P346+Q346)*2))/24</f>
        <v>124788.18166666669</v>
      </c>
      <c r="T346" s="677"/>
      <c r="U346" s="716"/>
      <c r="V346" s="755"/>
      <c r="W346" s="755">
        <f t="shared" si="89"/>
        <v>124788.18166666669</v>
      </c>
      <c r="X346" s="778"/>
      <c r="Y346" s="755"/>
      <c r="Z346" s="755"/>
      <c r="AA346" s="716"/>
      <c r="AB346" s="755"/>
      <c r="AC346" s="718">
        <f t="shared" si="90"/>
        <v>124788.18166666669</v>
      </c>
      <c r="AD346" s="717"/>
      <c r="AE346" s="717"/>
      <c r="AF346" s="753">
        <f t="shared" si="80"/>
        <v>0</v>
      </c>
    </row>
    <row r="347" spans="1:32">
      <c r="A347" s="677">
        <v>333</v>
      </c>
      <c r="B347" s="379" t="s">
        <v>981</v>
      </c>
      <c r="C347" s="379" t="s">
        <v>533</v>
      </c>
      <c r="D347" s="677"/>
      <c r="E347" s="675" t="s">
        <v>1644</v>
      </c>
      <c r="F347" s="366">
        <v>40970.639999999999</v>
      </c>
      <c r="G347" s="366">
        <v>3414.22</v>
      </c>
      <c r="H347" s="366">
        <v>6828.44</v>
      </c>
      <c r="I347" s="366">
        <v>10242.66</v>
      </c>
      <c r="J347" s="366">
        <v>13656.88</v>
      </c>
      <c r="K347" s="366">
        <v>17071.099999999999</v>
      </c>
      <c r="L347" s="366">
        <v>20485.32</v>
      </c>
      <c r="M347" s="366">
        <v>23899.54</v>
      </c>
      <c r="N347" s="366">
        <v>27313.759999999998</v>
      </c>
      <c r="O347" s="366">
        <v>30727.98</v>
      </c>
      <c r="P347" s="366">
        <v>34142.199999999997</v>
      </c>
      <c r="Q347" s="366">
        <v>37556.42</v>
      </c>
      <c r="R347" s="366">
        <v>40970.639999999999</v>
      </c>
      <c r="S347" s="551">
        <f>((F347+R347)+((G347+H347+I347+J347+K347+L347+M347+N347+O347+P347+Q347)*2))/24</f>
        <v>22192.429999999997</v>
      </c>
      <c r="T347" s="677"/>
      <c r="U347" s="716"/>
      <c r="V347" s="755"/>
      <c r="W347" s="755">
        <f t="shared" si="89"/>
        <v>22192.429999999997</v>
      </c>
      <c r="X347" s="778"/>
      <c r="Y347" s="755"/>
      <c r="Z347" s="755"/>
      <c r="AA347" s="716"/>
      <c r="AB347" s="755"/>
      <c r="AC347" s="718">
        <f t="shared" si="90"/>
        <v>22192.429999999997</v>
      </c>
      <c r="AD347" s="717"/>
      <c r="AE347" s="717"/>
      <c r="AF347" s="753">
        <f t="shared" si="80"/>
        <v>0</v>
      </c>
    </row>
    <row r="348" spans="1:32">
      <c r="A348" s="677">
        <v>334</v>
      </c>
      <c r="B348" s="677"/>
      <c r="C348" s="677"/>
      <c r="D348" s="677"/>
      <c r="E348" s="675" t="s">
        <v>534</v>
      </c>
      <c r="F348" s="358">
        <f t="shared" ref="F348:S348" si="93">SUM(F332:F347)</f>
        <v>12288416.85</v>
      </c>
      <c r="G348" s="358">
        <f t="shared" si="93"/>
        <v>1156006.6399999999</v>
      </c>
      <c r="H348" s="358">
        <f t="shared" si="93"/>
        <v>2335818.46</v>
      </c>
      <c r="I348" s="358">
        <f t="shared" si="93"/>
        <v>3562062.37</v>
      </c>
      <c r="J348" s="358">
        <f t="shared" si="93"/>
        <v>4802203.4799999995</v>
      </c>
      <c r="K348" s="358">
        <f t="shared" si="93"/>
        <v>6161593.5500000007</v>
      </c>
      <c r="L348" s="358">
        <f t="shared" si="93"/>
        <v>7680596.2400000012</v>
      </c>
      <c r="M348" s="358">
        <f t="shared" si="93"/>
        <v>9040357.839999998</v>
      </c>
      <c r="N348" s="358">
        <f t="shared" si="93"/>
        <v>10364554.799999999</v>
      </c>
      <c r="O348" s="358">
        <f t="shared" si="93"/>
        <v>11750300.390000001</v>
      </c>
      <c r="P348" s="358">
        <f t="shared" si="93"/>
        <v>13080449.229999997</v>
      </c>
      <c r="Q348" s="358">
        <f t="shared" si="93"/>
        <v>14428640.719999999</v>
      </c>
      <c r="R348" s="358">
        <f t="shared" si="93"/>
        <v>15822821.99</v>
      </c>
      <c r="S348" s="553">
        <f t="shared" si="93"/>
        <v>8201516.9283333337</v>
      </c>
      <c r="T348" s="677"/>
      <c r="U348" s="716"/>
      <c r="V348" s="755"/>
      <c r="W348" s="755"/>
      <c r="X348" s="778"/>
      <c r="Y348" s="755"/>
      <c r="Z348" s="755"/>
      <c r="AA348" s="716"/>
      <c r="AB348" s="755"/>
      <c r="AC348" s="717"/>
      <c r="AD348" s="717"/>
      <c r="AE348" s="717"/>
      <c r="AF348" s="753">
        <f t="shared" si="80"/>
        <v>0</v>
      </c>
    </row>
    <row r="349" spans="1:32">
      <c r="A349" s="677">
        <v>335</v>
      </c>
      <c r="B349" s="677"/>
      <c r="C349" s="677"/>
      <c r="D349" s="677"/>
      <c r="E349" s="675"/>
      <c r="F349" s="676"/>
      <c r="G349" s="377"/>
      <c r="H349" s="368"/>
      <c r="I349" s="368"/>
      <c r="J349" s="369"/>
      <c r="K349" s="370"/>
      <c r="L349" s="371"/>
      <c r="M349" s="372"/>
      <c r="N349" s="373"/>
      <c r="O349" s="663"/>
      <c r="P349" s="374"/>
      <c r="Q349" s="378"/>
      <c r="R349" s="676"/>
      <c r="S349" s="357"/>
      <c r="T349" s="677"/>
      <c r="U349" s="716"/>
      <c r="V349" s="755"/>
      <c r="W349" s="755"/>
      <c r="X349" s="778"/>
      <c r="Y349" s="755"/>
      <c r="Z349" s="755"/>
      <c r="AA349" s="716"/>
      <c r="AB349" s="755"/>
      <c r="AC349" s="717"/>
      <c r="AD349" s="717"/>
      <c r="AE349" s="717"/>
      <c r="AF349" s="753">
        <f t="shared" si="80"/>
        <v>0</v>
      </c>
    </row>
    <row r="350" spans="1:32">
      <c r="A350" s="677">
        <v>336</v>
      </c>
      <c r="B350" s="379" t="s">
        <v>1009</v>
      </c>
      <c r="C350" s="379" t="s">
        <v>535</v>
      </c>
      <c r="D350" s="379" t="s">
        <v>1212</v>
      </c>
      <c r="E350" s="675" t="s">
        <v>1651</v>
      </c>
      <c r="F350" s="676">
        <v>477754.1</v>
      </c>
      <c r="G350" s="676">
        <v>-1106116.25</v>
      </c>
      <c r="H350" s="676">
        <v>360934.49</v>
      </c>
      <c r="I350" s="676">
        <v>304626.49</v>
      </c>
      <c r="J350" s="676">
        <v>60968.1</v>
      </c>
      <c r="K350" s="676">
        <v>-120515.98</v>
      </c>
      <c r="L350" s="676">
        <v>-340927.21</v>
      </c>
      <c r="M350" s="676">
        <v>-656514.9</v>
      </c>
      <c r="N350" s="676">
        <v>-1034313.55</v>
      </c>
      <c r="O350" s="676">
        <v>-900351.67</v>
      </c>
      <c r="P350" s="676">
        <v>-972430.98</v>
      </c>
      <c r="Q350" s="676">
        <v>-1075747.08</v>
      </c>
      <c r="R350" s="676">
        <v>-638181.51</v>
      </c>
      <c r="S350" s="551">
        <f t="shared" ref="S350:S370" si="94">((F350+R350)+((G350+H350+I350+J350+K350+L350+M350+N350+O350+P350+Q350)*2))/24</f>
        <v>-463383.52041666675</v>
      </c>
      <c r="T350" s="677"/>
      <c r="U350" s="716"/>
      <c r="V350" s="755"/>
      <c r="W350" s="755">
        <f t="shared" ref="W350:W370" si="95">+S350</f>
        <v>-463383.52041666675</v>
      </c>
      <c r="X350" s="778"/>
      <c r="Y350" s="755"/>
      <c r="Z350" s="755"/>
      <c r="AA350" s="716"/>
      <c r="AB350" s="755"/>
      <c r="AC350" s="718">
        <f t="shared" ref="AC350:AC370" si="96">+S350</f>
        <v>-463383.52041666675</v>
      </c>
      <c r="AD350" s="717"/>
      <c r="AE350" s="717"/>
      <c r="AF350" s="753">
        <f t="shared" si="80"/>
        <v>0</v>
      </c>
    </row>
    <row r="351" spans="1:32">
      <c r="A351" s="677">
        <v>337</v>
      </c>
      <c r="B351" s="379" t="s">
        <v>1009</v>
      </c>
      <c r="C351" s="379" t="s">
        <v>535</v>
      </c>
      <c r="D351" s="379" t="s">
        <v>1213</v>
      </c>
      <c r="E351" s="675" t="s">
        <v>1652</v>
      </c>
      <c r="F351" s="676">
        <v>-461581.72</v>
      </c>
      <c r="G351" s="676">
        <v>4449.66</v>
      </c>
      <c r="H351" s="676">
        <v>-310132.34000000003</v>
      </c>
      <c r="I351" s="676">
        <v>-655617.5</v>
      </c>
      <c r="J351" s="676">
        <v>-653131</v>
      </c>
      <c r="K351" s="676">
        <v>-734062.41</v>
      </c>
      <c r="L351" s="676">
        <v>-843428.71</v>
      </c>
      <c r="M351" s="676">
        <v>-983006.67</v>
      </c>
      <c r="N351" s="676">
        <v>-1116988.21</v>
      </c>
      <c r="O351" s="676">
        <v>-1049291.58</v>
      </c>
      <c r="P351" s="676">
        <v>-1068975.5</v>
      </c>
      <c r="Q351" s="676">
        <v>-1029140.04</v>
      </c>
      <c r="R351" s="676">
        <v>-941388.15</v>
      </c>
      <c r="S351" s="551">
        <f t="shared" si="94"/>
        <v>-761734.10291666677</v>
      </c>
      <c r="T351" s="677"/>
      <c r="U351" s="716"/>
      <c r="V351" s="755"/>
      <c r="W351" s="755">
        <f t="shared" si="95"/>
        <v>-761734.10291666677</v>
      </c>
      <c r="X351" s="778"/>
      <c r="Y351" s="755"/>
      <c r="Z351" s="755"/>
      <c r="AA351" s="716"/>
      <c r="AB351" s="755"/>
      <c r="AC351" s="718">
        <f t="shared" si="96"/>
        <v>-761734.10291666677</v>
      </c>
      <c r="AD351" s="717"/>
      <c r="AE351" s="717"/>
      <c r="AF351" s="753">
        <f t="shared" si="80"/>
        <v>0</v>
      </c>
    </row>
    <row r="352" spans="1:32">
      <c r="A352" s="677">
        <v>338</v>
      </c>
      <c r="B352" s="379" t="s">
        <v>984</v>
      </c>
      <c r="C352" s="379" t="s">
        <v>535</v>
      </c>
      <c r="D352" s="379" t="s">
        <v>1212</v>
      </c>
      <c r="E352" s="675" t="s">
        <v>1651</v>
      </c>
      <c r="F352" s="676">
        <v>-5897972.5800000001</v>
      </c>
      <c r="G352" s="676">
        <v>1164652.29</v>
      </c>
      <c r="H352" s="676">
        <v>-3906190.58</v>
      </c>
      <c r="I352" s="676">
        <v>-7792882.1500000004</v>
      </c>
      <c r="J352" s="676">
        <v>-7521783.9699999997</v>
      </c>
      <c r="K352" s="676">
        <v>-8265924.8300000001</v>
      </c>
      <c r="L352" s="676">
        <v>-9301275.4000000004</v>
      </c>
      <c r="M352" s="676">
        <v>-10583539.939999999</v>
      </c>
      <c r="N352" s="676">
        <v>-11739653.470000001</v>
      </c>
      <c r="O352" s="676">
        <v>-11096809.800000001</v>
      </c>
      <c r="P352" s="676">
        <v>-11252771.48</v>
      </c>
      <c r="Q352" s="676">
        <v>-11444564.33</v>
      </c>
      <c r="R352" s="676">
        <v>-10887316.07</v>
      </c>
      <c r="S352" s="551">
        <f t="shared" si="94"/>
        <v>-8344448.9987500003</v>
      </c>
      <c r="T352" s="677"/>
      <c r="U352" s="716"/>
      <c r="V352" s="755"/>
      <c r="W352" s="755">
        <f t="shared" si="95"/>
        <v>-8344448.9987500003</v>
      </c>
      <c r="X352" s="778"/>
      <c r="Y352" s="755"/>
      <c r="Z352" s="755"/>
      <c r="AA352" s="716"/>
      <c r="AB352" s="755"/>
      <c r="AC352" s="718">
        <f t="shared" si="96"/>
        <v>-8344448.9987500003</v>
      </c>
      <c r="AD352" s="717"/>
      <c r="AE352" s="717"/>
      <c r="AF352" s="753">
        <f t="shared" si="80"/>
        <v>0</v>
      </c>
    </row>
    <row r="353" spans="1:32">
      <c r="A353" s="677">
        <v>339</v>
      </c>
      <c r="B353" s="379" t="s">
        <v>981</v>
      </c>
      <c r="C353" s="379" t="s">
        <v>536</v>
      </c>
      <c r="D353" s="379" t="s">
        <v>1212</v>
      </c>
      <c r="E353" s="675" t="s">
        <v>1649</v>
      </c>
      <c r="F353" s="676">
        <v>-0.66000000003987203</v>
      </c>
      <c r="G353" s="676">
        <v>0</v>
      </c>
      <c r="H353" s="676">
        <v>0</v>
      </c>
      <c r="I353" s="676">
        <v>0</v>
      </c>
      <c r="J353" s="676">
        <v>0</v>
      </c>
      <c r="K353" s="676">
        <v>0</v>
      </c>
      <c r="L353" s="676">
        <v>0</v>
      </c>
      <c r="M353" s="676">
        <v>0</v>
      </c>
      <c r="N353" s="676">
        <v>0</v>
      </c>
      <c r="O353" s="676">
        <v>0</v>
      </c>
      <c r="P353" s="676">
        <v>0</v>
      </c>
      <c r="Q353" s="676">
        <v>0</v>
      </c>
      <c r="R353" s="676">
        <v>0</v>
      </c>
      <c r="S353" s="551">
        <f t="shared" si="94"/>
        <v>-2.7500000001661334E-2</v>
      </c>
      <c r="T353" s="677"/>
      <c r="U353" s="716"/>
      <c r="V353" s="755"/>
      <c r="W353" s="755">
        <f t="shared" si="95"/>
        <v>-2.7500000001661334E-2</v>
      </c>
      <c r="X353" s="778"/>
      <c r="Y353" s="755"/>
      <c r="Z353" s="755"/>
      <c r="AA353" s="716"/>
      <c r="AB353" s="755"/>
      <c r="AC353" s="718">
        <f t="shared" si="96"/>
        <v>-2.7500000001661334E-2</v>
      </c>
      <c r="AD353" s="717"/>
      <c r="AE353" s="717"/>
      <c r="AF353" s="753">
        <f t="shared" si="80"/>
        <v>0</v>
      </c>
    </row>
    <row r="354" spans="1:32">
      <c r="A354" s="677">
        <v>340</v>
      </c>
      <c r="B354" s="379" t="s">
        <v>984</v>
      </c>
      <c r="C354" s="379" t="s">
        <v>536</v>
      </c>
      <c r="D354" s="379" t="s">
        <v>1212</v>
      </c>
      <c r="E354" s="675" t="s">
        <v>1649</v>
      </c>
      <c r="F354" s="676">
        <v>-202795.88</v>
      </c>
      <c r="G354" s="676">
        <v>33862.14</v>
      </c>
      <c r="H354" s="676">
        <v>-114363.35</v>
      </c>
      <c r="I354" s="676">
        <v>-62698.27</v>
      </c>
      <c r="J354" s="676">
        <v>436.49000000001303</v>
      </c>
      <c r="K354" s="676">
        <v>105548.77</v>
      </c>
      <c r="L354" s="676">
        <v>184457.71</v>
      </c>
      <c r="M354" s="676">
        <v>236745.25</v>
      </c>
      <c r="N354" s="676">
        <v>325665.51</v>
      </c>
      <c r="O354" s="676">
        <v>405737.39</v>
      </c>
      <c r="P354" s="676">
        <v>482461.55</v>
      </c>
      <c r="Q354" s="676">
        <v>511190.11</v>
      </c>
      <c r="R354" s="676">
        <v>616283.49</v>
      </c>
      <c r="S354" s="551">
        <f t="shared" si="94"/>
        <v>192982.25875000004</v>
      </c>
      <c r="T354" s="677"/>
      <c r="U354" s="716"/>
      <c r="V354" s="755"/>
      <c r="W354" s="755">
        <f t="shared" si="95"/>
        <v>192982.25875000004</v>
      </c>
      <c r="X354" s="778"/>
      <c r="Y354" s="755"/>
      <c r="Z354" s="755"/>
      <c r="AA354" s="716"/>
      <c r="AB354" s="755"/>
      <c r="AC354" s="718">
        <f t="shared" si="96"/>
        <v>192982.25875000004</v>
      </c>
      <c r="AD354" s="717"/>
      <c r="AE354" s="717"/>
      <c r="AF354" s="753">
        <f t="shared" si="80"/>
        <v>0</v>
      </c>
    </row>
    <row r="355" spans="1:32">
      <c r="A355" s="677">
        <v>341</v>
      </c>
      <c r="B355" s="379" t="s">
        <v>1009</v>
      </c>
      <c r="C355" s="379" t="s">
        <v>536</v>
      </c>
      <c r="D355" s="379" t="s">
        <v>1212</v>
      </c>
      <c r="E355" s="675" t="s">
        <v>1649</v>
      </c>
      <c r="F355" s="676">
        <v>-41879.49</v>
      </c>
      <c r="G355" s="676">
        <v>165.09</v>
      </c>
      <c r="H355" s="676">
        <v>-58971.95</v>
      </c>
      <c r="I355" s="676">
        <v>-56500.07</v>
      </c>
      <c r="J355" s="676">
        <v>-53017.59</v>
      </c>
      <c r="K355" s="676">
        <v>-48856.44</v>
      </c>
      <c r="L355" s="676">
        <v>-45565.31</v>
      </c>
      <c r="M355" s="676">
        <v>-53413.01</v>
      </c>
      <c r="N355" s="676">
        <v>-51639.28</v>
      </c>
      <c r="O355" s="676">
        <v>-50790.29</v>
      </c>
      <c r="P355" s="676">
        <v>-49747.69</v>
      </c>
      <c r="Q355" s="676">
        <v>-34705.440000000002</v>
      </c>
      <c r="R355" s="676">
        <v>-29139.84</v>
      </c>
      <c r="S355" s="551">
        <f t="shared" si="94"/>
        <v>-44879.303749999999</v>
      </c>
      <c r="T355" s="677"/>
      <c r="U355" s="716"/>
      <c r="V355" s="755"/>
      <c r="W355" s="755">
        <f t="shared" si="95"/>
        <v>-44879.303749999999</v>
      </c>
      <c r="X355" s="778"/>
      <c r="Y355" s="755"/>
      <c r="Z355" s="755"/>
      <c r="AA355" s="716"/>
      <c r="AB355" s="755"/>
      <c r="AC355" s="718">
        <f t="shared" si="96"/>
        <v>-44879.303749999999</v>
      </c>
      <c r="AD355" s="717"/>
      <c r="AE355" s="717"/>
      <c r="AF355" s="753">
        <f t="shared" si="80"/>
        <v>0</v>
      </c>
    </row>
    <row r="356" spans="1:32">
      <c r="A356" s="677">
        <v>342</v>
      </c>
      <c r="B356" s="379" t="s">
        <v>1009</v>
      </c>
      <c r="C356" s="379" t="s">
        <v>536</v>
      </c>
      <c r="D356" s="379" t="s">
        <v>1213</v>
      </c>
      <c r="E356" s="675" t="s">
        <v>1653</v>
      </c>
      <c r="F356" s="676">
        <v>-27118.1</v>
      </c>
      <c r="G356" s="676">
        <v>2978.26</v>
      </c>
      <c r="H356" s="676">
        <v>-15171.34</v>
      </c>
      <c r="I356" s="676">
        <v>-10432.950000000001</v>
      </c>
      <c r="J356" s="676">
        <v>-4602.22</v>
      </c>
      <c r="K356" s="676">
        <v>4962.05</v>
      </c>
      <c r="L356" s="676">
        <v>12156.69</v>
      </c>
      <c r="M356" s="676">
        <v>16046.33</v>
      </c>
      <c r="N356" s="676">
        <v>23984.41</v>
      </c>
      <c r="O356" s="676">
        <v>31067.09</v>
      </c>
      <c r="P356" s="676">
        <v>37873.699999999997</v>
      </c>
      <c r="Q356" s="676">
        <v>-100224.79</v>
      </c>
      <c r="R356" s="676">
        <v>-89092.800000000003</v>
      </c>
      <c r="S356" s="551">
        <f t="shared" si="94"/>
        <v>-4955.6850000000004</v>
      </c>
      <c r="T356" s="677"/>
      <c r="U356" s="716"/>
      <c r="V356" s="755"/>
      <c r="W356" s="755">
        <f t="shared" si="95"/>
        <v>-4955.6850000000004</v>
      </c>
      <c r="X356" s="778"/>
      <c r="Y356" s="755"/>
      <c r="Z356" s="755"/>
      <c r="AA356" s="716"/>
      <c r="AB356" s="755"/>
      <c r="AC356" s="718">
        <f t="shared" si="96"/>
        <v>-4955.6850000000004</v>
      </c>
      <c r="AD356" s="717"/>
      <c r="AE356" s="717"/>
      <c r="AF356" s="753">
        <f t="shared" si="80"/>
        <v>0</v>
      </c>
    </row>
    <row r="357" spans="1:32">
      <c r="A357" s="677">
        <v>343</v>
      </c>
      <c r="B357" s="379" t="s">
        <v>1009</v>
      </c>
      <c r="C357" s="379" t="s">
        <v>537</v>
      </c>
      <c r="D357" s="379" t="s">
        <v>1212</v>
      </c>
      <c r="E357" s="675" t="s">
        <v>1654</v>
      </c>
      <c r="F357" s="676">
        <v>1030111.29</v>
      </c>
      <c r="G357" s="676">
        <v>1502122.64</v>
      </c>
      <c r="H357" s="676">
        <v>1584002.58</v>
      </c>
      <c r="I357" s="676">
        <v>1824710.85</v>
      </c>
      <c r="J357" s="676">
        <v>2132970.7000000002</v>
      </c>
      <c r="K357" s="676">
        <v>6942868.6699999999</v>
      </c>
      <c r="L357" s="676">
        <v>7148657.1100000003</v>
      </c>
      <c r="M357" s="676">
        <v>7259055.5899999999</v>
      </c>
      <c r="N357" s="676">
        <v>7487450.7599999998</v>
      </c>
      <c r="O357" s="676">
        <v>7513531.9000000004</v>
      </c>
      <c r="P357" s="676">
        <v>7616251.2300000004</v>
      </c>
      <c r="Q357" s="676">
        <v>8169856.7300000004</v>
      </c>
      <c r="R357" s="676">
        <v>9119545.7400000002</v>
      </c>
      <c r="S357" s="551">
        <f t="shared" si="94"/>
        <v>5354692.2729166672</v>
      </c>
      <c r="T357" s="677"/>
      <c r="U357" s="716"/>
      <c r="V357" s="755"/>
      <c r="W357" s="755">
        <f t="shared" si="95"/>
        <v>5354692.2729166672</v>
      </c>
      <c r="X357" s="778"/>
      <c r="Y357" s="755"/>
      <c r="Z357" s="755"/>
      <c r="AA357" s="716"/>
      <c r="AB357" s="755"/>
      <c r="AC357" s="718">
        <f t="shared" si="96"/>
        <v>5354692.2729166672</v>
      </c>
      <c r="AD357" s="717"/>
      <c r="AE357" s="717"/>
      <c r="AF357" s="753">
        <f t="shared" si="80"/>
        <v>0</v>
      </c>
    </row>
    <row r="358" spans="1:32">
      <c r="A358" s="677">
        <v>344</v>
      </c>
      <c r="B358" s="379" t="s">
        <v>1009</v>
      </c>
      <c r="C358" s="379" t="s">
        <v>537</v>
      </c>
      <c r="D358" s="677" t="s">
        <v>1213</v>
      </c>
      <c r="E358" s="675" t="s">
        <v>1655</v>
      </c>
      <c r="F358" s="676">
        <v>1414436.22</v>
      </c>
      <c r="G358" s="676">
        <v>156745.59</v>
      </c>
      <c r="H358" s="676">
        <v>692716.72</v>
      </c>
      <c r="I358" s="676">
        <v>1115086</v>
      </c>
      <c r="J358" s="676">
        <v>1171393.23</v>
      </c>
      <c r="K358" s="676">
        <v>2824593.05</v>
      </c>
      <c r="L358" s="676">
        <v>2904628.65</v>
      </c>
      <c r="M358" s="676">
        <v>2989308.51</v>
      </c>
      <c r="N358" s="676">
        <v>3089196.77</v>
      </c>
      <c r="O358" s="676">
        <v>3126799.81</v>
      </c>
      <c r="P358" s="676">
        <v>3170217.26</v>
      </c>
      <c r="Q358" s="676">
        <v>3390773.84</v>
      </c>
      <c r="R358" s="676">
        <v>3692365.67</v>
      </c>
      <c r="S358" s="551">
        <f t="shared" si="94"/>
        <v>2265405.0312499995</v>
      </c>
      <c r="T358" s="677"/>
      <c r="U358" s="716"/>
      <c r="V358" s="755"/>
      <c r="W358" s="755">
        <f t="shared" si="95"/>
        <v>2265405.0312499995</v>
      </c>
      <c r="X358" s="778"/>
      <c r="Y358" s="755"/>
      <c r="Z358" s="755"/>
      <c r="AA358" s="716"/>
      <c r="AB358" s="755"/>
      <c r="AC358" s="718">
        <f t="shared" si="96"/>
        <v>2265405.0312499995</v>
      </c>
      <c r="AD358" s="717"/>
      <c r="AE358" s="717"/>
      <c r="AF358" s="753">
        <f t="shared" si="80"/>
        <v>0</v>
      </c>
    </row>
    <row r="359" spans="1:32">
      <c r="A359" s="677">
        <v>345</v>
      </c>
      <c r="B359" s="379" t="s">
        <v>984</v>
      </c>
      <c r="C359" s="379" t="s">
        <v>537</v>
      </c>
      <c r="D359" s="677" t="s">
        <v>1212</v>
      </c>
      <c r="E359" s="675" t="s">
        <v>1654</v>
      </c>
      <c r="F359" s="676">
        <v>14687003.68</v>
      </c>
      <c r="G359" s="676">
        <v>157170.60999999999</v>
      </c>
      <c r="H359" s="676">
        <v>6165862.3399999999</v>
      </c>
      <c r="I359" s="676">
        <v>10673719.439999999</v>
      </c>
      <c r="J359" s="676">
        <v>10858290.310000001</v>
      </c>
      <c r="K359" s="676">
        <v>25464210.609999999</v>
      </c>
      <c r="L359" s="676">
        <v>26022982.27</v>
      </c>
      <c r="M359" s="676">
        <v>26728626.530000001</v>
      </c>
      <c r="N359" s="676">
        <v>27495811.370000001</v>
      </c>
      <c r="O359" s="676">
        <v>27756122.93</v>
      </c>
      <c r="P359" s="676">
        <v>27991593.460000001</v>
      </c>
      <c r="Q359" s="676">
        <v>29920866.98</v>
      </c>
      <c r="R359" s="676">
        <v>32227813.57</v>
      </c>
      <c r="S359" s="551">
        <f t="shared" si="94"/>
        <v>20224388.789583333</v>
      </c>
      <c r="T359" s="677"/>
      <c r="U359" s="716"/>
      <c r="V359" s="755"/>
      <c r="W359" s="755">
        <f t="shared" si="95"/>
        <v>20224388.789583333</v>
      </c>
      <c r="X359" s="778"/>
      <c r="Y359" s="755"/>
      <c r="Z359" s="755"/>
      <c r="AA359" s="716"/>
      <c r="AB359" s="755"/>
      <c r="AC359" s="718">
        <f t="shared" si="96"/>
        <v>20224388.789583333</v>
      </c>
      <c r="AD359" s="717"/>
      <c r="AE359" s="717"/>
      <c r="AF359" s="753">
        <f t="shared" si="80"/>
        <v>0</v>
      </c>
    </row>
    <row r="360" spans="1:32">
      <c r="A360" s="677">
        <v>346</v>
      </c>
      <c r="B360" s="379" t="s">
        <v>981</v>
      </c>
      <c r="C360" s="379" t="s">
        <v>538</v>
      </c>
      <c r="D360" s="677" t="s">
        <v>1212</v>
      </c>
      <c r="E360" s="675" t="s">
        <v>1650</v>
      </c>
      <c r="F360" s="676">
        <v>-9.9999999947613105E-3</v>
      </c>
      <c r="G360" s="676">
        <v>0</v>
      </c>
      <c r="H360" s="676">
        <v>0</v>
      </c>
      <c r="I360" s="676">
        <v>0</v>
      </c>
      <c r="J360" s="676">
        <v>0</v>
      </c>
      <c r="K360" s="676">
        <v>0</v>
      </c>
      <c r="L360" s="676">
        <v>0</v>
      </c>
      <c r="M360" s="676">
        <v>0</v>
      </c>
      <c r="N360" s="676">
        <v>0</v>
      </c>
      <c r="O360" s="676">
        <v>0</v>
      </c>
      <c r="P360" s="676">
        <v>0</v>
      </c>
      <c r="Q360" s="676">
        <v>0</v>
      </c>
      <c r="R360" s="676">
        <v>0</v>
      </c>
      <c r="S360" s="551">
        <f t="shared" si="94"/>
        <v>-4.1666666644838796E-4</v>
      </c>
      <c r="T360" s="677"/>
      <c r="U360" s="716"/>
      <c r="V360" s="755"/>
      <c r="W360" s="755">
        <f t="shared" si="95"/>
        <v>-4.1666666644838796E-4</v>
      </c>
      <c r="X360" s="778"/>
      <c r="Y360" s="755"/>
      <c r="Z360" s="755"/>
      <c r="AA360" s="716"/>
      <c r="AB360" s="755"/>
      <c r="AC360" s="718">
        <f t="shared" si="96"/>
        <v>-4.1666666644838796E-4</v>
      </c>
      <c r="AD360" s="717"/>
      <c r="AE360" s="717"/>
      <c r="AF360" s="753">
        <f t="shared" si="80"/>
        <v>0</v>
      </c>
    </row>
    <row r="361" spans="1:32">
      <c r="A361" s="677">
        <v>347</v>
      </c>
      <c r="B361" s="379" t="s">
        <v>984</v>
      </c>
      <c r="C361" s="379" t="s">
        <v>538</v>
      </c>
      <c r="D361" s="677" t="s">
        <v>1212</v>
      </c>
      <c r="E361" s="675" t="s">
        <v>1650</v>
      </c>
      <c r="F361" s="676">
        <v>107145.27</v>
      </c>
      <c r="G361" s="676">
        <v>16577.55</v>
      </c>
      <c r="H361" s="676">
        <v>16600.02</v>
      </c>
      <c r="I361" s="676">
        <v>16622.5</v>
      </c>
      <c r="J361" s="676">
        <v>16782.759999999998</v>
      </c>
      <c r="K361" s="676">
        <v>505882.98</v>
      </c>
      <c r="L361" s="676">
        <v>506037.91</v>
      </c>
      <c r="M361" s="676">
        <v>527991.24</v>
      </c>
      <c r="N361" s="676">
        <v>528008.38</v>
      </c>
      <c r="O361" s="676">
        <v>528025.52</v>
      </c>
      <c r="P361" s="676">
        <v>528042.66</v>
      </c>
      <c r="Q361" s="676">
        <v>528059.80000000005</v>
      </c>
      <c r="R361" s="676">
        <v>528076.93999999994</v>
      </c>
      <c r="S361" s="551">
        <f t="shared" si="94"/>
        <v>336353.53541666671</v>
      </c>
      <c r="T361" s="677"/>
      <c r="U361" s="716"/>
      <c r="V361" s="755"/>
      <c r="W361" s="755">
        <f t="shared" si="95"/>
        <v>336353.53541666671</v>
      </c>
      <c r="X361" s="778"/>
      <c r="Y361" s="755"/>
      <c r="Z361" s="755"/>
      <c r="AA361" s="716"/>
      <c r="AB361" s="755"/>
      <c r="AC361" s="718">
        <f t="shared" si="96"/>
        <v>336353.53541666671</v>
      </c>
      <c r="AD361" s="717"/>
      <c r="AE361" s="717"/>
      <c r="AF361" s="753">
        <f t="shared" si="80"/>
        <v>0</v>
      </c>
    </row>
    <row r="362" spans="1:32">
      <c r="A362" s="677">
        <v>348</v>
      </c>
      <c r="B362" s="379" t="s">
        <v>1009</v>
      </c>
      <c r="C362" s="379" t="s">
        <v>538</v>
      </c>
      <c r="D362" s="677" t="s">
        <v>1212</v>
      </c>
      <c r="E362" s="675" t="s">
        <v>1650</v>
      </c>
      <c r="F362" s="676">
        <v>36001.379999999997</v>
      </c>
      <c r="G362" s="676">
        <v>5475.86</v>
      </c>
      <c r="H362" s="676">
        <v>5483.28</v>
      </c>
      <c r="I362" s="676">
        <v>5490.7</v>
      </c>
      <c r="J362" s="676">
        <v>5543.64</v>
      </c>
      <c r="K362" s="676">
        <v>167102.23000000001</v>
      </c>
      <c r="L362" s="676">
        <v>167153.4</v>
      </c>
      <c r="M362" s="676">
        <v>174404.98</v>
      </c>
      <c r="N362" s="676">
        <v>174410.64</v>
      </c>
      <c r="O362" s="676">
        <v>174416.3</v>
      </c>
      <c r="P362" s="676">
        <v>174421.97</v>
      </c>
      <c r="Q362" s="676">
        <v>174427.64</v>
      </c>
      <c r="R362" s="676">
        <v>174433.3</v>
      </c>
      <c r="S362" s="551">
        <f t="shared" si="94"/>
        <v>111128.99833333335</v>
      </c>
      <c r="T362" s="677"/>
      <c r="U362" s="716"/>
      <c r="V362" s="755"/>
      <c r="W362" s="755">
        <f t="shared" si="95"/>
        <v>111128.99833333335</v>
      </c>
      <c r="X362" s="778"/>
      <c r="Y362" s="755"/>
      <c r="Z362" s="755"/>
      <c r="AA362" s="716"/>
      <c r="AB362" s="755"/>
      <c r="AC362" s="718">
        <f t="shared" si="96"/>
        <v>111128.99833333335</v>
      </c>
      <c r="AD362" s="717"/>
      <c r="AE362" s="717"/>
      <c r="AF362" s="753">
        <f t="shared" si="80"/>
        <v>0</v>
      </c>
    </row>
    <row r="363" spans="1:32">
      <c r="A363" s="677">
        <v>349</v>
      </c>
      <c r="B363" s="379" t="s">
        <v>1009</v>
      </c>
      <c r="C363" s="379" t="s">
        <v>538</v>
      </c>
      <c r="D363" s="677" t="s">
        <v>1213</v>
      </c>
      <c r="E363" s="675" t="s">
        <v>1656</v>
      </c>
      <c r="F363" s="676">
        <v>9512.19</v>
      </c>
      <c r="G363" s="676">
        <v>1895.4</v>
      </c>
      <c r="H363" s="676">
        <v>1895.4</v>
      </c>
      <c r="I363" s="676">
        <v>1895.4</v>
      </c>
      <c r="J363" s="676">
        <v>1895.4</v>
      </c>
      <c r="K363" s="676">
        <v>57801.8</v>
      </c>
      <c r="L363" s="676">
        <v>57801.8</v>
      </c>
      <c r="M363" s="676">
        <v>60311.839999999997</v>
      </c>
      <c r="N363" s="676">
        <v>60311.839999999997</v>
      </c>
      <c r="O363" s="676">
        <v>60311.839999999997</v>
      </c>
      <c r="P363" s="676">
        <v>60311.839999999997</v>
      </c>
      <c r="Q363" s="676">
        <v>60311.85</v>
      </c>
      <c r="R363" s="676">
        <v>60311.85</v>
      </c>
      <c r="S363" s="551">
        <f t="shared" si="94"/>
        <v>38304.702499999992</v>
      </c>
      <c r="T363" s="677"/>
      <c r="U363" s="716"/>
      <c r="V363" s="755"/>
      <c r="W363" s="755">
        <f t="shared" si="95"/>
        <v>38304.702499999992</v>
      </c>
      <c r="X363" s="778"/>
      <c r="Y363" s="755"/>
      <c r="Z363" s="755"/>
      <c r="AA363" s="716"/>
      <c r="AB363" s="755"/>
      <c r="AC363" s="718">
        <f t="shared" si="96"/>
        <v>38304.702499999992</v>
      </c>
      <c r="AD363" s="717"/>
      <c r="AE363" s="717"/>
      <c r="AF363" s="753">
        <f t="shared" si="80"/>
        <v>0</v>
      </c>
    </row>
    <row r="364" spans="1:32">
      <c r="A364" s="677">
        <v>350</v>
      </c>
      <c r="B364" s="379" t="s">
        <v>1009</v>
      </c>
      <c r="C364" s="379" t="s">
        <v>539</v>
      </c>
      <c r="D364" s="677" t="s">
        <v>1212</v>
      </c>
      <c r="E364" s="675" t="s">
        <v>1657</v>
      </c>
      <c r="F364" s="676">
        <v>-1752961.74</v>
      </c>
      <c r="G364" s="676">
        <v>-156734.28</v>
      </c>
      <c r="H364" s="676">
        <v>-1374074.62</v>
      </c>
      <c r="I364" s="676">
        <v>-1500419.21</v>
      </c>
      <c r="J364" s="676">
        <v>-1570383.62</v>
      </c>
      <c r="K364" s="676">
        <v>-6529214.7000000002</v>
      </c>
      <c r="L364" s="676">
        <v>-6710913.8399999999</v>
      </c>
      <c r="M364" s="676">
        <v>-6772071.4500000002</v>
      </c>
      <c r="N364" s="676">
        <v>-6850954.8600000003</v>
      </c>
      <c r="O364" s="676">
        <v>-7235545.7400000002</v>
      </c>
      <c r="P364" s="676">
        <v>-7308183.5499999998</v>
      </c>
      <c r="Q364" s="676">
        <v>-7527273.8300000001</v>
      </c>
      <c r="R364" s="676">
        <v>-8574114.7400000002</v>
      </c>
      <c r="S364" s="551">
        <f t="shared" si="94"/>
        <v>-4891608.9950000001</v>
      </c>
      <c r="T364" s="677"/>
      <c r="U364" s="716"/>
      <c r="V364" s="755"/>
      <c r="W364" s="755">
        <f t="shared" si="95"/>
        <v>-4891608.9950000001</v>
      </c>
      <c r="X364" s="778"/>
      <c r="Y364" s="755"/>
      <c r="Z364" s="755"/>
      <c r="AA364" s="716"/>
      <c r="AB364" s="755"/>
      <c r="AC364" s="718">
        <f t="shared" si="96"/>
        <v>-4891608.9950000001</v>
      </c>
      <c r="AD364" s="717"/>
      <c r="AE364" s="717"/>
      <c r="AF364" s="753">
        <f t="shared" si="80"/>
        <v>0</v>
      </c>
    </row>
    <row r="365" spans="1:32">
      <c r="A365" s="677">
        <v>351</v>
      </c>
      <c r="B365" s="379" t="s">
        <v>1009</v>
      </c>
      <c r="C365" s="379" t="s">
        <v>539</v>
      </c>
      <c r="D365" s="677" t="s">
        <v>1213</v>
      </c>
      <c r="E365" s="675" t="s">
        <v>1658</v>
      </c>
      <c r="F365" s="676">
        <v>-603695.05000000005</v>
      </c>
      <c r="G365" s="676">
        <v>-29214.48</v>
      </c>
      <c r="H365" s="676">
        <v>-148530</v>
      </c>
      <c r="I365" s="676">
        <v>-171518.93</v>
      </c>
      <c r="J365" s="676">
        <v>-211000.63</v>
      </c>
      <c r="K365" s="676">
        <v>-1883516.22</v>
      </c>
      <c r="L365" s="676">
        <v>-1902261.41</v>
      </c>
      <c r="M365" s="676">
        <v>-1908844.55</v>
      </c>
      <c r="N365" s="676">
        <v>-1927738.13</v>
      </c>
      <c r="O365" s="676">
        <v>-2074194.28</v>
      </c>
      <c r="P365" s="676">
        <v>-2091457.23</v>
      </c>
      <c r="Q365" s="676">
        <v>-2197694.86</v>
      </c>
      <c r="R365" s="676">
        <v>-2456542.67</v>
      </c>
      <c r="S365" s="551">
        <f t="shared" si="94"/>
        <v>-1339674.1316666666</v>
      </c>
      <c r="T365" s="677"/>
      <c r="U365" s="716"/>
      <c r="V365" s="755"/>
      <c r="W365" s="755">
        <f t="shared" si="95"/>
        <v>-1339674.1316666666</v>
      </c>
      <c r="X365" s="778"/>
      <c r="Y365" s="755"/>
      <c r="Z365" s="755"/>
      <c r="AA365" s="716"/>
      <c r="AB365" s="755"/>
      <c r="AC365" s="718">
        <f t="shared" si="96"/>
        <v>-1339674.1316666666</v>
      </c>
      <c r="AD365" s="717"/>
      <c r="AE365" s="717"/>
      <c r="AF365" s="753">
        <f t="shared" si="80"/>
        <v>0</v>
      </c>
    </row>
    <row r="366" spans="1:32">
      <c r="A366" s="677">
        <v>352</v>
      </c>
      <c r="B366" s="379" t="s">
        <v>984</v>
      </c>
      <c r="C366" s="379" t="s">
        <v>539</v>
      </c>
      <c r="D366" s="677" t="s">
        <v>1212</v>
      </c>
      <c r="E366" s="675" t="s">
        <v>1657</v>
      </c>
      <c r="F366" s="676">
        <v>-8395783.8699999992</v>
      </c>
      <c r="G366" s="676">
        <v>-369161.04</v>
      </c>
      <c r="H366" s="676">
        <v>-805695.08</v>
      </c>
      <c r="I366" s="676">
        <v>-1188591.5</v>
      </c>
      <c r="J366" s="676">
        <v>-1742891.06</v>
      </c>
      <c r="K366" s="676">
        <v>-16744232.460000001</v>
      </c>
      <c r="L366" s="676">
        <v>-16950507.079999998</v>
      </c>
      <c r="M366" s="676">
        <v>-17136791.32</v>
      </c>
      <c r="N366" s="676">
        <v>-17451777.640000001</v>
      </c>
      <c r="O366" s="676">
        <v>-18920913.670000002</v>
      </c>
      <c r="P366" s="676">
        <v>-19211314.190000001</v>
      </c>
      <c r="Q366" s="676">
        <v>-20428021.890000001</v>
      </c>
      <c r="R366" s="676">
        <v>-22532955.920000002</v>
      </c>
      <c r="S366" s="551">
        <f t="shared" si="94"/>
        <v>-12201188.902083335</v>
      </c>
      <c r="T366" s="677"/>
      <c r="U366" s="716"/>
      <c r="V366" s="755"/>
      <c r="W366" s="755">
        <f t="shared" si="95"/>
        <v>-12201188.902083335</v>
      </c>
      <c r="X366" s="778"/>
      <c r="Y366" s="755"/>
      <c r="Z366" s="755"/>
      <c r="AA366" s="716"/>
      <c r="AB366" s="755"/>
      <c r="AC366" s="718">
        <f t="shared" si="96"/>
        <v>-12201188.902083335</v>
      </c>
      <c r="AD366" s="717"/>
      <c r="AE366" s="717"/>
      <c r="AF366" s="753">
        <f t="shared" si="80"/>
        <v>0</v>
      </c>
    </row>
    <row r="367" spans="1:32">
      <c r="A367" s="677">
        <v>353</v>
      </c>
      <c r="B367" s="379" t="s">
        <v>1009</v>
      </c>
      <c r="C367" s="379" t="s">
        <v>540</v>
      </c>
      <c r="D367" s="677" t="s">
        <v>1212</v>
      </c>
      <c r="E367" s="675" t="s">
        <v>1659</v>
      </c>
      <c r="F367" s="676">
        <v>-27116.89</v>
      </c>
      <c r="G367" s="676">
        <v>-98.83</v>
      </c>
      <c r="H367" s="676">
        <v>-510.13</v>
      </c>
      <c r="I367" s="676">
        <v>-921.42</v>
      </c>
      <c r="J367" s="676">
        <v>-3854.47</v>
      </c>
      <c r="K367" s="676">
        <v>-9214.41</v>
      </c>
      <c r="L367" s="676">
        <v>-12049.81</v>
      </c>
      <c r="M367" s="676">
        <v>-12180.69</v>
      </c>
      <c r="N367" s="676">
        <v>-12494.34</v>
      </c>
      <c r="O367" s="676">
        <v>-12807.99</v>
      </c>
      <c r="P367" s="676">
        <v>-13121.64</v>
      </c>
      <c r="Q367" s="676">
        <v>-13435.3</v>
      </c>
      <c r="R367" s="676">
        <v>-13748.91</v>
      </c>
      <c r="S367" s="551">
        <f t="shared" si="94"/>
        <v>-9260.1608333333352</v>
      </c>
      <c r="T367" s="677"/>
      <c r="U367" s="716"/>
      <c r="V367" s="755"/>
      <c r="W367" s="755">
        <f t="shared" si="95"/>
        <v>-9260.1608333333352</v>
      </c>
      <c r="X367" s="778"/>
      <c r="Y367" s="755"/>
      <c r="Z367" s="755"/>
      <c r="AA367" s="716"/>
      <c r="AB367" s="755"/>
      <c r="AC367" s="718">
        <f t="shared" si="96"/>
        <v>-9260.1608333333352</v>
      </c>
      <c r="AD367" s="717"/>
      <c r="AE367" s="717"/>
      <c r="AF367" s="753">
        <f t="shared" si="80"/>
        <v>0</v>
      </c>
    </row>
    <row r="368" spans="1:32">
      <c r="A368" s="677">
        <v>354</v>
      </c>
      <c r="B368" s="379" t="s">
        <v>1009</v>
      </c>
      <c r="C368" s="379" t="s">
        <v>540</v>
      </c>
      <c r="D368" s="677" t="s">
        <v>1213</v>
      </c>
      <c r="E368" s="675" t="s">
        <v>1660</v>
      </c>
      <c r="F368" s="676">
        <v>-6420.25</v>
      </c>
      <c r="G368" s="676">
        <v>0</v>
      </c>
      <c r="H368" s="676">
        <v>-142.36000000000001</v>
      </c>
      <c r="I368" s="676">
        <v>-284.72000000000003</v>
      </c>
      <c r="J368" s="676">
        <v>-1299.97</v>
      </c>
      <c r="K368" s="676">
        <v>-2146.1999999999998</v>
      </c>
      <c r="L368" s="676">
        <v>-3127.64</v>
      </c>
      <c r="M368" s="676">
        <v>-3127.64</v>
      </c>
      <c r="N368" s="676">
        <v>-3236.2</v>
      </c>
      <c r="O368" s="676">
        <v>-3344.77</v>
      </c>
      <c r="P368" s="676">
        <v>-3453.34</v>
      </c>
      <c r="Q368" s="676">
        <v>-3561.92</v>
      </c>
      <c r="R368" s="676">
        <v>-3670.46</v>
      </c>
      <c r="S368" s="551">
        <f t="shared" si="94"/>
        <v>-2397.5095833333335</v>
      </c>
      <c r="T368" s="677"/>
      <c r="U368" s="716"/>
      <c r="V368" s="755"/>
      <c r="W368" s="755">
        <f t="shared" si="95"/>
        <v>-2397.5095833333335</v>
      </c>
      <c r="X368" s="778"/>
      <c r="Y368" s="755"/>
      <c r="Z368" s="755"/>
      <c r="AA368" s="716"/>
      <c r="AB368" s="755"/>
      <c r="AC368" s="718">
        <f t="shared" si="96"/>
        <v>-2397.5095833333335</v>
      </c>
      <c r="AD368" s="717"/>
      <c r="AE368" s="717"/>
      <c r="AF368" s="753">
        <f t="shared" si="80"/>
        <v>0</v>
      </c>
    </row>
    <row r="369" spans="1:32">
      <c r="A369" s="677">
        <v>355</v>
      </c>
      <c r="B369" s="379" t="s">
        <v>984</v>
      </c>
      <c r="C369" s="379" t="s">
        <v>540</v>
      </c>
      <c r="D369" s="677" t="s">
        <v>1212</v>
      </c>
      <c r="E369" s="675" t="s">
        <v>1659</v>
      </c>
      <c r="F369" s="676">
        <v>-80703.789999999994</v>
      </c>
      <c r="G369" s="676">
        <v>-299.2</v>
      </c>
      <c r="H369" s="676">
        <v>-1544.36</v>
      </c>
      <c r="I369" s="676">
        <v>-2789.52</v>
      </c>
      <c r="J369" s="676">
        <v>-11668.98</v>
      </c>
      <c r="K369" s="676">
        <v>-27895.599999999999</v>
      </c>
      <c r="L369" s="676">
        <v>-36479.440000000002</v>
      </c>
      <c r="M369" s="676">
        <v>-36875.67</v>
      </c>
      <c r="N369" s="676">
        <v>-37825.21</v>
      </c>
      <c r="O369" s="676">
        <v>-38774.76</v>
      </c>
      <c r="P369" s="676">
        <v>-39724.31</v>
      </c>
      <c r="Q369" s="676">
        <v>-40673.870000000003</v>
      </c>
      <c r="R369" s="676">
        <v>-41623.26</v>
      </c>
      <c r="S369" s="551">
        <f t="shared" si="94"/>
        <v>-27976.203750000004</v>
      </c>
      <c r="T369" s="677"/>
      <c r="U369" s="716"/>
      <c r="V369" s="755"/>
      <c r="W369" s="755">
        <f t="shared" si="95"/>
        <v>-27976.203750000004</v>
      </c>
      <c r="X369" s="778"/>
      <c r="Y369" s="755"/>
      <c r="Z369" s="755"/>
      <c r="AA369" s="716"/>
      <c r="AB369" s="755"/>
      <c r="AC369" s="718">
        <f t="shared" si="96"/>
        <v>-27976.203750000004</v>
      </c>
      <c r="AD369" s="717"/>
      <c r="AE369" s="717"/>
      <c r="AF369" s="753">
        <f t="shared" si="80"/>
        <v>0</v>
      </c>
    </row>
    <row r="370" spans="1:32">
      <c r="A370" s="677">
        <v>356</v>
      </c>
      <c r="B370" s="379" t="s">
        <v>981</v>
      </c>
      <c r="C370" s="379" t="s">
        <v>1214</v>
      </c>
      <c r="D370" s="677"/>
      <c r="E370" s="675" t="s">
        <v>541</v>
      </c>
      <c r="F370" s="676">
        <v>-42184</v>
      </c>
      <c r="G370" s="676">
        <v>-3501.58</v>
      </c>
      <c r="H370" s="676">
        <v>-7003.17</v>
      </c>
      <c r="I370" s="676">
        <v>-10504.95</v>
      </c>
      <c r="J370" s="676">
        <v>-14006.33</v>
      </c>
      <c r="K370" s="676">
        <v>-17507.900000000001</v>
      </c>
      <c r="L370" s="676">
        <v>-21009.48</v>
      </c>
      <c r="M370" s="676">
        <v>-24511.06</v>
      </c>
      <c r="N370" s="676">
        <v>-28012.639999999999</v>
      </c>
      <c r="O370" s="676">
        <v>-31514.22</v>
      </c>
      <c r="P370" s="676">
        <v>-35015.800000000003</v>
      </c>
      <c r="Q370" s="676">
        <v>-38517.379999999997</v>
      </c>
      <c r="R370" s="676">
        <v>-42018.96</v>
      </c>
      <c r="S370" s="551">
        <f t="shared" si="94"/>
        <v>-22767.165833333333</v>
      </c>
      <c r="T370" s="677"/>
      <c r="U370" s="716"/>
      <c r="V370" s="755"/>
      <c r="W370" s="755">
        <f t="shared" si="95"/>
        <v>-22767.165833333333</v>
      </c>
      <c r="X370" s="778"/>
      <c r="Y370" s="755"/>
      <c r="Z370" s="755"/>
      <c r="AA370" s="716"/>
      <c r="AB370" s="755"/>
      <c r="AC370" s="718">
        <f t="shared" si="96"/>
        <v>-22767.165833333333</v>
      </c>
      <c r="AD370" s="717"/>
      <c r="AE370" s="717"/>
      <c r="AF370" s="753">
        <f t="shared" ref="AF370:AF440" si="97">+U370+V370-AD370</f>
        <v>0</v>
      </c>
    </row>
    <row r="371" spans="1:32">
      <c r="A371" s="677">
        <v>357</v>
      </c>
      <c r="B371" s="677"/>
      <c r="C371" s="677"/>
      <c r="D371" s="677"/>
      <c r="E371" s="675" t="s">
        <v>542</v>
      </c>
      <c r="F371" s="358">
        <f t="shared" ref="F371:S371" si="98">SUM(F350:F370)</f>
        <v>221750.09999999934</v>
      </c>
      <c r="G371" s="358">
        <f t="shared" si="98"/>
        <v>1380969.4299999997</v>
      </c>
      <c r="H371" s="358">
        <f t="shared" si="98"/>
        <v>2085165.5499999993</v>
      </c>
      <c r="I371" s="358">
        <f t="shared" si="98"/>
        <v>2488990.19</v>
      </c>
      <c r="J371" s="358">
        <f t="shared" si="98"/>
        <v>2460640.79</v>
      </c>
      <c r="K371" s="358">
        <f t="shared" si="98"/>
        <v>1689883.0100000012</v>
      </c>
      <c r="L371" s="358">
        <f t="shared" si="98"/>
        <v>836330.21000000183</v>
      </c>
      <c r="M371" s="358">
        <f t="shared" si="98"/>
        <v>-178386.6300000003</v>
      </c>
      <c r="N371" s="358">
        <f t="shared" si="98"/>
        <v>-1069793.8499999971</v>
      </c>
      <c r="O371" s="358">
        <f t="shared" si="98"/>
        <v>-1818325.99</v>
      </c>
      <c r="P371" s="358">
        <f t="shared" si="98"/>
        <v>-1985022.0400000031</v>
      </c>
      <c r="Q371" s="358">
        <f t="shared" si="98"/>
        <v>-1178073.7799999949</v>
      </c>
      <c r="R371" s="358">
        <f t="shared" si="98"/>
        <v>169037.26999999196</v>
      </c>
      <c r="S371" s="553">
        <f t="shared" si="98"/>
        <v>408980.88124999689</v>
      </c>
      <c r="T371" s="677"/>
      <c r="U371" s="716"/>
      <c r="V371" s="755"/>
      <c r="W371" s="755"/>
      <c r="X371" s="778"/>
      <c r="Y371" s="755"/>
      <c r="Z371" s="755"/>
      <c r="AA371" s="716"/>
      <c r="AB371" s="755"/>
      <c r="AC371" s="717"/>
      <c r="AD371" s="717"/>
      <c r="AE371" s="717"/>
      <c r="AF371" s="753">
        <f t="shared" si="97"/>
        <v>0</v>
      </c>
    </row>
    <row r="372" spans="1:32">
      <c r="A372" s="677">
        <v>358</v>
      </c>
      <c r="B372" s="677"/>
      <c r="C372" s="677"/>
      <c r="D372" s="677"/>
      <c r="E372" s="675"/>
      <c r="F372" s="676"/>
      <c r="G372" s="377"/>
      <c r="H372" s="368"/>
      <c r="I372" s="368"/>
      <c r="J372" s="369"/>
      <c r="K372" s="370"/>
      <c r="L372" s="371"/>
      <c r="M372" s="372"/>
      <c r="N372" s="373"/>
      <c r="O372" s="663"/>
      <c r="P372" s="374"/>
      <c r="Q372" s="378"/>
      <c r="R372" s="676"/>
      <c r="S372" s="357"/>
      <c r="T372" s="677"/>
      <c r="U372" s="716"/>
      <c r="V372" s="755"/>
      <c r="W372" s="755"/>
      <c r="X372" s="778"/>
      <c r="Y372" s="755"/>
      <c r="Z372" s="755"/>
      <c r="AA372" s="716"/>
      <c r="AB372" s="755"/>
      <c r="AC372" s="717"/>
      <c r="AD372" s="717"/>
      <c r="AE372" s="717"/>
      <c r="AF372" s="753">
        <f t="shared" si="97"/>
        <v>0</v>
      </c>
    </row>
    <row r="373" spans="1:32">
      <c r="A373" s="677">
        <v>359</v>
      </c>
      <c r="B373" s="677"/>
      <c r="C373" s="677"/>
      <c r="D373" s="677"/>
      <c r="E373" s="675"/>
      <c r="F373" s="676"/>
      <c r="G373" s="377"/>
      <c r="H373" s="368"/>
      <c r="I373" s="368"/>
      <c r="J373" s="369"/>
      <c r="K373" s="370"/>
      <c r="L373" s="371"/>
      <c r="M373" s="372"/>
      <c r="N373" s="373"/>
      <c r="O373" s="663"/>
      <c r="P373" s="374"/>
      <c r="Q373" s="378"/>
      <c r="R373" s="676"/>
      <c r="S373" s="357"/>
      <c r="T373" s="677"/>
      <c r="U373" s="716"/>
      <c r="V373" s="755"/>
      <c r="W373" s="755"/>
      <c r="X373" s="778"/>
      <c r="Y373" s="755"/>
      <c r="Z373" s="755"/>
      <c r="AA373" s="716"/>
      <c r="AB373" s="755"/>
      <c r="AC373" s="717"/>
      <c r="AD373" s="717"/>
      <c r="AE373" s="717"/>
      <c r="AF373" s="753">
        <f t="shared" si="97"/>
        <v>0</v>
      </c>
    </row>
    <row r="374" spans="1:32">
      <c r="A374" s="677">
        <v>360</v>
      </c>
      <c r="B374" s="379" t="s">
        <v>981</v>
      </c>
      <c r="C374" s="379" t="s">
        <v>543</v>
      </c>
      <c r="D374" s="677"/>
      <c r="E374" s="675" t="s">
        <v>1661</v>
      </c>
      <c r="F374" s="676">
        <v>0</v>
      </c>
      <c r="G374" s="676">
        <v>0</v>
      </c>
      <c r="H374" s="676">
        <v>0</v>
      </c>
      <c r="I374" s="676">
        <v>0</v>
      </c>
      <c r="J374" s="676">
        <v>0</v>
      </c>
      <c r="K374" s="676">
        <v>0</v>
      </c>
      <c r="L374" s="676">
        <v>-934.33</v>
      </c>
      <c r="M374" s="676">
        <v>-934.33</v>
      </c>
      <c r="N374" s="676">
        <v>-934.33</v>
      </c>
      <c r="O374" s="676">
        <v>-934.33</v>
      </c>
      <c r="P374" s="676">
        <v>-934.33</v>
      </c>
      <c r="Q374" s="676">
        <v>-934.33</v>
      </c>
      <c r="R374" s="676">
        <v>-934.33</v>
      </c>
      <c r="S374" s="551">
        <f t="shared" ref="S374:S383" si="99">((F374+R374)+((G374+H374+I374+J374+K374+L374+M374+N374+O374+P374+Q374)*2))/24</f>
        <v>-506.09541666666672</v>
      </c>
      <c r="T374" s="677"/>
      <c r="U374" s="716"/>
      <c r="V374" s="755"/>
      <c r="W374" s="755">
        <f t="shared" ref="W374:W382" si="100">+S374</f>
        <v>-506.09541666666672</v>
      </c>
      <c r="X374" s="778"/>
      <c r="Y374" s="755"/>
      <c r="Z374" s="755"/>
      <c r="AA374" s="716"/>
      <c r="AB374" s="755"/>
      <c r="AC374" s="718">
        <f t="shared" ref="AC374:AC383" si="101">+S374</f>
        <v>-506.09541666666672</v>
      </c>
      <c r="AD374" s="717"/>
      <c r="AE374" s="717"/>
      <c r="AF374" s="753">
        <f t="shared" si="97"/>
        <v>0</v>
      </c>
    </row>
    <row r="375" spans="1:32">
      <c r="A375" s="677">
        <v>361</v>
      </c>
      <c r="B375" s="379" t="s">
        <v>981</v>
      </c>
      <c r="C375" s="379" t="s">
        <v>545</v>
      </c>
      <c r="D375" s="677"/>
      <c r="E375" s="675" t="s">
        <v>1662</v>
      </c>
      <c r="F375" s="676">
        <v>0</v>
      </c>
      <c r="G375" s="676">
        <v>0</v>
      </c>
      <c r="H375" s="676">
        <v>0</v>
      </c>
      <c r="I375" s="676">
        <v>0</v>
      </c>
      <c r="J375" s="676">
        <v>0</v>
      </c>
      <c r="K375" s="676">
        <v>0</v>
      </c>
      <c r="L375" s="676">
        <v>0</v>
      </c>
      <c r="M375" s="676">
        <v>0</v>
      </c>
      <c r="N375" s="676">
        <v>0</v>
      </c>
      <c r="O375" s="676">
        <v>0</v>
      </c>
      <c r="P375" s="676">
        <v>0</v>
      </c>
      <c r="Q375" s="676">
        <v>0</v>
      </c>
      <c r="R375" s="676">
        <v>0</v>
      </c>
      <c r="S375" s="551">
        <f t="shared" si="99"/>
        <v>0</v>
      </c>
      <c r="T375" s="677"/>
      <c r="U375" s="716"/>
      <c r="V375" s="755"/>
      <c r="W375" s="755">
        <f t="shared" si="100"/>
        <v>0</v>
      </c>
      <c r="X375" s="778"/>
      <c r="Y375" s="755"/>
      <c r="Z375" s="755"/>
      <c r="AA375" s="716"/>
      <c r="AB375" s="755"/>
      <c r="AC375" s="718">
        <f t="shared" si="101"/>
        <v>0</v>
      </c>
      <c r="AD375" s="717"/>
      <c r="AE375" s="717"/>
      <c r="AF375" s="753">
        <f t="shared" si="97"/>
        <v>0</v>
      </c>
    </row>
    <row r="376" spans="1:32">
      <c r="A376" s="677">
        <v>362</v>
      </c>
      <c r="B376" s="591" t="s">
        <v>382</v>
      </c>
      <c r="C376" s="591" t="s">
        <v>382</v>
      </c>
      <c r="D376" s="379" t="s">
        <v>546</v>
      </c>
      <c r="E376" s="675" t="s">
        <v>1663</v>
      </c>
      <c r="F376" s="676">
        <v>147336.4</v>
      </c>
      <c r="G376" s="676">
        <v>11595.3</v>
      </c>
      <c r="H376" s="676">
        <v>36289.72</v>
      </c>
      <c r="I376" s="676">
        <v>63881.3</v>
      </c>
      <c r="J376" s="676">
        <v>72384.92</v>
      </c>
      <c r="K376" s="676">
        <v>79709.919999999998</v>
      </c>
      <c r="L376" s="676">
        <v>94660.39</v>
      </c>
      <c r="M376" s="676">
        <v>114137.21</v>
      </c>
      <c r="N376" s="676">
        <v>114936.66</v>
      </c>
      <c r="O376" s="676">
        <v>153413.89000000001</v>
      </c>
      <c r="P376" s="676">
        <v>162223.39000000001</v>
      </c>
      <c r="Q376" s="676">
        <v>167773.39</v>
      </c>
      <c r="R376" s="676">
        <v>251618.91</v>
      </c>
      <c r="S376" s="551">
        <f t="shared" si="99"/>
        <v>105873.64541666668</v>
      </c>
      <c r="T376" s="677"/>
      <c r="U376" s="716"/>
      <c r="V376" s="755"/>
      <c r="W376" s="755">
        <f t="shared" si="100"/>
        <v>105873.64541666668</v>
      </c>
      <c r="X376" s="778"/>
      <c r="Y376" s="755"/>
      <c r="Z376" s="755"/>
      <c r="AA376" s="716"/>
      <c r="AB376" s="755"/>
      <c r="AC376" s="718">
        <f t="shared" si="101"/>
        <v>105873.64541666668</v>
      </c>
      <c r="AD376" s="717"/>
      <c r="AE376" s="717"/>
      <c r="AF376" s="753">
        <f t="shared" si="97"/>
        <v>0</v>
      </c>
    </row>
    <row r="377" spans="1:32">
      <c r="A377" s="677">
        <v>363</v>
      </c>
      <c r="B377" s="591" t="s">
        <v>382</v>
      </c>
      <c r="C377" s="591" t="s">
        <v>382</v>
      </c>
      <c r="D377" s="379" t="s">
        <v>1432</v>
      </c>
      <c r="E377" s="675" t="s">
        <v>1664</v>
      </c>
      <c r="F377" s="676">
        <v>452956.61</v>
      </c>
      <c r="G377" s="676">
        <v>-311902.46000000002</v>
      </c>
      <c r="H377" s="676">
        <v>-376410.95</v>
      </c>
      <c r="I377" s="676">
        <v>-507107.83</v>
      </c>
      <c r="J377" s="676">
        <v>-556812.68000000005</v>
      </c>
      <c r="K377" s="676">
        <v>-355694.12</v>
      </c>
      <c r="L377" s="676">
        <v>-641758.32999999996</v>
      </c>
      <c r="M377" s="676">
        <v>-619867.71</v>
      </c>
      <c r="N377" s="676">
        <v>-671236.85</v>
      </c>
      <c r="O377" s="676">
        <v>-711010.69</v>
      </c>
      <c r="P377" s="676">
        <v>-713523.32</v>
      </c>
      <c r="Q377" s="676">
        <v>-813020.16000000003</v>
      </c>
      <c r="R377" s="676">
        <v>-783272.35</v>
      </c>
      <c r="S377" s="551">
        <f t="shared" si="99"/>
        <v>-536958.58083333343</v>
      </c>
      <c r="T377" s="677"/>
      <c r="U377" s="716"/>
      <c r="V377" s="755"/>
      <c r="W377" s="755">
        <f t="shared" si="100"/>
        <v>-536958.58083333343</v>
      </c>
      <c r="X377" s="778"/>
      <c r="Y377" s="755"/>
      <c r="Z377" s="755"/>
      <c r="AA377" s="716"/>
      <c r="AB377" s="755"/>
      <c r="AC377" s="718">
        <f t="shared" si="101"/>
        <v>-536958.58083333343</v>
      </c>
      <c r="AD377" s="717"/>
      <c r="AE377" s="717"/>
      <c r="AF377" s="753">
        <f t="shared" si="97"/>
        <v>0</v>
      </c>
    </row>
    <row r="378" spans="1:32">
      <c r="A378" s="677">
        <v>364</v>
      </c>
      <c r="B378" s="591" t="s">
        <v>382</v>
      </c>
      <c r="C378" s="591" t="s">
        <v>382</v>
      </c>
      <c r="D378" s="379" t="s">
        <v>547</v>
      </c>
      <c r="E378" s="675" t="s">
        <v>1665</v>
      </c>
      <c r="F378" s="676">
        <v>50.76</v>
      </c>
      <c r="G378" s="676">
        <v>50.35</v>
      </c>
      <c r="H378" s="676">
        <v>50.35</v>
      </c>
      <c r="I378" s="676">
        <v>50.35</v>
      </c>
      <c r="J378" s="676">
        <v>50.35</v>
      </c>
      <c r="K378" s="676">
        <v>50.35</v>
      </c>
      <c r="L378" s="676">
        <v>50.35</v>
      </c>
      <c r="M378" s="676">
        <v>94.63</v>
      </c>
      <c r="N378" s="676">
        <v>94.63</v>
      </c>
      <c r="O378" s="676">
        <v>158.94</v>
      </c>
      <c r="P378" s="676">
        <v>94.63</v>
      </c>
      <c r="Q378" s="676">
        <v>94.63</v>
      </c>
      <c r="R378" s="676">
        <v>94.63</v>
      </c>
      <c r="S378" s="551">
        <f t="shared" si="99"/>
        <v>76.021249999999995</v>
      </c>
      <c r="T378" s="677"/>
      <c r="U378" s="716"/>
      <c r="V378" s="755"/>
      <c r="W378" s="755">
        <f t="shared" si="100"/>
        <v>76.021249999999995</v>
      </c>
      <c r="X378" s="778"/>
      <c r="Y378" s="755"/>
      <c r="Z378" s="755"/>
      <c r="AA378" s="716"/>
      <c r="AB378" s="755"/>
      <c r="AC378" s="718">
        <f t="shared" si="101"/>
        <v>76.021249999999995</v>
      </c>
      <c r="AD378" s="717"/>
      <c r="AE378" s="717"/>
      <c r="AF378" s="753">
        <f t="shared" si="97"/>
        <v>0</v>
      </c>
    </row>
    <row r="379" spans="1:32">
      <c r="A379" s="677">
        <v>365</v>
      </c>
      <c r="B379" s="591" t="s">
        <v>382</v>
      </c>
      <c r="C379" s="591" t="s">
        <v>382</v>
      </c>
      <c r="D379" s="379" t="s">
        <v>548</v>
      </c>
      <c r="E379" s="675" t="s">
        <v>1666</v>
      </c>
      <c r="F379" s="676">
        <v>165577.54</v>
      </c>
      <c r="G379" s="676">
        <v>13951</v>
      </c>
      <c r="H379" s="676">
        <v>24015</v>
      </c>
      <c r="I379" s="676">
        <v>33665</v>
      </c>
      <c r="J379" s="676">
        <v>43359.35</v>
      </c>
      <c r="K379" s="676">
        <v>56439.81</v>
      </c>
      <c r="L379" s="676">
        <v>66385.31</v>
      </c>
      <c r="M379" s="676">
        <v>76108.460000000006</v>
      </c>
      <c r="N379" s="676">
        <v>85608.46</v>
      </c>
      <c r="O379" s="676">
        <v>96108.46</v>
      </c>
      <c r="P379" s="676">
        <v>106250.3</v>
      </c>
      <c r="Q379" s="676">
        <v>115750.3</v>
      </c>
      <c r="R379" s="676">
        <v>306253.81</v>
      </c>
      <c r="S379" s="551">
        <f t="shared" si="99"/>
        <v>79463.09375</v>
      </c>
      <c r="T379" s="677"/>
      <c r="U379" s="716"/>
      <c r="V379" s="755"/>
      <c r="W379" s="755">
        <f t="shared" si="100"/>
        <v>79463.09375</v>
      </c>
      <c r="X379" s="778"/>
      <c r="Y379" s="755"/>
      <c r="Z379" s="755"/>
      <c r="AA379" s="716"/>
      <c r="AB379" s="755"/>
      <c r="AC379" s="718">
        <f t="shared" si="101"/>
        <v>79463.09375</v>
      </c>
      <c r="AD379" s="717"/>
      <c r="AE379" s="717"/>
      <c r="AF379" s="753">
        <f t="shared" si="97"/>
        <v>0</v>
      </c>
    </row>
    <row r="380" spans="1:32">
      <c r="A380" s="677">
        <v>366</v>
      </c>
      <c r="B380" s="592" t="s">
        <v>382</v>
      </c>
      <c r="C380" s="592" t="s">
        <v>382</v>
      </c>
      <c r="D380" s="379" t="s">
        <v>549</v>
      </c>
      <c r="E380" s="675" t="s">
        <v>1667</v>
      </c>
      <c r="F380" s="676">
        <v>615677.14</v>
      </c>
      <c r="G380" s="676">
        <v>0</v>
      </c>
      <c r="H380" s="676">
        <v>0</v>
      </c>
      <c r="I380" s="676">
        <v>1555.78</v>
      </c>
      <c r="J380" s="676">
        <v>1555.78</v>
      </c>
      <c r="K380" s="676">
        <v>1555.78</v>
      </c>
      <c r="L380" s="676">
        <v>1555.78</v>
      </c>
      <c r="M380" s="676">
        <v>1555.78</v>
      </c>
      <c r="N380" s="676">
        <v>1555.78</v>
      </c>
      <c r="O380" s="676">
        <v>1555.78</v>
      </c>
      <c r="P380" s="676">
        <v>1555.78</v>
      </c>
      <c r="Q380" s="676">
        <v>1555.78</v>
      </c>
      <c r="R380" s="676">
        <v>1555.78</v>
      </c>
      <c r="S380" s="551">
        <f t="shared" si="99"/>
        <v>26884.873333333337</v>
      </c>
      <c r="T380" s="677"/>
      <c r="U380" s="716"/>
      <c r="V380" s="755"/>
      <c r="W380" s="755">
        <f t="shared" si="100"/>
        <v>26884.873333333337</v>
      </c>
      <c r="X380" s="778"/>
      <c r="Y380" s="755"/>
      <c r="Z380" s="755"/>
      <c r="AA380" s="716"/>
      <c r="AB380" s="755"/>
      <c r="AC380" s="718">
        <f t="shared" si="101"/>
        <v>26884.873333333337</v>
      </c>
      <c r="AD380" s="717"/>
      <c r="AE380" s="717"/>
      <c r="AF380" s="753">
        <f t="shared" si="97"/>
        <v>0</v>
      </c>
    </row>
    <row r="381" spans="1:32">
      <c r="A381" s="677">
        <v>367</v>
      </c>
      <c r="B381" s="593" t="s">
        <v>382</v>
      </c>
      <c r="C381" s="593" t="s">
        <v>382</v>
      </c>
      <c r="D381" s="379" t="s">
        <v>550</v>
      </c>
      <c r="E381" s="675" t="s">
        <v>1668</v>
      </c>
      <c r="F381" s="676">
        <v>0</v>
      </c>
      <c r="G381" s="676">
        <v>0</v>
      </c>
      <c r="H381" s="676">
        <v>0</v>
      </c>
      <c r="I381" s="676">
        <v>0</v>
      </c>
      <c r="J381" s="676">
        <v>0</v>
      </c>
      <c r="K381" s="676">
        <v>0</v>
      </c>
      <c r="L381" s="676">
        <v>0</v>
      </c>
      <c r="M381" s="676">
        <v>0</v>
      </c>
      <c r="N381" s="676">
        <v>0</v>
      </c>
      <c r="O381" s="676">
        <v>0</v>
      </c>
      <c r="P381" s="676">
        <v>0</v>
      </c>
      <c r="Q381" s="676">
        <v>0</v>
      </c>
      <c r="R381" s="676">
        <v>0</v>
      </c>
      <c r="S381" s="551">
        <f t="shared" si="99"/>
        <v>0</v>
      </c>
      <c r="T381" s="677"/>
      <c r="U381" s="716"/>
      <c r="V381" s="755"/>
      <c r="W381" s="755">
        <f t="shared" si="100"/>
        <v>0</v>
      </c>
      <c r="X381" s="778"/>
      <c r="Y381" s="755"/>
      <c r="Z381" s="755"/>
      <c r="AA381" s="716"/>
      <c r="AB381" s="755"/>
      <c r="AC381" s="718">
        <f t="shared" si="101"/>
        <v>0</v>
      </c>
      <c r="AD381" s="717"/>
      <c r="AE381" s="717"/>
      <c r="AF381" s="753">
        <f t="shared" si="97"/>
        <v>0</v>
      </c>
    </row>
    <row r="382" spans="1:32">
      <c r="A382" s="677">
        <v>368</v>
      </c>
      <c r="B382" s="379" t="s">
        <v>382</v>
      </c>
      <c r="C382" s="379" t="s">
        <v>551</v>
      </c>
      <c r="D382" s="379" t="s">
        <v>550</v>
      </c>
      <c r="E382" s="382" t="s">
        <v>1669</v>
      </c>
      <c r="F382" s="676">
        <v>0</v>
      </c>
      <c r="G382" s="676">
        <v>0</v>
      </c>
      <c r="H382" s="676">
        <v>0</v>
      </c>
      <c r="I382" s="676">
        <v>0</v>
      </c>
      <c r="J382" s="676">
        <v>0</v>
      </c>
      <c r="K382" s="676">
        <v>0</v>
      </c>
      <c r="L382" s="676">
        <v>0</v>
      </c>
      <c r="M382" s="676">
        <v>0</v>
      </c>
      <c r="N382" s="676">
        <v>0</v>
      </c>
      <c r="O382" s="676">
        <v>0</v>
      </c>
      <c r="P382" s="676">
        <v>0</v>
      </c>
      <c r="Q382" s="676">
        <v>0</v>
      </c>
      <c r="R382" s="676">
        <v>0</v>
      </c>
      <c r="S382" s="551">
        <f t="shared" si="99"/>
        <v>0</v>
      </c>
      <c r="T382" s="677"/>
      <c r="U382" s="716"/>
      <c r="V382" s="755"/>
      <c r="W382" s="755">
        <f t="shared" si="100"/>
        <v>0</v>
      </c>
      <c r="X382" s="778"/>
      <c r="Y382" s="755"/>
      <c r="Z382" s="755"/>
      <c r="AA382" s="716"/>
      <c r="AB382" s="755"/>
      <c r="AC382" s="718">
        <f t="shared" si="101"/>
        <v>0</v>
      </c>
      <c r="AD382" s="717"/>
      <c r="AE382" s="717"/>
      <c r="AF382" s="753">
        <f t="shared" si="97"/>
        <v>0</v>
      </c>
    </row>
    <row r="383" spans="1:32">
      <c r="A383" s="677">
        <v>369</v>
      </c>
      <c r="B383" s="379" t="s">
        <v>984</v>
      </c>
      <c r="C383" s="379" t="s">
        <v>552</v>
      </c>
      <c r="D383" s="379" t="s">
        <v>1207</v>
      </c>
      <c r="E383" s="675" t="s">
        <v>1670</v>
      </c>
      <c r="F383" s="366">
        <v>1144.68</v>
      </c>
      <c r="G383" s="366">
        <v>0</v>
      </c>
      <c r="H383" s="366">
        <v>0</v>
      </c>
      <c r="I383" s="366">
        <v>0</v>
      </c>
      <c r="J383" s="366">
        <v>536.05999999999995</v>
      </c>
      <c r="K383" s="366">
        <v>536.05999999999995</v>
      </c>
      <c r="L383" s="366">
        <v>536.05999999999995</v>
      </c>
      <c r="M383" s="366">
        <v>536.05999999999995</v>
      </c>
      <c r="N383" s="366">
        <v>1072.1199999999999</v>
      </c>
      <c r="O383" s="366">
        <v>1072.1199999999999</v>
      </c>
      <c r="P383" s="366">
        <v>1072.1199999999999</v>
      </c>
      <c r="Q383" s="366">
        <v>1072.1199999999999</v>
      </c>
      <c r="R383" s="366">
        <v>1072.1199999999999</v>
      </c>
      <c r="S383" s="551">
        <f t="shared" si="99"/>
        <v>628.42666666666662</v>
      </c>
      <c r="T383" s="677"/>
      <c r="U383" s="716"/>
      <c r="V383" s="755"/>
      <c r="W383" s="755">
        <f>+S383</f>
        <v>628.42666666666662</v>
      </c>
      <c r="X383" s="778"/>
      <c r="Y383" s="755"/>
      <c r="Z383" s="755"/>
      <c r="AA383" s="716"/>
      <c r="AB383" s="755"/>
      <c r="AC383" s="718">
        <f t="shared" si="101"/>
        <v>628.42666666666662</v>
      </c>
      <c r="AD383" s="717"/>
      <c r="AE383" s="717"/>
      <c r="AF383" s="753">
        <f t="shared" si="97"/>
        <v>0</v>
      </c>
    </row>
    <row r="384" spans="1:32">
      <c r="A384" s="677">
        <v>370</v>
      </c>
      <c r="B384" s="677"/>
      <c r="C384" s="677"/>
      <c r="D384" s="677"/>
      <c r="E384" s="675" t="s">
        <v>553</v>
      </c>
      <c r="F384" s="358">
        <f>SUM(F374:F383)</f>
        <v>1382743.1300000001</v>
      </c>
      <c r="G384" s="358">
        <f t="shared" ref="G384:S384" si="102">SUM(G374:G383)</f>
        <v>-286305.81000000006</v>
      </c>
      <c r="H384" s="358">
        <f t="shared" si="102"/>
        <v>-316055.88</v>
      </c>
      <c r="I384" s="358">
        <f t="shared" si="102"/>
        <v>-407955.4</v>
      </c>
      <c r="J384" s="358">
        <f t="shared" si="102"/>
        <v>-438926.22000000009</v>
      </c>
      <c r="K384" s="358">
        <f t="shared" si="102"/>
        <v>-217402.20000000004</v>
      </c>
      <c r="L384" s="358">
        <f t="shared" si="102"/>
        <v>-479504.77</v>
      </c>
      <c r="M384" s="358">
        <f t="shared" si="102"/>
        <v>-428369.89999999991</v>
      </c>
      <c r="N384" s="358">
        <f t="shared" si="102"/>
        <v>-468903.52999999997</v>
      </c>
      <c r="O384" s="358">
        <f t="shared" si="102"/>
        <v>-459635.8299999999</v>
      </c>
      <c r="P384" s="358">
        <f t="shared" si="102"/>
        <v>-443261.42999999988</v>
      </c>
      <c r="Q384" s="358">
        <f t="shared" si="102"/>
        <v>-527708.2699999999</v>
      </c>
      <c r="R384" s="358">
        <f t="shared" si="102"/>
        <v>-223611.43000000002</v>
      </c>
      <c r="S384" s="553">
        <f t="shared" si="102"/>
        <v>-324538.61583333334</v>
      </c>
      <c r="T384" s="677"/>
      <c r="U384" s="716"/>
      <c r="V384" s="755"/>
      <c r="W384" s="755"/>
      <c r="X384" s="778"/>
      <c r="Y384" s="755"/>
      <c r="Z384" s="755"/>
      <c r="AA384" s="716"/>
      <c r="AB384" s="755"/>
      <c r="AC384" s="717"/>
      <c r="AD384" s="717"/>
      <c r="AE384" s="717"/>
      <c r="AF384" s="753">
        <f t="shared" si="97"/>
        <v>0</v>
      </c>
    </row>
    <row r="385" spans="1:32">
      <c r="A385" s="677">
        <v>371</v>
      </c>
      <c r="B385" s="677"/>
      <c r="C385" s="677"/>
      <c r="D385" s="677"/>
      <c r="E385" s="675"/>
      <c r="F385" s="676"/>
      <c r="G385" s="377"/>
      <c r="H385" s="368"/>
      <c r="I385" s="368"/>
      <c r="J385" s="369"/>
      <c r="K385" s="370"/>
      <c r="L385" s="371"/>
      <c r="M385" s="372"/>
      <c r="N385" s="373"/>
      <c r="O385" s="663"/>
      <c r="P385" s="374"/>
      <c r="Q385" s="378"/>
      <c r="R385" s="676"/>
      <c r="S385" s="357"/>
      <c r="T385" s="677"/>
      <c r="U385" s="716"/>
      <c r="V385" s="755"/>
      <c r="W385" s="755"/>
      <c r="X385" s="778"/>
      <c r="Y385" s="755"/>
      <c r="Z385" s="755"/>
      <c r="AA385" s="716"/>
      <c r="AB385" s="755"/>
      <c r="AC385" s="717"/>
      <c r="AD385" s="717"/>
      <c r="AE385" s="717"/>
      <c r="AF385" s="753">
        <f t="shared" si="97"/>
        <v>0</v>
      </c>
    </row>
    <row r="386" spans="1:32">
      <c r="A386" s="677">
        <v>372</v>
      </c>
      <c r="B386" s="379" t="s">
        <v>981</v>
      </c>
      <c r="C386" s="379" t="s">
        <v>554</v>
      </c>
      <c r="D386" s="379" t="s">
        <v>528</v>
      </c>
      <c r="E386" s="675" t="s">
        <v>555</v>
      </c>
      <c r="F386" s="366">
        <v>10610000</v>
      </c>
      <c r="G386" s="366">
        <v>0</v>
      </c>
      <c r="H386" s="366">
        <v>2960000</v>
      </c>
      <c r="I386" s="366">
        <v>2960000</v>
      </c>
      <c r="J386" s="366">
        <v>2960000</v>
      </c>
      <c r="K386" s="366">
        <v>5440000</v>
      </c>
      <c r="L386" s="366">
        <v>5440000</v>
      </c>
      <c r="M386" s="366">
        <v>5440000</v>
      </c>
      <c r="N386" s="366">
        <v>7920000</v>
      </c>
      <c r="O386" s="366">
        <v>7920000</v>
      </c>
      <c r="P386" s="366">
        <v>7920000</v>
      </c>
      <c r="Q386" s="366">
        <v>10400000</v>
      </c>
      <c r="R386" s="366">
        <v>10400000</v>
      </c>
      <c r="S386" s="551">
        <f>((F386+R386)+((G386+H386+I386+J386+K386+L386+M386+N386+O386+P386+Q386)*2))/24</f>
        <v>5822083.333333333</v>
      </c>
      <c r="T386" s="677"/>
      <c r="U386" s="716"/>
      <c r="V386" s="755"/>
      <c r="W386" s="755">
        <f>+S386</f>
        <v>5822083.333333333</v>
      </c>
      <c r="X386" s="778"/>
      <c r="Y386" s="755"/>
      <c r="Z386" s="755"/>
      <c r="AA386" s="716"/>
      <c r="AB386" s="755"/>
      <c r="AC386" s="718">
        <f>+S386</f>
        <v>5822083.333333333</v>
      </c>
      <c r="AD386" s="717"/>
      <c r="AE386" s="717"/>
      <c r="AF386" s="753">
        <f t="shared" si="97"/>
        <v>0</v>
      </c>
    </row>
    <row r="387" spans="1:32">
      <c r="A387" s="677">
        <v>373</v>
      </c>
      <c r="B387" s="677"/>
      <c r="C387" s="677"/>
      <c r="D387" s="677"/>
      <c r="E387" s="675" t="s">
        <v>556</v>
      </c>
      <c r="F387" s="358">
        <f>+F386</f>
        <v>10610000</v>
      </c>
      <c r="G387" s="358">
        <f t="shared" ref="G387:S387" si="103">+G386</f>
        <v>0</v>
      </c>
      <c r="H387" s="358">
        <f t="shared" si="103"/>
        <v>2960000</v>
      </c>
      <c r="I387" s="358">
        <f t="shared" si="103"/>
        <v>2960000</v>
      </c>
      <c r="J387" s="358">
        <f t="shared" si="103"/>
        <v>2960000</v>
      </c>
      <c r="K387" s="358">
        <f t="shared" si="103"/>
        <v>5440000</v>
      </c>
      <c r="L387" s="358">
        <f t="shared" si="103"/>
        <v>5440000</v>
      </c>
      <c r="M387" s="358">
        <f t="shared" si="103"/>
        <v>5440000</v>
      </c>
      <c r="N387" s="358">
        <f t="shared" si="103"/>
        <v>7920000</v>
      </c>
      <c r="O387" s="358">
        <f t="shared" si="103"/>
        <v>7920000</v>
      </c>
      <c r="P387" s="358">
        <f t="shared" si="103"/>
        <v>7920000</v>
      </c>
      <c r="Q387" s="358">
        <f t="shared" si="103"/>
        <v>10400000</v>
      </c>
      <c r="R387" s="358">
        <f t="shared" si="103"/>
        <v>10400000</v>
      </c>
      <c r="S387" s="553">
        <f t="shared" si="103"/>
        <v>5822083.333333333</v>
      </c>
      <c r="T387" s="677"/>
      <c r="U387" s="716"/>
      <c r="V387" s="755"/>
      <c r="W387" s="755"/>
      <c r="X387" s="778"/>
      <c r="Y387" s="755"/>
      <c r="Z387" s="755"/>
      <c r="AA387" s="716"/>
      <c r="AB387" s="755"/>
      <c r="AC387" s="717"/>
      <c r="AD387" s="717"/>
      <c r="AE387" s="717"/>
      <c r="AF387" s="753">
        <f t="shared" si="97"/>
        <v>0</v>
      </c>
    </row>
    <row r="388" spans="1:32">
      <c r="A388" s="677">
        <v>374</v>
      </c>
      <c r="B388" s="677"/>
      <c r="C388" s="677"/>
      <c r="D388" s="677"/>
      <c r="E388" s="675"/>
      <c r="F388" s="359"/>
      <c r="G388" s="383"/>
      <c r="H388" s="667"/>
      <c r="I388" s="667"/>
      <c r="J388" s="360"/>
      <c r="K388" s="671"/>
      <c r="L388" s="361"/>
      <c r="M388" s="362"/>
      <c r="N388" s="363"/>
      <c r="O388" s="364"/>
      <c r="P388" s="365"/>
      <c r="Q388" s="384"/>
      <c r="R388" s="359"/>
      <c r="S388" s="357"/>
      <c r="T388" s="677"/>
      <c r="U388" s="716"/>
      <c r="V388" s="755"/>
      <c r="W388" s="755"/>
      <c r="X388" s="778"/>
      <c r="Y388" s="755"/>
      <c r="Z388" s="755"/>
      <c r="AA388" s="716"/>
      <c r="AB388" s="755"/>
      <c r="AC388" s="717"/>
      <c r="AD388" s="717"/>
      <c r="AE388" s="717"/>
      <c r="AF388" s="753">
        <f t="shared" si="97"/>
        <v>0</v>
      </c>
    </row>
    <row r="389" spans="1:32" ht="15.75" thickBot="1">
      <c r="A389" s="677">
        <v>375</v>
      </c>
      <c r="B389" s="594"/>
      <c r="C389" s="594"/>
      <c r="D389" s="594"/>
      <c r="E389" s="670" t="s">
        <v>557</v>
      </c>
      <c r="F389" s="385">
        <f t="shared" ref="F389:R389" si="104">+F387+F384+F371+F348+F330+F325+F307+F306+F304+F298+F227+F224+F202+F200+F181+F169+F149+F122+F63+F46+F39+F36+F59+F183+F184+F185+F186+F187+F188+F189+F190+F191+F192+F193+F195+F194+F198+F199+F201+F203+F204+F205+F196+F197</f>
        <v>1117173255.4100006</v>
      </c>
      <c r="G389" s="385">
        <f t="shared" si="104"/>
        <v>874125722.07999992</v>
      </c>
      <c r="H389" s="385">
        <f t="shared" si="104"/>
        <v>939569369.3599999</v>
      </c>
      <c r="I389" s="385">
        <f t="shared" si="104"/>
        <v>996037968.9599998</v>
      </c>
      <c r="J389" s="385">
        <f t="shared" si="104"/>
        <v>998465333.8499999</v>
      </c>
      <c r="K389" s="385">
        <f t="shared" si="104"/>
        <v>1006979612.1500003</v>
      </c>
      <c r="L389" s="385">
        <f t="shared" si="104"/>
        <v>1026172554.4400002</v>
      </c>
      <c r="M389" s="385">
        <f t="shared" si="104"/>
        <v>1052630814.3600003</v>
      </c>
      <c r="N389" s="385">
        <f t="shared" si="104"/>
        <v>1077947351.5200002</v>
      </c>
      <c r="O389" s="385">
        <f t="shared" si="104"/>
        <v>1095026663.5400002</v>
      </c>
      <c r="P389" s="385">
        <f t="shared" si="104"/>
        <v>1143148336.5700002</v>
      </c>
      <c r="Q389" s="385">
        <f t="shared" si="104"/>
        <v>1193037825.99</v>
      </c>
      <c r="R389" s="385">
        <f t="shared" si="104"/>
        <v>1262198971.2999995</v>
      </c>
      <c r="S389" s="385">
        <f>+S387+S384+S371+S348+S330+S325+S307+S306+S304+S298+S227+S224+S202+S200+S181+S169+S149+S122+S63+S46+S39+S36+S59+S183+S184+S185+S186+S187+S188+S189+S190+S191+S192+S193+S195+S194+S198+S199+S201+S203+S204+S205+S196+S197</f>
        <v>1049402305.5145835</v>
      </c>
      <c r="T389" s="594"/>
      <c r="U389" s="721"/>
      <c r="V389" s="756"/>
      <c r="W389" s="756"/>
      <c r="X389" s="781"/>
      <c r="Y389" s="756"/>
      <c r="Z389" s="756"/>
      <c r="AA389" s="721"/>
      <c r="AB389" s="756"/>
      <c r="AC389" s="722"/>
      <c r="AD389" s="722"/>
      <c r="AE389" s="722"/>
      <c r="AF389" s="753">
        <f t="shared" si="97"/>
        <v>0</v>
      </c>
    </row>
    <row r="390" spans="1:32" ht="15.75" thickTop="1">
      <c r="A390" s="677">
        <v>376</v>
      </c>
      <c r="B390" s="677"/>
      <c r="C390" s="677"/>
      <c r="D390" s="677"/>
      <c r="E390" s="675"/>
      <c r="F390" s="676"/>
      <c r="G390" s="377"/>
      <c r="H390" s="368"/>
      <c r="I390" s="368"/>
      <c r="J390" s="369"/>
      <c r="K390" s="370"/>
      <c r="L390" s="371"/>
      <c r="M390" s="372"/>
      <c r="N390" s="373"/>
      <c r="O390" s="663"/>
      <c r="P390" s="374"/>
      <c r="Q390" s="378"/>
      <c r="R390" s="676"/>
      <c r="S390" s="357"/>
      <c r="T390" s="677"/>
      <c r="U390" s="716"/>
      <c r="V390" s="755"/>
      <c r="W390" s="755"/>
      <c r="X390" s="778"/>
      <c r="Y390" s="755"/>
      <c r="Z390" s="755"/>
      <c r="AA390" s="716"/>
      <c r="AB390" s="755"/>
      <c r="AC390" s="717"/>
      <c r="AD390" s="717"/>
      <c r="AE390" s="717"/>
      <c r="AF390" s="753">
        <f t="shared" si="97"/>
        <v>0</v>
      </c>
    </row>
    <row r="391" spans="1:32">
      <c r="A391" s="677">
        <v>377</v>
      </c>
      <c r="B391" s="677"/>
      <c r="C391" s="677"/>
      <c r="D391" s="677"/>
      <c r="E391" s="675"/>
      <c r="F391" s="676"/>
      <c r="G391" s="377"/>
      <c r="H391" s="368"/>
      <c r="I391" s="368"/>
      <c r="J391" s="369"/>
      <c r="K391" s="370"/>
      <c r="L391" s="371"/>
      <c r="M391" s="372"/>
      <c r="N391" s="373"/>
      <c r="O391" s="663"/>
      <c r="P391" s="374"/>
      <c r="Q391" s="378"/>
      <c r="R391" s="676"/>
      <c r="S391" s="357"/>
      <c r="T391" s="677"/>
      <c r="U391" s="716"/>
      <c r="V391" s="755"/>
      <c r="W391" s="755"/>
      <c r="X391" s="778"/>
      <c r="Y391" s="755"/>
      <c r="Z391" s="755"/>
      <c r="AA391" s="716"/>
      <c r="AB391" s="755"/>
      <c r="AC391" s="717"/>
      <c r="AD391" s="717"/>
      <c r="AE391" s="717"/>
      <c r="AF391" s="753">
        <f t="shared" si="97"/>
        <v>0</v>
      </c>
    </row>
    <row r="392" spans="1:32">
      <c r="A392" s="677">
        <v>378</v>
      </c>
      <c r="B392" s="379" t="s">
        <v>981</v>
      </c>
      <c r="C392" s="379" t="s">
        <v>558</v>
      </c>
      <c r="D392" s="379" t="s">
        <v>1215</v>
      </c>
      <c r="E392" s="662" t="s">
        <v>559</v>
      </c>
      <c r="F392" s="676">
        <v>-1000</v>
      </c>
      <c r="G392" s="676">
        <v>-1000</v>
      </c>
      <c r="H392" s="676">
        <v>-1000</v>
      </c>
      <c r="I392" s="676">
        <v>-1000</v>
      </c>
      <c r="J392" s="676">
        <v>-1000</v>
      </c>
      <c r="K392" s="676">
        <v>-1000</v>
      </c>
      <c r="L392" s="676">
        <v>-1000</v>
      </c>
      <c r="M392" s="676">
        <v>-1000</v>
      </c>
      <c r="N392" s="676">
        <v>-1000</v>
      </c>
      <c r="O392" s="676">
        <v>-1000</v>
      </c>
      <c r="P392" s="676">
        <v>-1000</v>
      </c>
      <c r="Q392" s="676">
        <v>-1000</v>
      </c>
      <c r="R392" s="676">
        <v>-1000</v>
      </c>
      <c r="S392" s="551">
        <f>((F392+R392)+((G392+H392+I392+J392+K392+L392+M392+N392+O392+P392+Q392)*2))/24</f>
        <v>-1000</v>
      </c>
      <c r="T392" s="677"/>
      <c r="U392" s="716"/>
      <c r="V392" s="755"/>
      <c r="W392" s="755">
        <f>+S392</f>
        <v>-1000</v>
      </c>
      <c r="X392" s="778"/>
      <c r="Y392" s="755"/>
      <c r="Z392" s="755"/>
      <c r="AA392" s="716"/>
      <c r="AB392" s="755"/>
      <c r="AC392" s="718">
        <f>+S392</f>
        <v>-1000</v>
      </c>
      <c r="AD392" s="717"/>
      <c r="AE392" s="717"/>
      <c r="AF392" s="753">
        <f t="shared" si="97"/>
        <v>0</v>
      </c>
    </row>
    <row r="393" spans="1:32">
      <c r="A393" s="677">
        <v>379</v>
      </c>
      <c r="B393" s="379" t="s">
        <v>981</v>
      </c>
      <c r="C393" s="379" t="s">
        <v>560</v>
      </c>
      <c r="D393" s="379" t="s">
        <v>528</v>
      </c>
      <c r="E393" s="662" t="s">
        <v>561</v>
      </c>
      <c r="F393" s="676">
        <v>-30688673.449999999</v>
      </c>
      <c r="G393" s="676">
        <v>-34416893.780000001</v>
      </c>
      <c r="H393" s="676">
        <v>-34416893.780000001</v>
      </c>
      <c r="I393" s="676">
        <v>-34416893.780000001</v>
      </c>
      <c r="J393" s="676">
        <v>-34416893.780000001</v>
      </c>
      <c r="K393" s="676">
        <v>-34416893.780000001</v>
      </c>
      <c r="L393" s="676">
        <v>-34416893.780000001</v>
      </c>
      <c r="M393" s="676">
        <v>-34416893.780000001</v>
      </c>
      <c r="N393" s="676">
        <v>-34416893.780000001</v>
      </c>
      <c r="O393" s="676">
        <v>-34416893.780000001</v>
      </c>
      <c r="P393" s="676">
        <v>-34416893.780000001</v>
      </c>
      <c r="Q393" s="676">
        <v>-34416893.780000001</v>
      </c>
      <c r="R393" s="676">
        <v>-34416893.780000001</v>
      </c>
      <c r="S393" s="551">
        <f>((F393+R393)+((G393+H393+I393+J393+K393+L393+M393+N393+O393+P393+Q393)*2))/24</f>
        <v>-34261551.266249992</v>
      </c>
      <c r="T393" s="677"/>
      <c r="U393" s="716"/>
      <c r="V393" s="755"/>
      <c r="W393" s="755">
        <f>+S393</f>
        <v>-34261551.266249992</v>
      </c>
      <c r="X393" s="778"/>
      <c r="Y393" s="755"/>
      <c r="Z393" s="755"/>
      <c r="AA393" s="716"/>
      <c r="AB393" s="755"/>
      <c r="AC393" s="718">
        <f>+W393</f>
        <v>-34261551.266249992</v>
      </c>
      <c r="AD393" s="717"/>
      <c r="AE393" s="717"/>
      <c r="AF393" s="753">
        <f t="shared" si="97"/>
        <v>0</v>
      </c>
    </row>
    <row r="394" spans="1:32">
      <c r="A394" s="677">
        <v>381</v>
      </c>
      <c r="B394" s="379" t="s">
        <v>981</v>
      </c>
      <c r="C394" s="379" t="s">
        <v>560</v>
      </c>
      <c r="D394" s="379" t="s">
        <v>563</v>
      </c>
      <c r="E394" s="662" t="s">
        <v>564</v>
      </c>
      <c r="F394" s="676">
        <v>42776</v>
      </c>
      <c r="G394" s="676">
        <v>2144</v>
      </c>
      <c r="H394" s="676">
        <v>4288</v>
      </c>
      <c r="I394" s="676">
        <v>6635</v>
      </c>
      <c r="J394" s="676">
        <v>8982</v>
      </c>
      <c r="K394" s="676">
        <v>11329</v>
      </c>
      <c r="L394" s="676">
        <v>13676</v>
      </c>
      <c r="M394" s="676">
        <v>16023</v>
      </c>
      <c r="N394" s="676">
        <v>18370</v>
      </c>
      <c r="O394" s="676">
        <v>20717</v>
      </c>
      <c r="P394" s="676">
        <v>23064</v>
      </c>
      <c r="Q394" s="676">
        <v>25411</v>
      </c>
      <c r="R394" s="676">
        <v>13231</v>
      </c>
      <c r="S394" s="551">
        <f t="shared" ref="S394:S456" si="105">((F394+R394)+((G394+H394+I394+J394+K394+L394+M394+N394+O394+P394+Q394)*2))/24</f>
        <v>14886.875</v>
      </c>
      <c r="T394" s="677"/>
      <c r="U394" s="716"/>
      <c r="V394" s="755"/>
      <c r="W394" s="755">
        <f t="shared" ref="W394:W398" si="106">+S394</f>
        <v>14886.875</v>
      </c>
      <c r="X394" s="778"/>
      <c r="Y394" s="755"/>
      <c r="Z394" s="755"/>
      <c r="AA394" s="716"/>
      <c r="AB394" s="755"/>
      <c r="AC394" s="718">
        <f t="shared" ref="AC394:AC398" si="107">+S394</f>
        <v>14886.875</v>
      </c>
      <c r="AD394" s="717"/>
      <c r="AE394" s="717"/>
      <c r="AF394" s="753">
        <f t="shared" si="97"/>
        <v>0</v>
      </c>
    </row>
    <row r="395" spans="1:32">
      <c r="A395" s="677">
        <v>383</v>
      </c>
      <c r="B395" s="379" t="s">
        <v>981</v>
      </c>
      <c r="C395" s="379" t="s">
        <v>565</v>
      </c>
      <c r="D395" s="379" t="s">
        <v>528</v>
      </c>
      <c r="E395" s="662" t="s">
        <v>566</v>
      </c>
      <c r="F395" s="676">
        <v>-222117553.21000001</v>
      </c>
      <c r="G395" s="676">
        <v>-222117553.21000001</v>
      </c>
      <c r="H395" s="676">
        <v>-222117553.21000001</v>
      </c>
      <c r="I395" s="676">
        <v>-222117553.21000001</v>
      </c>
      <c r="J395" s="676">
        <v>-222117553.21000001</v>
      </c>
      <c r="K395" s="676">
        <v>-227117553.21000001</v>
      </c>
      <c r="L395" s="676">
        <v>-232117553.21000001</v>
      </c>
      <c r="M395" s="676">
        <v>-239117553.21000001</v>
      </c>
      <c r="N395" s="676">
        <v>-239117553.21000001</v>
      </c>
      <c r="O395" s="676">
        <v>-259117553.21000001</v>
      </c>
      <c r="P395" s="676">
        <v>-266117553.21000001</v>
      </c>
      <c r="Q395" s="676">
        <v>-266117553.21000001</v>
      </c>
      <c r="R395" s="676">
        <v>-266117553.21000001</v>
      </c>
      <c r="S395" s="551">
        <f>((F395+R395)+((G395+H395+I395+J395+K395+L395+M395+N395+O395+P395+Q395)*2))/24</f>
        <v>-238450886.54333332</v>
      </c>
      <c r="T395" s="677"/>
      <c r="U395" s="716"/>
      <c r="V395" s="755"/>
      <c r="W395" s="755">
        <f t="shared" si="106"/>
        <v>-238450886.54333332</v>
      </c>
      <c r="X395" s="778"/>
      <c r="Y395" s="755"/>
      <c r="Z395" s="755"/>
      <c r="AA395" s="716"/>
      <c r="AB395" s="755"/>
      <c r="AC395" s="718">
        <f t="shared" si="107"/>
        <v>-238450886.54333332</v>
      </c>
      <c r="AD395" s="717"/>
      <c r="AE395" s="717"/>
      <c r="AF395" s="753">
        <f t="shared" si="97"/>
        <v>0</v>
      </c>
    </row>
    <row r="396" spans="1:32">
      <c r="A396" s="677">
        <v>384</v>
      </c>
      <c r="B396" s="379" t="s">
        <v>981</v>
      </c>
      <c r="C396" s="379" t="s">
        <v>1433</v>
      </c>
      <c r="D396" s="379"/>
      <c r="E396" s="662" t="s">
        <v>568</v>
      </c>
      <c r="F396" s="676">
        <v>273680.51</v>
      </c>
      <c r="G396" s="676">
        <v>0</v>
      </c>
      <c r="H396" s="676">
        <v>0</v>
      </c>
      <c r="I396" s="676">
        <v>0</v>
      </c>
      <c r="J396" s="676">
        <v>0</v>
      </c>
      <c r="K396" s="676">
        <v>0</v>
      </c>
      <c r="L396" s="676">
        <v>0</v>
      </c>
      <c r="M396" s="676">
        <v>0</v>
      </c>
      <c r="N396" s="676">
        <v>0</v>
      </c>
      <c r="O396" s="676">
        <v>0</v>
      </c>
      <c r="P396" s="676">
        <v>0</v>
      </c>
      <c r="Q396" s="676">
        <v>0</v>
      </c>
      <c r="R396" s="676">
        <v>0</v>
      </c>
      <c r="S396" s="551">
        <f t="shared" si="105"/>
        <v>11403.354583333334</v>
      </c>
      <c r="T396" s="677"/>
      <c r="U396" s="716"/>
      <c r="V396" s="755"/>
      <c r="W396" s="755">
        <f t="shared" si="106"/>
        <v>11403.354583333334</v>
      </c>
      <c r="X396" s="778"/>
      <c r="Y396" s="755"/>
      <c r="Z396" s="755"/>
      <c r="AA396" s="716"/>
      <c r="AB396" s="755"/>
      <c r="AC396" s="718">
        <f t="shared" si="107"/>
        <v>11403.354583333334</v>
      </c>
      <c r="AD396" s="717"/>
      <c r="AE396" s="717"/>
      <c r="AF396" s="753">
        <f t="shared" si="97"/>
        <v>0</v>
      </c>
    </row>
    <row r="397" spans="1:32">
      <c r="A397" s="677">
        <v>385</v>
      </c>
      <c r="B397" s="379" t="s">
        <v>981</v>
      </c>
      <c r="C397" s="379" t="s">
        <v>569</v>
      </c>
      <c r="D397" s="677" t="s">
        <v>382</v>
      </c>
      <c r="E397" s="662" t="s">
        <v>1671</v>
      </c>
      <c r="F397" s="676">
        <v>-2402882.85</v>
      </c>
      <c r="G397" s="676">
        <v>-2402882.85</v>
      </c>
      <c r="H397" s="676">
        <v>-2402882.85</v>
      </c>
      <c r="I397" s="676">
        <v>-2402882.85</v>
      </c>
      <c r="J397" s="676">
        <v>-2402882.85</v>
      </c>
      <c r="K397" s="676">
        <v>-2402882.85</v>
      </c>
      <c r="L397" s="676">
        <v>-2402882.85</v>
      </c>
      <c r="M397" s="676">
        <v>-2402882.85</v>
      </c>
      <c r="N397" s="676">
        <v>-2402882.85</v>
      </c>
      <c r="O397" s="676">
        <v>-2402882.85</v>
      </c>
      <c r="P397" s="676">
        <v>-2402882.85</v>
      </c>
      <c r="Q397" s="676">
        <v>-2402882.85</v>
      </c>
      <c r="R397" s="676">
        <v>-2506034.75</v>
      </c>
      <c r="S397" s="551">
        <f t="shared" si="105"/>
        <v>-2407180.8458333337</v>
      </c>
      <c r="T397" s="677"/>
      <c r="U397" s="716"/>
      <c r="V397" s="755"/>
      <c r="W397" s="755">
        <f t="shared" si="106"/>
        <v>-2407180.8458333337</v>
      </c>
      <c r="X397" s="778"/>
      <c r="Y397" s="755"/>
      <c r="Z397" s="755"/>
      <c r="AA397" s="716"/>
      <c r="AB397" s="755"/>
      <c r="AC397" s="718">
        <f t="shared" si="107"/>
        <v>-2407180.8458333337</v>
      </c>
      <c r="AD397" s="717"/>
      <c r="AE397" s="717"/>
      <c r="AF397" s="753">
        <f t="shared" si="97"/>
        <v>0</v>
      </c>
    </row>
    <row r="398" spans="1:32">
      <c r="A398" s="677">
        <v>386</v>
      </c>
      <c r="B398" s="379" t="s">
        <v>981</v>
      </c>
      <c r="C398" s="379" t="s">
        <v>570</v>
      </c>
      <c r="D398" s="379" t="s">
        <v>1215</v>
      </c>
      <c r="E398" s="662" t="s">
        <v>1672</v>
      </c>
      <c r="F398" s="366">
        <v>84425.49</v>
      </c>
      <c r="G398" s="366">
        <v>84425.49</v>
      </c>
      <c r="H398" s="366">
        <v>84425.49</v>
      </c>
      <c r="I398" s="366">
        <v>84425.49</v>
      </c>
      <c r="J398" s="366">
        <v>84425.49</v>
      </c>
      <c r="K398" s="366">
        <v>84425.49</v>
      </c>
      <c r="L398" s="366">
        <v>84425.49</v>
      </c>
      <c r="M398" s="366">
        <v>84425.49</v>
      </c>
      <c r="N398" s="366">
        <v>84425.49</v>
      </c>
      <c r="O398" s="366">
        <v>84425.49</v>
      </c>
      <c r="P398" s="366">
        <v>84425.49</v>
      </c>
      <c r="Q398" s="366">
        <v>84425.49</v>
      </c>
      <c r="R398" s="366">
        <v>430592.4</v>
      </c>
      <c r="S398" s="552">
        <f t="shared" si="105"/>
        <v>98849.111250000002</v>
      </c>
      <c r="T398" s="677"/>
      <c r="U398" s="716"/>
      <c r="V398" s="755"/>
      <c r="W398" s="755">
        <f t="shared" si="106"/>
        <v>98849.111250000002</v>
      </c>
      <c r="X398" s="778"/>
      <c r="Y398" s="755"/>
      <c r="Z398" s="755"/>
      <c r="AA398" s="716"/>
      <c r="AB398" s="755"/>
      <c r="AC398" s="718">
        <f t="shared" si="107"/>
        <v>98849.111250000002</v>
      </c>
      <c r="AD398" s="717"/>
      <c r="AE398" s="717"/>
      <c r="AF398" s="753">
        <f t="shared" si="97"/>
        <v>0</v>
      </c>
    </row>
    <row r="399" spans="1:32">
      <c r="A399" s="677">
        <v>387</v>
      </c>
      <c r="B399" s="677"/>
      <c r="C399" s="677"/>
      <c r="D399" s="677"/>
      <c r="E399" s="662" t="s">
        <v>571</v>
      </c>
      <c r="F399" s="358">
        <f t="shared" ref="F399:S399" si="108">SUM(F392:F398)</f>
        <v>-254809227.50999999</v>
      </c>
      <c r="G399" s="358">
        <f t="shared" si="108"/>
        <v>-258851760.34999999</v>
      </c>
      <c r="H399" s="358">
        <f t="shared" si="108"/>
        <v>-258849616.34999999</v>
      </c>
      <c r="I399" s="358">
        <f t="shared" si="108"/>
        <v>-258847269.34999999</v>
      </c>
      <c r="J399" s="358">
        <f t="shared" si="108"/>
        <v>-258844922.34999999</v>
      </c>
      <c r="K399" s="358">
        <f t="shared" si="108"/>
        <v>-263842575.34999999</v>
      </c>
      <c r="L399" s="358">
        <f t="shared" si="108"/>
        <v>-268840228.35000002</v>
      </c>
      <c r="M399" s="358">
        <f t="shared" si="108"/>
        <v>-275837881.35000002</v>
      </c>
      <c r="N399" s="358">
        <f t="shared" si="108"/>
        <v>-275835534.35000002</v>
      </c>
      <c r="O399" s="358">
        <f t="shared" si="108"/>
        <v>-295833187.35000002</v>
      </c>
      <c r="P399" s="358">
        <f t="shared" si="108"/>
        <v>-302830840.35000002</v>
      </c>
      <c r="Q399" s="358">
        <f t="shared" si="108"/>
        <v>-302828493.35000002</v>
      </c>
      <c r="R399" s="358">
        <f t="shared" si="108"/>
        <v>-302597658.34000003</v>
      </c>
      <c r="S399" s="553">
        <f t="shared" si="108"/>
        <v>-274995479.31458336</v>
      </c>
      <c r="T399" s="677"/>
      <c r="U399" s="716"/>
      <c r="V399" s="755"/>
      <c r="W399" s="755"/>
      <c r="X399" s="778"/>
      <c r="Y399" s="755"/>
      <c r="Z399" s="755"/>
      <c r="AA399" s="716"/>
      <c r="AB399" s="755"/>
      <c r="AC399" s="717"/>
      <c r="AD399" s="717"/>
      <c r="AE399" s="717"/>
      <c r="AF399" s="753">
        <f t="shared" si="97"/>
        <v>0</v>
      </c>
    </row>
    <row r="400" spans="1:32">
      <c r="A400" s="677">
        <v>388</v>
      </c>
      <c r="B400" s="677"/>
      <c r="C400" s="677"/>
      <c r="D400" s="677"/>
      <c r="E400" s="662"/>
      <c r="F400" s="674"/>
      <c r="G400" s="386"/>
      <c r="H400" s="387"/>
      <c r="I400" s="387"/>
      <c r="J400" s="388"/>
      <c r="K400" s="389"/>
      <c r="L400" s="390"/>
      <c r="M400" s="391"/>
      <c r="N400" s="392"/>
      <c r="O400" s="376"/>
      <c r="P400" s="393"/>
      <c r="Q400" s="394"/>
      <c r="R400" s="674"/>
      <c r="S400" s="357"/>
      <c r="T400" s="677"/>
      <c r="U400" s="716"/>
      <c r="V400" s="755"/>
      <c r="W400" s="755"/>
      <c r="X400" s="778"/>
      <c r="Y400" s="755"/>
      <c r="Z400" s="755"/>
      <c r="AA400" s="716"/>
      <c r="AB400" s="755"/>
      <c r="AC400" s="717"/>
      <c r="AD400" s="717"/>
      <c r="AE400" s="717"/>
      <c r="AF400" s="753">
        <f t="shared" si="97"/>
        <v>0</v>
      </c>
    </row>
    <row r="401" spans="1:32">
      <c r="A401" s="677">
        <v>389</v>
      </c>
      <c r="B401" s="379" t="s">
        <v>981</v>
      </c>
      <c r="C401" s="379" t="s">
        <v>572</v>
      </c>
      <c r="D401" s="379" t="s">
        <v>473</v>
      </c>
      <c r="E401" s="666" t="s">
        <v>573</v>
      </c>
      <c r="F401" s="676">
        <v>-20000000</v>
      </c>
      <c r="G401" s="676">
        <v>-20000000</v>
      </c>
      <c r="H401" s="676">
        <v>-20000000</v>
      </c>
      <c r="I401" s="676">
        <v>-20000000</v>
      </c>
      <c r="J401" s="676">
        <v>-20000000</v>
      </c>
      <c r="K401" s="676">
        <v>-20000000</v>
      </c>
      <c r="L401" s="676">
        <v>-20000000</v>
      </c>
      <c r="M401" s="676">
        <v>-20000000</v>
      </c>
      <c r="N401" s="676">
        <v>-20000000</v>
      </c>
      <c r="O401" s="676">
        <v>-20000000</v>
      </c>
      <c r="P401" s="676">
        <v>-20000000</v>
      </c>
      <c r="Q401" s="676">
        <v>-20000000</v>
      </c>
      <c r="R401" s="676">
        <v>-20000000</v>
      </c>
      <c r="S401" s="551">
        <f t="shared" si="105"/>
        <v>-20000000</v>
      </c>
      <c r="T401" s="677"/>
      <c r="U401" s="716"/>
      <c r="V401" s="755"/>
      <c r="W401" s="755">
        <f t="shared" ref="W401:W418" si="109">+S401</f>
        <v>-20000000</v>
      </c>
      <c r="X401" s="778"/>
      <c r="Y401" s="755"/>
      <c r="Z401" s="755"/>
      <c r="AA401" s="716"/>
      <c r="AB401" s="755"/>
      <c r="AC401" s="718">
        <f t="shared" ref="AC401:AC418" si="110">+S401</f>
        <v>-20000000</v>
      </c>
      <c r="AD401" s="717"/>
      <c r="AE401" s="717"/>
      <c r="AF401" s="753">
        <f t="shared" si="97"/>
        <v>0</v>
      </c>
    </row>
    <row r="402" spans="1:32">
      <c r="A402" s="677">
        <v>390</v>
      </c>
      <c r="B402" s="379" t="s">
        <v>981</v>
      </c>
      <c r="C402" s="379" t="s">
        <v>572</v>
      </c>
      <c r="D402" s="379" t="s">
        <v>475</v>
      </c>
      <c r="E402" s="666" t="s">
        <v>574</v>
      </c>
      <c r="F402" s="676">
        <v>-15000000</v>
      </c>
      <c r="G402" s="676">
        <v>-15000000</v>
      </c>
      <c r="H402" s="676">
        <v>-15000000</v>
      </c>
      <c r="I402" s="676">
        <v>-15000000</v>
      </c>
      <c r="J402" s="676">
        <v>-15000000</v>
      </c>
      <c r="K402" s="676">
        <v>-15000000</v>
      </c>
      <c r="L402" s="676">
        <v>-15000000</v>
      </c>
      <c r="M402" s="676">
        <v>-15000000</v>
      </c>
      <c r="N402" s="676">
        <v>-15000000</v>
      </c>
      <c r="O402" s="676">
        <v>-15000000</v>
      </c>
      <c r="P402" s="676">
        <v>-15000000</v>
      </c>
      <c r="Q402" s="676">
        <v>-15000000</v>
      </c>
      <c r="R402" s="676">
        <v>-15000000</v>
      </c>
      <c r="S402" s="551">
        <f t="shared" si="105"/>
        <v>-15000000</v>
      </c>
      <c r="T402" s="677"/>
      <c r="U402" s="716"/>
      <c r="V402" s="755"/>
      <c r="W402" s="755">
        <f t="shared" si="109"/>
        <v>-15000000</v>
      </c>
      <c r="X402" s="778"/>
      <c r="Y402" s="755"/>
      <c r="Z402" s="755"/>
      <c r="AA402" s="716"/>
      <c r="AB402" s="755"/>
      <c r="AC402" s="718">
        <f t="shared" si="110"/>
        <v>-15000000</v>
      </c>
      <c r="AD402" s="717"/>
      <c r="AE402" s="717"/>
      <c r="AF402" s="753">
        <f t="shared" si="97"/>
        <v>0</v>
      </c>
    </row>
    <row r="403" spans="1:32">
      <c r="A403" s="677">
        <v>391</v>
      </c>
      <c r="B403" s="379" t="s">
        <v>981</v>
      </c>
      <c r="C403" s="379" t="s">
        <v>572</v>
      </c>
      <c r="D403" s="379" t="s">
        <v>477</v>
      </c>
      <c r="E403" s="666" t="s">
        <v>575</v>
      </c>
      <c r="F403" s="676">
        <v>-24361000</v>
      </c>
      <c r="G403" s="676">
        <v>-24361000</v>
      </c>
      <c r="H403" s="676">
        <v>-24341000</v>
      </c>
      <c r="I403" s="676">
        <v>-24341000</v>
      </c>
      <c r="J403" s="676">
        <v>-24341000</v>
      </c>
      <c r="K403" s="676">
        <v>-24249000</v>
      </c>
      <c r="L403" s="676">
        <v>-24249000</v>
      </c>
      <c r="M403" s="676">
        <v>-24249000</v>
      </c>
      <c r="N403" s="676">
        <v>-24239000</v>
      </c>
      <c r="O403" s="676">
        <v>-24239000</v>
      </c>
      <c r="P403" s="676">
        <v>-24239000</v>
      </c>
      <c r="Q403" s="676">
        <v>-24214000</v>
      </c>
      <c r="R403" s="676">
        <v>-24214000</v>
      </c>
      <c r="S403" s="551">
        <f t="shared" si="105"/>
        <v>-24279125</v>
      </c>
      <c r="T403" s="677"/>
      <c r="U403" s="716"/>
      <c r="V403" s="755"/>
      <c r="W403" s="755">
        <f t="shared" si="109"/>
        <v>-24279125</v>
      </c>
      <c r="X403" s="778"/>
      <c r="Y403" s="755"/>
      <c r="Z403" s="755"/>
      <c r="AA403" s="716"/>
      <c r="AB403" s="755"/>
      <c r="AC403" s="718">
        <f t="shared" si="110"/>
        <v>-24279125</v>
      </c>
      <c r="AD403" s="717"/>
      <c r="AE403" s="717"/>
      <c r="AF403" s="753">
        <f t="shared" si="97"/>
        <v>0</v>
      </c>
    </row>
    <row r="404" spans="1:32">
      <c r="A404" s="677">
        <v>392</v>
      </c>
      <c r="B404" s="379" t="s">
        <v>981</v>
      </c>
      <c r="C404" s="379" t="s">
        <v>572</v>
      </c>
      <c r="D404" s="379" t="s">
        <v>479</v>
      </c>
      <c r="E404" s="666" t="s">
        <v>576</v>
      </c>
      <c r="F404" s="676">
        <v>-15000000</v>
      </c>
      <c r="G404" s="676">
        <v>-15000000</v>
      </c>
      <c r="H404" s="676">
        <v>-15000000</v>
      </c>
      <c r="I404" s="676">
        <v>-15000000</v>
      </c>
      <c r="J404" s="676">
        <v>-15000000</v>
      </c>
      <c r="K404" s="676">
        <v>-15000000</v>
      </c>
      <c r="L404" s="676">
        <v>-15000000</v>
      </c>
      <c r="M404" s="676">
        <v>-15000000</v>
      </c>
      <c r="N404" s="676">
        <v>-15000000</v>
      </c>
      <c r="O404" s="676">
        <v>0</v>
      </c>
      <c r="P404" s="676">
        <v>0</v>
      </c>
      <c r="Q404" s="676">
        <v>0</v>
      </c>
      <c r="R404" s="676">
        <v>0</v>
      </c>
      <c r="S404" s="551">
        <f t="shared" si="105"/>
        <v>-10625000</v>
      </c>
      <c r="T404" s="677"/>
      <c r="U404" s="716"/>
      <c r="V404" s="755"/>
      <c r="W404" s="755">
        <f t="shared" si="109"/>
        <v>-10625000</v>
      </c>
      <c r="X404" s="778"/>
      <c r="Y404" s="755"/>
      <c r="Z404" s="755"/>
      <c r="AA404" s="716"/>
      <c r="AB404" s="755"/>
      <c r="AC404" s="718">
        <f t="shared" si="110"/>
        <v>-10625000</v>
      </c>
      <c r="AD404" s="717"/>
      <c r="AE404" s="717"/>
      <c r="AF404" s="753">
        <f t="shared" si="97"/>
        <v>0</v>
      </c>
    </row>
    <row r="405" spans="1:32">
      <c r="A405" s="677">
        <v>393</v>
      </c>
      <c r="B405" s="379" t="s">
        <v>981</v>
      </c>
      <c r="C405" s="379" t="s">
        <v>572</v>
      </c>
      <c r="D405" s="379" t="s">
        <v>481</v>
      </c>
      <c r="E405" s="666" t="s">
        <v>577</v>
      </c>
      <c r="F405" s="676">
        <v>-40000000</v>
      </c>
      <c r="G405" s="676">
        <v>-40000000</v>
      </c>
      <c r="H405" s="676">
        <v>-40000000</v>
      </c>
      <c r="I405" s="676">
        <v>-40000000</v>
      </c>
      <c r="J405" s="676">
        <v>-40000000</v>
      </c>
      <c r="K405" s="676">
        <v>-40000000</v>
      </c>
      <c r="L405" s="676">
        <v>-40000000</v>
      </c>
      <c r="M405" s="676">
        <v>-40000000</v>
      </c>
      <c r="N405" s="676">
        <v>-40000000</v>
      </c>
      <c r="O405" s="676">
        <v>-40000000</v>
      </c>
      <c r="P405" s="676">
        <v>-40000000</v>
      </c>
      <c r="Q405" s="676">
        <v>-40000000</v>
      </c>
      <c r="R405" s="676">
        <v>-40000000</v>
      </c>
      <c r="S405" s="551">
        <f t="shared" si="105"/>
        <v>-40000000</v>
      </c>
      <c r="T405" s="677"/>
      <c r="U405" s="716"/>
      <c r="V405" s="755"/>
      <c r="W405" s="755">
        <f t="shared" si="109"/>
        <v>-40000000</v>
      </c>
      <c r="X405" s="778"/>
      <c r="Y405" s="755"/>
      <c r="Z405" s="755"/>
      <c r="AA405" s="716"/>
      <c r="AB405" s="755"/>
      <c r="AC405" s="718">
        <f t="shared" si="110"/>
        <v>-40000000</v>
      </c>
      <c r="AD405" s="717"/>
      <c r="AE405" s="717"/>
      <c r="AF405" s="753">
        <f t="shared" si="97"/>
        <v>0</v>
      </c>
    </row>
    <row r="406" spans="1:32">
      <c r="A406" s="677">
        <v>394</v>
      </c>
      <c r="B406" s="379" t="s">
        <v>981</v>
      </c>
      <c r="C406" s="379" t="s">
        <v>572</v>
      </c>
      <c r="D406" s="379" t="s">
        <v>483</v>
      </c>
      <c r="E406" s="595" t="s">
        <v>578</v>
      </c>
      <c r="F406" s="676">
        <v>-25000000</v>
      </c>
      <c r="G406" s="676">
        <v>-25000000</v>
      </c>
      <c r="H406" s="676">
        <v>-25000000</v>
      </c>
      <c r="I406" s="676">
        <v>-25000000</v>
      </c>
      <c r="J406" s="676">
        <v>-25000000</v>
      </c>
      <c r="K406" s="676">
        <v>-25000000</v>
      </c>
      <c r="L406" s="676">
        <v>-25000000</v>
      </c>
      <c r="M406" s="676">
        <v>-25000000</v>
      </c>
      <c r="N406" s="676">
        <v>-25000000</v>
      </c>
      <c r="O406" s="676">
        <v>-25000000</v>
      </c>
      <c r="P406" s="676">
        <v>-25000000</v>
      </c>
      <c r="Q406" s="676">
        <v>-25000000</v>
      </c>
      <c r="R406" s="676">
        <v>-25000000</v>
      </c>
      <c r="S406" s="551">
        <f t="shared" si="105"/>
        <v>-25000000</v>
      </c>
      <c r="T406" s="677"/>
      <c r="U406" s="716"/>
      <c r="V406" s="755"/>
      <c r="W406" s="755">
        <f t="shared" si="109"/>
        <v>-25000000</v>
      </c>
      <c r="X406" s="778"/>
      <c r="Y406" s="755"/>
      <c r="Z406" s="755"/>
      <c r="AA406" s="716"/>
      <c r="AB406" s="755"/>
      <c r="AC406" s="718">
        <f t="shared" si="110"/>
        <v>-25000000</v>
      </c>
      <c r="AD406" s="717"/>
      <c r="AE406" s="717"/>
      <c r="AF406" s="753">
        <f t="shared" si="97"/>
        <v>0</v>
      </c>
    </row>
    <row r="407" spans="1:32">
      <c r="A407" s="677">
        <v>395</v>
      </c>
      <c r="B407" s="379" t="s">
        <v>981</v>
      </c>
      <c r="C407" s="379" t="s">
        <v>572</v>
      </c>
      <c r="D407" s="379" t="s">
        <v>485</v>
      </c>
      <c r="E407" s="595" t="s">
        <v>579</v>
      </c>
      <c r="F407" s="676">
        <v>-25000000</v>
      </c>
      <c r="G407" s="676">
        <v>-25000000</v>
      </c>
      <c r="H407" s="676">
        <v>-25000000</v>
      </c>
      <c r="I407" s="676">
        <v>-25000000</v>
      </c>
      <c r="J407" s="676">
        <v>-25000000</v>
      </c>
      <c r="K407" s="676">
        <v>-25000000</v>
      </c>
      <c r="L407" s="676">
        <v>-25000000</v>
      </c>
      <c r="M407" s="676">
        <v>-25000000</v>
      </c>
      <c r="N407" s="676">
        <v>-25000000</v>
      </c>
      <c r="O407" s="676">
        <v>-25000000</v>
      </c>
      <c r="P407" s="676">
        <v>-25000000</v>
      </c>
      <c r="Q407" s="676">
        <v>-25000000</v>
      </c>
      <c r="R407" s="676">
        <v>-25000000</v>
      </c>
      <c r="S407" s="551">
        <f t="shared" si="105"/>
        <v>-25000000</v>
      </c>
      <c r="T407" s="677"/>
      <c r="U407" s="716"/>
      <c r="V407" s="755"/>
      <c r="W407" s="755">
        <f t="shared" si="109"/>
        <v>-25000000</v>
      </c>
      <c r="X407" s="778"/>
      <c r="Y407" s="755"/>
      <c r="Z407" s="755"/>
      <c r="AA407" s="716"/>
      <c r="AB407" s="755"/>
      <c r="AC407" s="718">
        <f t="shared" si="110"/>
        <v>-25000000</v>
      </c>
      <c r="AD407" s="717"/>
      <c r="AE407" s="717"/>
      <c r="AF407" s="753">
        <f t="shared" si="97"/>
        <v>0</v>
      </c>
    </row>
    <row r="408" spans="1:32">
      <c r="A408" s="677">
        <v>396</v>
      </c>
      <c r="B408" s="379" t="s">
        <v>981</v>
      </c>
      <c r="C408" s="379" t="s">
        <v>572</v>
      </c>
      <c r="D408" s="379" t="s">
        <v>488</v>
      </c>
      <c r="E408" s="595" t="s">
        <v>1673</v>
      </c>
      <c r="F408" s="676">
        <v>-12500000</v>
      </c>
      <c r="G408" s="676">
        <v>-12500000</v>
      </c>
      <c r="H408" s="676">
        <v>-12500000</v>
      </c>
      <c r="I408" s="676">
        <v>-12500000</v>
      </c>
      <c r="J408" s="676">
        <v>-12500000</v>
      </c>
      <c r="K408" s="676">
        <v>-12500000</v>
      </c>
      <c r="L408" s="676">
        <v>-12500000</v>
      </c>
      <c r="M408" s="676">
        <v>-12500000</v>
      </c>
      <c r="N408" s="676">
        <v>-12500000</v>
      </c>
      <c r="O408" s="676">
        <v>-12500000</v>
      </c>
      <c r="P408" s="676">
        <v>-12500000</v>
      </c>
      <c r="Q408" s="676">
        <v>-12500000</v>
      </c>
      <c r="R408" s="676">
        <v>-12500000</v>
      </c>
      <c r="S408" s="551">
        <f t="shared" si="105"/>
        <v>-12500000</v>
      </c>
      <c r="T408" s="677"/>
      <c r="U408" s="716"/>
      <c r="V408" s="755"/>
      <c r="W408" s="755">
        <f t="shared" si="109"/>
        <v>-12500000</v>
      </c>
      <c r="X408" s="778"/>
      <c r="Y408" s="755"/>
      <c r="Z408" s="755"/>
      <c r="AA408" s="716"/>
      <c r="AB408" s="755"/>
      <c r="AC408" s="718">
        <f t="shared" si="110"/>
        <v>-12500000</v>
      </c>
      <c r="AD408" s="717"/>
      <c r="AE408" s="717"/>
      <c r="AF408" s="753">
        <f t="shared" si="97"/>
        <v>0</v>
      </c>
    </row>
    <row r="409" spans="1:32">
      <c r="A409" s="677">
        <v>397</v>
      </c>
      <c r="B409" s="379" t="s">
        <v>981</v>
      </c>
      <c r="C409" s="379" t="s">
        <v>572</v>
      </c>
      <c r="D409" s="379" t="s">
        <v>489</v>
      </c>
      <c r="E409" s="595" t="s">
        <v>1674</v>
      </c>
      <c r="F409" s="676">
        <v>-12500000</v>
      </c>
      <c r="G409" s="676">
        <v>-12500000</v>
      </c>
      <c r="H409" s="676">
        <v>-12500000</v>
      </c>
      <c r="I409" s="676">
        <v>-12500000</v>
      </c>
      <c r="J409" s="676">
        <v>-12500000</v>
      </c>
      <c r="K409" s="676">
        <v>-12500000</v>
      </c>
      <c r="L409" s="676">
        <v>-12500000</v>
      </c>
      <c r="M409" s="676">
        <v>-12500000</v>
      </c>
      <c r="N409" s="676">
        <v>-12500000</v>
      </c>
      <c r="O409" s="676">
        <v>-12500000</v>
      </c>
      <c r="P409" s="676">
        <v>-12500000</v>
      </c>
      <c r="Q409" s="676">
        <v>-12500000</v>
      </c>
      <c r="R409" s="676">
        <v>-12500000</v>
      </c>
      <c r="S409" s="551">
        <f t="shared" si="105"/>
        <v>-12500000</v>
      </c>
      <c r="T409" s="677"/>
      <c r="U409" s="716"/>
      <c r="V409" s="755"/>
      <c r="W409" s="755">
        <f t="shared" si="109"/>
        <v>-12500000</v>
      </c>
      <c r="X409" s="778"/>
      <c r="Y409" s="755"/>
      <c r="Z409" s="755"/>
      <c r="AA409" s="716"/>
      <c r="AB409" s="755"/>
      <c r="AC409" s="718">
        <f t="shared" si="110"/>
        <v>-12500000</v>
      </c>
      <c r="AD409" s="717"/>
      <c r="AE409" s="717"/>
      <c r="AF409" s="753">
        <f t="shared" si="97"/>
        <v>0</v>
      </c>
    </row>
    <row r="410" spans="1:32">
      <c r="A410" s="677">
        <v>398</v>
      </c>
      <c r="B410" s="379" t="s">
        <v>981</v>
      </c>
      <c r="C410" s="379" t="s">
        <v>572</v>
      </c>
      <c r="D410" s="379" t="s">
        <v>490</v>
      </c>
      <c r="E410" s="595" t="s">
        <v>1675</v>
      </c>
      <c r="F410" s="676">
        <v>-12500000</v>
      </c>
      <c r="G410" s="676">
        <v>-12500000</v>
      </c>
      <c r="H410" s="676">
        <v>-12500000</v>
      </c>
      <c r="I410" s="676">
        <v>-12500000</v>
      </c>
      <c r="J410" s="676">
        <v>-12500000</v>
      </c>
      <c r="K410" s="676">
        <v>-12500000</v>
      </c>
      <c r="L410" s="676">
        <v>-12500000</v>
      </c>
      <c r="M410" s="676">
        <v>-12500000</v>
      </c>
      <c r="N410" s="676">
        <v>-12500000</v>
      </c>
      <c r="O410" s="676">
        <v>-12500000</v>
      </c>
      <c r="P410" s="676">
        <v>-12500000</v>
      </c>
      <c r="Q410" s="676">
        <v>-12500000</v>
      </c>
      <c r="R410" s="676">
        <v>-12500000</v>
      </c>
      <c r="S410" s="551">
        <f t="shared" si="105"/>
        <v>-12500000</v>
      </c>
      <c r="T410" s="677"/>
      <c r="U410" s="716"/>
      <c r="V410" s="755"/>
      <c r="W410" s="755">
        <f t="shared" si="109"/>
        <v>-12500000</v>
      </c>
      <c r="X410" s="778"/>
      <c r="Y410" s="755"/>
      <c r="Z410" s="755"/>
      <c r="AA410" s="716"/>
      <c r="AB410" s="755"/>
      <c r="AC410" s="718">
        <f t="shared" si="110"/>
        <v>-12500000</v>
      </c>
      <c r="AD410" s="717"/>
      <c r="AE410" s="717"/>
      <c r="AF410" s="753">
        <f t="shared" si="97"/>
        <v>0</v>
      </c>
    </row>
    <row r="411" spans="1:32">
      <c r="A411" s="677">
        <v>399</v>
      </c>
      <c r="B411" s="379" t="s">
        <v>981</v>
      </c>
      <c r="C411" s="379" t="s">
        <v>572</v>
      </c>
      <c r="D411" s="379" t="s">
        <v>491</v>
      </c>
      <c r="E411" s="595" t="s">
        <v>1676</v>
      </c>
      <c r="F411" s="676">
        <v>-12500000</v>
      </c>
      <c r="G411" s="676">
        <v>-12500000</v>
      </c>
      <c r="H411" s="676">
        <v>-12500000</v>
      </c>
      <c r="I411" s="676">
        <v>-12500000</v>
      </c>
      <c r="J411" s="676">
        <v>-12500000</v>
      </c>
      <c r="K411" s="676">
        <v>-12500000</v>
      </c>
      <c r="L411" s="676">
        <v>-12500000</v>
      </c>
      <c r="M411" s="676">
        <v>-12500000</v>
      </c>
      <c r="N411" s="676">
        <v>-12500000</v>
      </c>
      <c r="O411" s="676">
        <v>-12500000</v>
      </c>
      <c r="P411" s="676">
        <v>-12500000</v>
      </c>
      <c r="Q411" s="676">
        <v>-12500000</v>
      </c>
      <c r="R411" s="676">
        <v>-12500000</v>
      </c>
      <c r="S411" s="551">
        <f t="shared" si="105"/>
        <v>-12500000</v>
      </c>
      <c r="T411" s="677"/>
      <c r="U411" s="716"/>
      <c r="V411" s="755"/>
      <c r="W411" s="755">
        <f t="shared" si="109"/>
        <v>-12500000</v>
      </c>
      <c r="X411" s="778"/>
      <c r="Y411" s="755"/>
      <c r="Z411" s="755"/>
      <c r="AA411" s="716"/>
      <c r="AB411" s="755"/>
      <c r="AC411" s="718">
        <f t="shared" si="110"/>
        <v>-12500000</v>
      </c>
      <c r="AD411" s="717"/>
      <c r="AE411" s="717"/>
      <c r="AF411" s="753">
        <f t="shared" si="97"/>
        <v>0</v>
      </c>
    </row>
    <row r="412" spans="1:32">
      <c r="A412" s="677">
        <v>400</v>
      </c>
      <c r="B412" s="379" t="s">
        <v>981</v>
      </c>
      <c r="C412" s="379" t="s">
        <v>572</v>
      </c>
      <c r="D412" s="379" t="s">
        <v>1900</v>
      </c>
      <c r="E412" s="595" t="s">
        <v>1926</v>
      </c>
      <c r="F412" s="676">
        <v>0</v>
      </c>
      <c r="G412" s="676">
        <v>0</v>
      </c>
      <c r="H412" s="676">
        <v>0</v>
      </c>
      <c r="I412" s="676">
        <v>0</v>
      </c>
      <c r="J412" s="676">
        <v>0</v>
      </c>
      <c r="K412" s="676">
        <v>0</v>
      </c>
      <c r="L412" s="676">
        <v>-25000000</v>
      </c>
      <c r="M412" s="676">
        <v>-25000000</v>
      </c>
      <c r="N412" s="676">
        <v>-25000000</v>
      </c>
      <c r="O412" s="676">
        <v>-25000000</v>
      </c>
      <c r="P412" s="676">
        <v>-25000000</v>
      </c>
      <c r="Q412" s="676">
        <v>-25000000</v>
      </c>
      <c r="R412" s="676">
        <v>-25000000</v>
      </c>
      <c r="S412" s="551">
        <f t="shared" si="105"/>
        <v>-13541666.666666666</v>
      </c>
      <c r="T412" s="677"/>
      <c r="U412" s="716"/>
      <c r="V412" s="755"/>
      <c r="W412" s="755">
        <f t="shared" si="109"/>
        <v>-13541666.666666666</v>
      </c>
      <c r="X412" s="778"/>
      <c r="Y412" s="755"/>
      <c r="Z412" s="755"/>
      <c r="AA412" s="716"/>
      <c r="AB412" s="755"/>
      <c r="AC412" s="718">
        <f t="shared" si="110"/>
        <v>-13541666.666666666</v>
      </c>
      <c r="AD412" s="717"/>
      <c r="AE412" s="717"/>
      <c r="AF412" s="753"/>
    </row>
    <row r="413" spans="1:32">
      <c r="A413" s="677">
        <v>401</v>
      </c>
      <c r="B413" s="379" t="s">
        <v>981</v>
      </c>
      <c r="C413" s="379" t="s">
        <v>572</v>
      </c>
      <c r="D413" s="379" t="s">
        <v>1902</v>
      </c>
      <c r="E413" s="595" t="s">
        <v>1927</v>
      </c>
      <c r="F413" s="676">
        <v>0</v>
      </c>
      <c r="G413" s="676">
        <v>0</v>
      </c>
      <c r="H413" s="676">
        <v>0</v>
      </c>
      <c r="I413" s="676">
        <v>0</v>
      </c>
      <c r="J413" s="676">
        <v>0</v>
      </c>
      <c r="K413" s="676">
        <v>0</v>
      </c>
      <c r="L413" s="676">
        <v>-20000000</v>
      </c>
      <c r="M413" s="676">
        <v>-20000000</v>
      </c>
      <c r="N413" s="676">
        <v>-20000000</v>
      </c>
      <c r="O413" s="676">
        <v>-20000000</v>
      </c>
      <c r="P413" s="676">
        <v>-20000000</v>
      </c>
      <c r="Q413" s="676">
        <v>-20000000</v>
      </c>
      <c r="R413" s="676">
        <v>-20000000</v>
      </c>
      <c r="S413" s="551">
        <f t="shared" si="105"/>
        <v>-10833333.333333334</v>
      </c>
      <c r="T413" s="677"/>
      <c r="U413" s="716"/>
      <c r="V413" s="755"/>
      <c r="W413" s="755">
        <f t="shared" si="109"/>
        <v>-10833333.333333334</v>
      </c>
      <c r="X413" s="778"/>
      <c r="Y413" s="755"/>
      <c r="Z413" s="755"/>
      <c r="AA413" s="716"/>
      <c r="AB413" s="755"/>
      <c r="AC413" s="718">
        <f t="shared" si="110"/>
        <v>-10833333.333333334</v>
      </c>
      <c r="AD413" s="717"/>
      <c r="AE413" s="717"/>
      <c r="AF413" s="753"/>
    </row>
    <row r="414" spans="1:32">
      <c r="A414" s="677">
        <v>402</v>
      </c>
      <c r="B414" s="379" t="s">
        <v>981</v>
      </c>
      <c r="C414" s="379" t="s">
        <v>572</v>
      </c>
      <c r="D414" s="379" t="s">
        <v>1904</v>
      </c>
      <c r="E414" s="595" t="s">
        <v>1928</v>
      </c>
      <c r="F414" s="676">
        <v>0</v>
      </c>
      <c r="G414" s="676">
        <v>0</v>
      </c>
      <c r="H414" s="676">
        <v>0</v>
      </c>
      <c r="I414" s="676">
        <v>0</v>
      </c>
      <c r="J414" s="676">
        <v>0</v>
      </c>
      <c r="K414" s="676">
        <v>0</v>
      </c>
      <c r="L414" s="676">
        <v>-30000000</v>
      </c>
      <c r="M414" s="676">
        <v>-30000000</v>
      </c>
      <c r="N414" s="676">
        <v>-30000000</v>
      </c>
      <c r="O414" s="676">
        <v>-30000000</v>
      </c>
      <c r="P414" s="676">
        <v>-30000000</v>
      </c>
      <c r="Q414" s="676">
        <v>-30000000</v>
      </c>
      <c r="R414" s="676">
        <v>-30000000</v>
      </c>
      <c r="S414" s="551">
        <f t="shared" si="105"/>
        <v>-16250000</v>
      </c>
      <c r="T414" s="677"/>
      <c r="U414" s="716"/>
      <c r="V414" s="755"/>
      <c r="W414" s="755">
        <f t="shared" si="109"/>
        <v>-16250000</v>
      </c>
      <c r="X414" s="778"/>
      <c r="Y414" s="755"/>
      <c r="Z414" s="755"/>
      <c r="AA414" s="716"/>
      <c r="AB414" s="755"/>
      <c r="AC414" s="718">
        <f t="shared" si="110"/>
        <v>-16250000</v>
      </c>
      <c r="AD414" s="717"/>
      <c r="AE414" s="717"/>
      <c r="AF414" s="753"/>
    </row>
    <row r="415" spans="1:32">
      <c r="A415" s="677">
        <v>403</v>
      </c>
      <c r="B415" s="379" t="s">
        <v>1885</v>
      </c>
      <c r="C415" s="379" t="s">
        <v>572</v>
      </c>
      <c r="D415" s="379" t="s">
        <v>382</v>
      </c>
      <c r="E415" s="595" t="s">
        <v>730</v>
      </c>
      <c r="F415" s="676">
        <v>0</v>
      </c>
      <c r="G415" s="676">
        <v>1515906.26</v>
      </c>
      <c r="H415" s="676">
        <v>1505331.72</v>
      </c>
      <c r="I415" s="676">
        <v>1495453.58</v>
      </c>
      <c r="J415" s="676">
        <v>1485575.44</v>
      </c>
      <c r="K415" s="676">
        <v>1485511.11</v>
      </c>
      <c r="L415" s="676">
        <v>1816372.27</v>
      </c>
      <c r="M415" s="676">
        <v>1829467.33</v>
      </c>
      <c r="N415" s="676">
        <v>1821810</v>
      </c>
      <c r="O415" s="676">
        <v>1809880.74</v>
      </c>
      <c r="P415" s="676">
        <v>1797951.48</v>
      </c>
      <c r="Q415" s="676">
        <v>1785197.07</v>
      </c>
      <c r="R415" s="676">
        <v>1773272.34</v>
      </c>
      <c r="S415" s="551">
        <f t="shared" si="105"/>
        <v>1602924.4308333334</v>
      </c>
      <c r="T415" s="677"/>
      <c r="U415" s="716">
        <f>+S415</f>
        <v>1602924.4308333334</v>
      </c>
      <c r="V415" s="755"/>
      <c r="W415" s="755"/>
      <c r="X415" s="778"/>
      <c r="Y415" s="755"/>
      <c r="Z415" s="755"/>
      <c r="AA415" s="716"/>
      <c r="AB415" s="755"/>
      <c r="AC415" s="718"/>
      <c r="AD415" s="718">
        <f>+S415</f>
        <v>1602924.4308333334</v>
      </c>
      <c r="AE415" s="717"/>
      <c r="AF415" s="753"/>
    </row>
    <row r="416" spans="1:32">
      <c r="A416" s="677">
        <v>404</v>
      </c>
      <c r="B416" s="379" t="s">
        <v>981</v>
      </c>
      <c r="C416" s="379" t="s">
        <v>572</v>
      </c>
      <c r="D416" s="379" t="s">
        <v>729</v>
      </c>
      <c r="E416" s="595" t="s">
        <v>730</v>
      </c>
      <c r="F416" s="676">
        <v>1525788.02</v>
      </c>
      <c r="G416" s="676">
        <v>0</v>
      </c>
      <c r="H416" s="676">
        <v>0</v>
      </c>
      <c r="I416" s="676">
        <v>0</v>
      </c>
      <c r="J416" s="676">
        <v>0</v>
      </c>
      <c r="K416" s="676">
        <v>0</v>
      </c>
      <c r="L416" s="676">
        <v>0</v>
      </c>
      <c r="M416" s="676">
        <v>0</v>
      </c>
      <c r="N416" s="676">
        <v>0</v>
      </c>
      <c r="O416" s="676">
        <v>0</v>
      </c>
      <c r="P416" s="676">
        <v>0</v>
      </c>
      <c r="Q416" s="676">
        <v>0</v>
      </c>
      <c r="R416" s="676">
        <v>0</v>
      </c>
      <c r="S416" s="551">
        <f t="shared" si="105"/>
        <v>63574.500833333332</v>
      </c>
      <c r="T416" s="677"/>
      <c r="U416" s="716">
        <f>+S416</f>
        <v>63574.500833333332</v>
      </c>
      <c r="V416" s="755"/>
      <c r="W416" s="755"/>
      <c r="X416" s="778"/>
      <c r="Y416" s="755"/>
      <c r="Z416" s="755"/>
      <c r="AA416" s="716"/>
      <c r="AB416" s="755"/>
      <c r="AD416" s="718">
        <f>+S416</f>
        <v>63574.500833333332</v>
      </c>
      <c r="AE416" s="717"/>
      <c r="AF416" s="753" t="e">
        <f>+U416+V416-#REF!</f>
        <v>#REF!</v>
      </c>
    </row>
    <row r="417" spans="1:32">
      <c r="A417" s="677">
        <v>405</v>
      </c>
      <c r="B417" s="379" t="s">
        <v>981</v>
      </c>
      <c r="C417" s="379" t="s">
        <v>1929</v>
      </c>
      <c r="D417" s="379" t="s">
        <v>479</v>
      </c>
      <c r="E417" s="595" t="s">
        <v>1930</v>
      </c>
      <c r="F417" s="676">
        <v>0</v>
      </c>
      <c r="G417" s="676">
        <v>0</v>
      </c>
      <c r="H417" s="676">
        <v>0</v>
      </c>
      <c r="I417" s="676">
        <v>0</v>
      </c>
      <c r="J417" s="676">
        <v>0</v>
      </c>
      <c r="K417" s="676">
        <v>0</v>
      </c>
      <c r="L417" s="676">
        <v>0</v>
      </c>
      <c r="M417" s="676">
        <v>0</v>
      </c>
      <c r="N417" s="676">
        <v>0</v>
      </c>
      <c r="O417" s="676">
        <v>-15000000</v>
      </c>
      <c r="P417" s="676">
        <v>-15000000</v>
      </c>
      <c r="Q417" s="676">
        <v>-15000000</v>
      </c>
      <c r="R417" s="676">
        <v>-15000000</v>
      </c>
      <c r="S417" s="551">
        <f t="shared" si="105"/>
        <v>-4375000</v>
      </c>
      <c r="T417" s="677"/>
      <c r="U417" s="716"/>
      <c r="V417" s="755"/>
      <c r="W417" s="755">
        <f t="shared" si="109"/>
        <v>-4375000</v>
      </c>
      <c r="X417" s="778"/>
      <c r="Y417" s="755"/>
      <c r="Z417" s="755"/>
      <c r="AA417" s="716"/>
      <c r="AB417" s="755"/>
      <c r="AC417" s="718">
        <f>+W417</f>
        <v>-4375000</v>
      </c>
      <c r="AD417" s="717"/>
      <c r="AE417" s="717"/>
      <c r="AF417" s="753"/>
    </row>
    <row r="418" spans="1:32">
      <c r="A418" s="677">
        <v>406</v>
      </c>
      <c r="B418" s="379" t="s">
        <v>981</v>
      </c>
      <c r="C418" s="379" t="s">
        <v>582</v>
      </c>
      <c r="D418" s="379" t="s">
        <v>463</v>
      </c>
      <c r="E418" s="668" t="s">
        <v>583</v>
      </c>
      <c r="F418" s="366">
        <v>-53850000</v>
      </c>
      <c r="G418" s="366">
        <v>-52050000</v>
      </c>
      <c r="H418" s="366">
        <v>-54600000</v>
      </c>
      <c r="I418" s="366">
        <v>-31700000</v>
      </c>
      <c r="J418" s="366">
        <v>-57700000</v>
      </c>
      <c r="K418" s="366">
        <v>-54000000</v>
      </c>
      <c r="L418" s="366">
        <v>-11075000</v>
      </c>
      <c r="M418" s="366">
        <v>-12000000</v>
      </c>
      <c r="N418" s="366">
        <v>-24300000</v>
      </c>
      <c r="O418" s="366">
        <v>-8900000</v>
      </c>
      <c r="P418" s="366">
        <v>-12650000</v>
      </c>
      <c r="Q418" s="366">
        <v>-15100000</v>
      </c>
      <c r="R418" s="366">
        <v>-64600000</v>
      </c>
      <c r="S418" s="782">
        <f>((F418+R418)+((G418+H418+I418+J418+K418+L418+M418+N418+O418+P418+Q418)*2))/24</f>
        <v>-32775000</v>
      </c>
      <c r="T418" s="677"/>
      <c r="U418" s="716"/>
      <c r="V418" s="755"/>
      <c r="W418" s="755">
        <f t="shared" si="109"/>
        <v>-32775000</v>
      </c>
      <c r="X418" s="778"/>
      <c r="Y418" s="755"/>
      <c r="Z418" s="755"/>
      <c r="AA418" s="716"/>
      <c r="AB418" s="755"/>
      <c r="AC418" s="718">
        <f t="shared" si="110"/>
        <v>-32775000</v>
      </c>
      <c r="AD418" s="717"/>
      <c r="AE418" s="717"/>
      <c r="AF418" s="753">
        <f t="shared" si="97"/>
        <v>0</v>
      </c>
    </row>
    <row r="419" spans="1:32">
      <c r="A419" s="677">
        <v>407</v>
      </c>
      <c r="B419" s="677"/>
      <c r="C419" s="677"/>
      <c r="D419" s="677"/>
      <c r="E419" s="662" t="s">
        <v>584</v>
      </c>
      <c r="F419" s="358">
        <f t="shared" ref="F419:S419" si="111">SUM(F401:F418)</f>
        <v>-266685211.97999999</v>
      </c>
      <c r="G419" s="358">
        <f t="shared" si="111"/>
        <v>-264895093.74000001</v>
      </c>
      <c r="H419" s="358">
        <f t="shared" si="111"/>
        <v>-267435668.28</v>
      </c>
      <c r="I419" s="358">
        <f t="shared" si="111"/>
        <v>-244545546.41999999</v>
      </c>
      <c r="J419" s="358">
        <f t="shared" si="111"/>
        <v>-270555424.56</v>
      </c>
      <c r="K419" s="358">
        <f t="shared" si="111"/>
        <v>-266763488.88999999</v>
      </c>
      <c r="L419" s="358">
        <f t="shared" si="111"/>
        <v>-298507627.73000002</v>
      </c>
      <c r="M419" s="358">
        <f t="shared" si="111"/>
        <v>-299419532.67000002</v>
      </c>
      <c r="N419" s="358">
        <f t="shared" si="111"/>
        <v>-311717190</v>
      </c>
      <c r="O419" s="358">
        <f t="shared" si="111"/>
        <v>-296329119.25999999</v>
      </c>
      <c r="P419" s="358">
        <f t="shared" si="111"/>
        <v>-300091048.51999998</v>
      </c>
      <c r="Q419" s="358">
        <f t="shared" si="111"/>
        <v>-302528802.93000001</v>
      </c>
      <c r="R419" s="358">
        <f t="shared" si="111"/>
        <v>-352040727.66000003</v>
      </c>
      <c r="S419" s="358">
        <f t="shared" si="111"/>
        <v>-286012626.06833333</v>
      </c>
      <c r="T419" s="677"/>
      <c r="U419" s="716"/>
      <c r="V419" s="755"/>
      <c r="W419" s="755"/>
      <c r="X419" s="778"/>
      <c r="Y419" s="755"/>
      <c r="Z419" s="755"/>
      <c r="AA419" s="716"/>
      <c r="AB419" s="755"/>
      <c r="AC419" s="717"/>
      <c r="AD419" s="717"/>
      <c r="AE419" s="717"/>
      <c r="AF419" s="753">
        <f t="shared" si="97"/>
        <v>0</v>
      </c>
    </row>
    <row r="420" spans="1:32">
      <c r="A420" s="677">
        <v>408</v>
      </c>
      <c r="B420" s="677"/>
      <c r="C420" s="677"/>
      <c r="D420" s="677"/>
      <c r="E420" s="662"/>
      <c r="F420" s="676"/>
      <c r="G420" s="377"/>
      <c r="H420" s="368"/>
      <c r="I420" s="368"/>
      <c r="J420" s="369"/>
      <c r="K420" s="370"/>
      <c r="L420" s="371"/>
      <c r="M420" s="372"/>
      <c r="N420" s="373"/>
      <c r="O420" s="663"/>
      <c r="P420" s="374"/>
      <c r="Q420" s="378"/>
      <c r="R420" s="676"/>
      <c r="S420" s="554">
        <f t="shared" ref="S420:S422" si="112">((F420+R420)+((G420+H420+I420+J420+K420+L420+M420+N420+O420+P420+Q420)*2))/24</f>
        <v>0</v>
      </c>
      <c r="T420" s="677"/>
      <c r="U420" s="716"/>
      <c r="V420" s="755"/>
      <c r="W420" s="755"/>
      <c r="X420" s="778"/>
      <c r="Y420" s="755"/>
      <c r="Z420" s="755"/>
      <c r="AA420" s="716"/>
      <c r="AB420" s="755"/>
      <c r="AC420" s="717"/>
      <c r="AD420" s="717"/>
      <c r="AE420" s="717"/>
      <c r="AF420" s="753">
        <f t="shared" si="97"/>
        <v>0</v>
      </c>
    </row>
    <row r="421" spans="1:32">
      <c r="A421" s="677">
        <v>409</v>
      </c>
      <c r="B421" s="677" t="s">
        <v>1885</v>
      </c>
      <c r="C421" s="677" t="s">
        <v>1931</v>
      </c>
      <c r="D421" s="677" t="s">
        <v>1932</v>
      </c>
      <c r="E421" s="662" t="s">
        <v>1933</v>
      </c>
      <c r="F421" s="676">
        <v>0</v>
      </c>
      <c r="G421" s="377">
        <v>0</v>
      </c>
      <c r="H421" s="368">
        <v>-206053.78</v>
      </c>
      <c r="I421" s="368">
        <v>-199317.51</v>
      </c>
      <c r="J421" s="369">
        <v>-193785.08</v>
      </c>
      <c r="K421" s="370">
        <v>-188235.46</v>
      </c>
      <c r="L421" s="371">
        <v>-183548.05</v>
      </c>
      <c r="M421" s="372">
        <v>-170533.22</v>
      </c>
      <c r="N421" s="373">
        <v>-167018.01</v>
      </c>
      <c r="O421" s="663">
        <v>-162266.29999999999</v>
      </c>
      <c r="P421" s="374">
        <v>-159196.99</v>
      </c>
      <c r="Q421" s="378">
        <v>-156117.07</v>
      </c>
      <c r="R421" s="676">
        <v>-150363.85</v>
      </c>
      <c r="S421" s="554">
        <f t="shared" si="112"/>
        <v>-155104.44958333333</v>
      </c>
      <c r="T421" s="677"/>
      <c r="U421" s="716"/>
      <c r="V421" s="755">
        <f>+S421</f>
        <v>-155104.44958333333</v>
      </c>
      <c r="W421" s="755"/>
      <c r="X421" s="778"/>
      <c r="Y421" s="755"/>
      <c r="Z421" s="755"/>
      <c r="AA421" s="716"/>
      <c r="AB421" s="755"/>
      <c r="AC421" s="717"/>
      <c r="AD421" s="718">
        <f>+V421</f>
        <v>-155104.44958333333</v>
      </c>
      <c r="AE421" s="717"/>
      <c r="AF421" s="753"/>
    </row>
    <row r="422" spans="1:32">
      <c r="A422" s="677">
        <v>410</v>
      </c>
      <c r="B422" s="677" t="s">
        <v>1885</v>
      </c>
      <c r="C422" s="677" t="s">
        <v>1931</v>
      </c>
      <c r="D422" s="677" t="s">
        <v>1934</v>
      </c>
      <c r="E422" s="662" t="s">
        <v>1935</v>
      </c>
      <c r="F422" s="676">
        <v>0</v>
      </c>
      <c r="G422" s="377">
        <v>0</v>
      </c>
      <c r="H422" s="368">
        <v>0</v>
      </c>
      <c r="I422" s="368">
        <v>0</v>
      </c>
      <c r="J422" s="369">
        <v>0</v>
      </c>
      <c r="K422" s="370">
        <v>0</v>
      </c>
      <c r="L422" s="371">
        <v>0</v>
      </c>
      <c r="M422" s="372">
        <v>0</v>
      </c>
      <c r="N422" s="373">
        <v>0</v>
      </c>
      <c r="O422" s="663">
        <v>0</v>
      </c>
      <c r="P422" s="374">
        <v>0</v>
      </c>
      <c r="Q422" s="378">
        <v>0</v>
      </c>
      <c r="R422" s="676">
        <v>0</v>
      </c>
      <c r="S422" s="554">
        <f t="shared" si="112"/>
        <v>0</v>
      </c>
      <c r="T422" s="677"/>
      <c r="U422" s="716"/>
      <c r="V422" s="755"/>
      <c r="W422" s="755"/>
      <c r="X422" s="778"/>
      <c r="Y422" s="755"/>
      <c r="Z422" s="755"/>
      <c r="AA422" s="716"/>
      <c r="AB422" s="755"/>
      <c r="AC422" s="717"/>
      <c r="AD422" s="717"/>
      <c r="AE422" s="717"/>
      <c r="AF422" s="753"/>
    </row>
    <row r="423" spans="1:32">
      <c r="A423" s="677">
        <v>411</v>
      </c>
      <c r="B423" s="677"/>
      <c r="C423" s="677"/>
      <c r="D423" s="677"/>
      <c r="E423" s="662"/>
      <c r="F423" s="676"/>
      <c r="G423" s="377"/>
      <c r="H423" s="368"/>
      <c r="I423" s="368"/>
      <c r="J423" s="369"/>
      <c r="K423" s="370"/>
      <c r="L423" s="371"/>
      <c r="M423" s="372"/>
      <c r="N423" s="373"/>
      <c r="O423" s="663"/>
      <c r="P423" s="374"/>
      <c r="Q423" s="378"/>
      <c r="R423" s="676"/>
      <c r="S423" s="357"/>
      <c r="T423" s="677"/>
      <c r="U423" s="716"/>
      <c r="V423" s="755"/>
      <c r="W423" s="755"/>
      <c r="X423" s="778"/>
      <c r="Y423" s="755"/>
      <c r="Z423" s="755"/>
      <c r="AA423" s="716"/>
      <c r="AB423" s="755"/>
      <c r="AC423" s="717"/>
      <c r="AD423" s="717"/>
      <c r="AE423" s="717"/>
      <c r="AF423" s="753"/>
    </row>
    <row r="424" spans="1:32">
      <c r="A424" s="677">
        <v>412</v>
      </c>
      <c r="B424" s="379" t="s">
        <v>981</v>
      </c>
      <c r="C424" s="379" t="s">
        <v>585</v>
      </c>
      <c r="D424" s="677" t="s">
        <v>382</v>
      </c>
      <c r="E424" s="662" t="s">
        <v>586</v>
      </c>
      <c r="F424" s="676">
        <v>0</v>
      </c>
      <c r="G424" s="676">
        <v>-30000000</v>
      </c>
      <c r="H424" s="676">
        <v>-30000000</v>
      </c>
      <c r="I424" s="676">
        <v>-70000000</v>
      </c>
      <c r="J424" s="676">
        <v>-70000000</v>
      </c>
      <c r="K424" s="676">
        <v>-70000000</v>
      </c>
      <c r="L424" s="676">
        <v>-40000000</v>
      </c>
      <c r="M424" s="676">
        <v>-40000000</v>
      </c>
      <c r="N424" s="676">
        <v>-40000000</v>
      </c>
      <c r="O424" s="676">
        <v>-40000000</v>
      </c>
      <c r="P424" s="676">
        <v>-40000000</v>
      </c>
      <c r="Q424" s="676">
        <v>-40000000</v>
      </c>
      <c r="R424" s="676">
        <v>0</v>
      </c>
      <c r="S424" s="357">
        <f t="shared" si="105"/>
        <v>-42500000</v>
      </c>
      <c r="T424" s="677"/>
      <c r="U424" s="716"/>
      <c r="V424" s="755"/>
      <c r="W424" s="755">
        <f t="shared" ref="W424:W425" si="113">+S424</f>
        <v>-42500000</v>
      </c>
      <c r="X424" s="778"/>
      <c r="Y424" s="755"/>
      <c r="Z424" s="755"/>
      <c r="AA424" s="716"/>
      <c r="AB424" s="755"/>
      <c r="AC424" s="718">
        <f>+S424</f>
        <v>-42500000</v>
      </c>
      <c r="AD424" s="717"/>
      <c r="AE424" s="717"/>
      <c r="AF424" s="753">
        <f t="shared" si="97"/>
        <v>0</v>
      </c>
    </row>
    <row r="425" spans="1:32">
      <c r="A425" s="677">
        <v>413</v>
      </c>
      <c r="B425" s="379" t="s">
        <v>981</v>
      </c>
      <c r="C425" s="379" t="s">
        <v>587</v>
      </c>
      <c r="D425" s="379" t="s">
        <v>588</v>
      </c>
      <c r="E425" s="668" t="s">
        <v>589</v>
      </c>
      <c r="F425" s="676">
        <v>0</v>
      </c>
      <c r="G425" s="676">
        <v>0</v>
      </c>
      <c r="H425" s="676">
        <v>0</v>
      </c>
      <c r="I425" s="676">
        <v>0</v>
      </c>
      <c r="J425" s="676">
        <v>0</v>
      </c>
      <c r="K425" s="676">
        <v>0</v>
      </c>
      <c r="L425" s="676">
        <v>0</v>
      </c>
      <c r="M425" s="676">
        <v>0</v>
      </c>
      <c r="N425" s="676">
        <v>0</v>
      </c>
      <c r="O425" s="676">
        <v>0</v>
      </c>
      <c r="P425" s="676">
        <v>0</v>
      </c>
      <c r="Q425" s="676">
        <v>0</v>
      </c>
      <c r="R425" s="676">
        <v>0</v>
      </c>
      <c r="S425" s="357">
        <f t="shared" si="105"/>
        <v>0</v>
      </c>
      <c r="T425" s="677"/>
      <c r="U425" s="716"/>
      <c r="V425" s="755"/>
      <c r="W425" s="755">
        <f t="shared" si="113"/>
        <v>0</v>
      </c>
      <c r="X425" s="778"/>
      <c r="Y425" s="755"/>
      <c r="Z425" s="755"/>
      <c r="AA425" s="716"/>
      <c r="AB425" s="755"/>
      <c r="AC425" s="718">
        <f>+S425</f>
        <v>0</v>
      </c>
      <c r="AD425" s="717"/>
      <c r="AE425" s="717"/>
      <c r="AF425" s="753">
        <f t="shared" si="97"/>
        <v>0</v>
      </c>
    </row>
    <row r="426" spans="1:32">
      <c r="A426" s="677">
        <v>414</v>
      </c>
      <c r="B426" s="677"/>
      <c r="C426" s="677"/>
      <c r="D426" s="677"/>
      <c r="E426" s="662"/>
      <c r="F426" s="676"/>
      <c r="G426" s="377"/>
      <c r="H426" s="368"/>
      <c r="I426" s="368"/>
      <c r="J426" s="369"/>
      <c r="K426" s="370"/>
      <c r="L426" s="371"/>
      <c r="M426" s="372"/>
      <c r="N426" s="373"/>
      <c r="O426" s="663"/>
      <c r="P426" s="374"/>
      <c r="Q426" s="378"/>
      <c r="R426" s="676"/>
      <c r="S426" s="357"/>
      <c r="T426" s="677"/>
      <c r="U426" s="716"/>
      <c r="V426" s="755"/>
      <c r="W426" s="755"/>
      <c r="X426" s="778"/>
      <c r="Y426" s="755"/>
      <c r="Z426" s="755"/>
      <c r="AA426" s="716"/>
      <c r="AB426" s="755"/>
      <c r="AC426" s="717"/>
      <c r="AD426" s="717"/>
      <c r="AE426" s="717"/>
      <c r="AF426" s="753">
        <f t="shared" si="97"/>
        <v>0</v>
      </c>
    </row>
    <row r="427" spans="1:32">
      <c r="A427" s="677">
        <v>415</v>
      </c>
      <c r="B427" s="379" t="s">
        <v>981</v>
      </c>
      <c r="C427" s="379" t="s">
        <v>590</v>
      </c>
      <c r="D427" s="379" t="s">
        <v>528</v>
      </c>
      <c r="E427" s="662" t="s">
        <v>1677</v>
      </c>
      <c r="F427" s="676">
        <v>-6429388.5499999998</v>
      </c>
      <c r="G427" s="676">
        <v>-3052420.41</v>
      </c>
      <c r="H427" s="676">
        <v>-1738753.51</v>
      </c>
      <c r="I427" s="676">
        <v>-1658173.93</v>
      </c>
      <c r="J427" s="676">
        <v>-2409461.09</v>
      </c>
      <c r="K427" s="676">
        <v>-2747484.7</v>
      </c>
      <c r="L427" s="676">
        <v>-2696374.04</v>
      </c>
      <c r="M427" s="676">
        <v>-2878166.01</v>
      </c>
      <c r="N427" s="676">
        <v>-4328379.6399999997</v>
      </c>
      <c r="O427" s="676">
        <v>-3695293.5</v>
      </c>
      <c r="P427" s="676">
        <v>-3240152.14</v>
      </c>
      <c r="Q427" s="676">
        <v>-3867143.32</v>
      </c>
      <c r="R427" s="676">
        <v>-6520933.0099999998</v>
      </c>
      <c r="S427" s="551">
        <f t="shared" si="105"/>
        <v>-3232246.9224999999</v>
      </c>
      <c r="T427" s="677"/>
      <c r="U427" s="716"/>
      <c r="V427" s="755">
        <f t="shared" ref="V427:V440" si="114">+S427</f>
        <v>-3232246.9224999999</v>
      </c>
      <c r="W427" s="755"/>
      <c r="X427" s="778"/>
      <c r="Y427" s="755"/>
      <c r="Z427" s="755"/>
      <c r="AA427" s="716"/>
      <c r="AB427" s="755"/>
      <c r="AC427" s="717"/>
      <c r="AD427" s="718">
        <f t="shared" ref="AD427:AD441" si="115">+V427</f>
        <v>-3232246.9224999999</v>
      </c>
      <c r="AE427" s="717"/>
      <c r="AF427" s="753">
        <f t="shared" si="97"/>
        <v>0</v>
      </c>
    </row>
    <row r="428" spans="1:32">
      <c r="A428" s="677">
        <v>416</v>
      </c>
      <c r="B428" s="379" t="s">
        <v>981</v>
      </c>
      <c r="C428" s="379" t="s">
        <v>591</v>
      </c>
      <c r="D428" s="379" t="s">
        <v>731</v>
      </c>
      <c r="E428" s="671" t="s">
        <v>1678</v>
      </c>
      <c r="F428" s="676">
        <v>-557521.93999999994</v>
      </c>
      <c r="G428" s="676">
        <v>-336848.1</v>
      </c>
      <c r="H428" s="676">
        <v>-178970.22</v>
      </c>
      <c r="I428" s="676">
        <v>-326239.73</v>
      </c>
      <c r="J428" s="676">
        <v>-129589.75</v>
      </c>
      <c r="K428" s="676">
        <v>-163776.26</v>
      </c>
      <c r="L428" s="676">
        <v>-372115.42</v>
      </c>
      <c r="M428" s="676">
        <v>-361277.87</v>
      </c>
      <c r="N428" s="676">
        <v>-370995.73</v>
      </c>
      <c r="O428" s="676">
        <v>-474940.26</v>
      </c>
      <c r="P428" s="676">
        <v>-471474.43</v>
      </c>
      <c r="Q428" s="676">
        <v>-268582.7</v>
      </c>
      <c r="R428" s="676">
        <v>-440504.1</v>
      </c>
      <c r="S428" s="551">
        <f t="shared" si="105"/>
        <v>-329485.29083333333</v>
      </c>
      <c r="T428" s="677"/>
      <c r="U428" s="716"/>
      <c r="V428" s="755">
        <f t="shared" si="114"/>
        <v>-329485.29083333333</v>
      </c>
      <c r="W428" s="755"/>
      <c r="X428" s="778"/>
      <c r="Y428" s="755"/>
      <c r="Z428" s="755"/>
      <c r="AA428" s="716"/>
      <c r="AB428" s="755"/>
      <c r="AC428" s="717"/>
      <c r="AD428" s="718">
        <f t="shared" si="115"/>
        <v>-329485.29083333333</v>
      </c>
      <c r="AE428" s="717"/>
      <c r="AF428" s="753">
        <f t="shared" si="97"/>
        <v>0</v>
      </c>
    </row>
    <row r="429" spans="1:32">
      <c r="A429" s="677">
        <v>417</v>
      </c>
      <c r="B429" s="379" t="s">
        <v>981</v>
      </c>
      <c r="C429" s="379" t="s">
        <v>591</v>
      </c>
      <c r="D429" s="379" t="s">
        <v>1216</v>
      </c>
      <c r="E429" s="662" t="s">
        <v>592</v>
      </c>
      <c r="F429" s="676">
        <v>-43539082.770000003</v>
      </c>
      <c r="G429" s="676">
        <v>-26860683.850000001</v>
      </c>
      <c r="H429" s="676">
        <v>-40298348.840000004</v>
      </c>
      <c r="I429" s="676">
        <v>-48354825.450000003</v>
      </c>
      <c r="J429" s="676">
        <v>-10887326.09</v>
      </c>
      <c r="K429" s="676">
        <v>-7322383.7400000002</v>
      </c>
      <c r="L429" s="676">
        <v>-7672115.7999999998</v>
      </c>
      <c r="M429" s="676">
        <v>-7408981.7199999997</v>
      </c>
      <c r="N429" s="676">
        <v>-7498183.4800000004</v>
      </c>
      <c r="O429" s="676">
        <v>-8246130.1399999997</v>
      </c>
      <c r="P429" s="676">
        <v>-13966099.76</v>
      </c>
      <c r="Q429" s="676">
        <v>-17572127.510000002</v>
      </c>
      <c r="R429" s="676">
        <v>-26928352.75</v>
      </c>
      <c r="S429" s="551">
        <f t="shared" si="105"/>
        <v>-19276743.678333331</v>
      </c>
      <c r="T429" s="677"/>
      <c r="U429" s="716"/>
      <c r="V429" s="755">
        <f t="shared" si="114"/>
        <v>-19276743.678333331</v>
      </c>
      <c r="W429" s="755"/>
      <c r="X429" s="778"/>
      <c r="Y429" s="755"/>
      <c r="Z429" s="755"/>
      <c r="AA429" s="716"/>
      <c r="AB429" s="755"/>
      <c r="AC429" s="717"/>
      <c r="AD429" s="718">
        <f t="shared" si="115"/>
        <v>-19276743.678333331</v>
      </c>
      <c r="AE429" s="717"/>
      <c r="AF429" s="753">
        <f t="shared" si="97"/>
        <v>0</v>
      </c>
    </row>
    <row r="430" spans="1:32">
      <c r="A430" s="677">
        <v>418</v>
      </c>
      <c r="B430" s="379" t="s">
        <v>981</v>
      </c>
      <c r="C430" s="379" t="s">
        <v>591</v>
      </c>
      <c r="D430" s="379" t="s">
        <v>421</v>
      </c>
      <c r="E430" s="668" t="s">
        <v>1680</v>
      </c>
      <c r="F430" s="676">
        <v>-245670.98</v>
      </c>
      <c r="G430" s="676">
        <v>0</v>
      </c>
      <c r="H430" s="676">
        <v>-23614.45</v>
      </c>
      <c r="I430" s="676">
        <v>-44412.61</v>
      </c>
      <c r="J430" s="676">
        <v>-66013.789999999994</v>
      </c>
      <c r="K430" s="676">
        <v>-88940.15</v>
      </c>
      <c r="L430" s="676">
        <v>-110629.87</v>
      </c>
      <c r="M430" s="676">
        <v>-131228.97</v>
      </c>
      <c r="N430" s="676">
        <v>-152858.88</v>
      </c>
      <c r="O430" s="676">
        <v>-172506.03</v>
      </c>
      <c r="P430" s="676">
        <v>-192985.69</v>
      </c>
      <c r="Q430" s="676">
        <v>-216037.74</v>
      </c>
      <c r="R430" s="676">
        <v>-237373</v>
      </c>
      <c r="S430" s="551">
        <f t="shared" si="105"/>
        <v>-120062.51416666666</v>
      </c>
      <c r="T430" s="677"/>
      <c r="U430" s="716"/>
      <c r="V430" s="755">
        <f t="shared" si="114"/>
        <v>-120062.51416666666</v>
      </c>
      <c r="W430" s="755"/>
      <c r="X430" s="778"/>
      <c r="Y430" s="755"/>
      <c r="Z430" s="755"/>
      <c r="AA430" s="716"/>
      <c r="AB430" s="755"/>
      <c r="AC430" s="717"/>
      <c r="AD430" s="718">
        <f t="shared" si="115"/>
        <v>-120062.51416666666</v>
      </c>
      <c r="AE430" s="717"/>
      <c r="AF430" s="753">
        <f t="shared" si="97"/>
        <v>0</v>
      </c>
    </row>
    <row r="431" spans="1:32">
      <c r="A431" s="677">
        <v>419</v>
      </c>
      <c r="B431" s="379" t="s">
        <v>981</v>
      </c>
      <c r="C431" s="379" t="s">
        <v>591</v>
      </c>
      <c r="D431" s="379" t="s">
        <v>1217</v>
      </c>
      <c r="E431" s="668" t="s">
        <v>1679</v>
      </c>
      <c r="F431" s="676">
        <v>-11172210.310000001</v>
      </c>
      <c r="G431" s="676">
        <v>-5667710.3099999996</v>
      </c>
      <c r="H431" s="676">
        <v>-2893939.67</v>
      </c>
      <c r="I431" s="676">
        <v>-3106406.66</v>
      </c>
      <c r="J431" s="676">
        <v>-3421205.3</v>
      </c>
      <c r="K431" s="676">
        <v>-3515414.66</v>
      </c>
      <c r="L431" s="676">
        <v>-2452428.29</v>
      </c>
      <c r="M431" s="676">
        <v>-7659905.5899999999</v>
      </c>
      <c r="N431" s="676">
        <v>-2839792</v>
      </c>
      <c r="O431" s="676">
        <v>-4132064.97</v>
      </c>
      <c r="P431" s="676">
        <v>-6589053.7599999998</v>
      </c>
      <c r="Q431" s="676">
        <v>-8140193.0800000001</v>
      </c>
      <c r="R431" s="676">
        <v>-5546502.1100000003</v>
      </c>
      <c r="S431" s="551">
        <f t="shared" si="105"/>
        <v>-4898122.541666667</v>
      </c>
      <c r="T431" s="677"/>
      <c r="U431" s="716"/>
      <c r="V431" s="755">
        <f t="shared" si="114"/>
        <v>-4898122.541666667</v>
      </c>
      <c r="W431" s="755"/>
      <c r="X431" s="778"/>
      <c r="Y431" s="755"/>
      <c r="Z431" s="755"/>
      <c r="AA431" s="716"/>
      <c r="AB431" s="755"/>
      <c r="AC431" s="717"/>
      <c r="AD431" s="718">
        <f t="shared" si="115"/>
        <v>-4898122.541666667</v>
      </c>
      <c r="AE431" s="717"/>
      <c r="AF431" s="753">
        <f t="shared" si="97"/>
        <v>0</v>
      </c>
    </row>
    <row r="432" spans="1:32">
      <c r="A432" s="677">
        <v>420</v>
      </c>
      <c r="B432" s="379" t="s">
        <v>981</v>
      </c>
      <c r="C432" s="379" t="s">
        <v>591</v>
      </c>
      <c r="D432" s="379" t="s">
        <v>1218</v>
      </c>
      <c r="E432" s="662" t="s">
        <v>593</v>
      </c>
      <c r="F432" s="676">
        <v>-3247355.18</v>
      </c>
      <c r="G432" s="676">
        <v>-2950390.62</v>
      </c>
      <c r="H432" s="676">
        <v>-2864483.76</v>
      </c>
      <c r="I432" s="676">
        <v>-1682878.63</v>
      </c>
      <c r="J432" s="676">
        <v>-737494.22</v>
      </c>
      <c r="K432" s="676">
        <v>-482887.61</v>
      </c>
      <c r="L432" s="676">
        <v>-464115.63</v>
      </c>
      <c r="M432" s="676">
        <v>-980571.85</v>
      </c>
      <c r="N432" s="676">
        <v>-517872.79</v>
      </c>
      <c r="O432" s="676">
        <v>-410602.67</v>
      </c>
      <c r="P432" s="676">
        <v>-611688.97</v>
      </c>
      <c r="Q432" s="676">
        <v>-407659.48</v>
      </c>
      <c r="R432" s="676">
        <v>-1112884.77</v>
      </c>
      <c r="S432" s="551">
        <f t="shared" si="105"/>
        <v>-1190897.1837500001</v>
      </c>
      <c r="T432" s="677"/>
      <c r="U432" s="716"/>
      <c r="V432" s="755">
        <f t="shared" si="114"/>
        <v>-1190897.1837500001</v>
      </c>
      <c r="W432" s="755"/>
      <c r="X432" s="778"/>
      <c r="Y432" s="755"/>
      <c r="Z432" s="755"/>
      <c r="AA432" s="716"/>
      <c r="AB432" s="755"/>
      <c r="AC432" s="717"/>
      <c r="AD432" s="718">
        <f t="shared" si="115"/>
        <v>-1190897.1837500001</v>
      </c>
      <c r="AE432" s="717"/>
      <c r="AF432" s="753">
        <f t="shared" si="97"/>
        <v>0</v>
      </c>
    </row>
    <row r="433" spans="1:32">
      <c r="A433" s="677">
        <v>421</v>
      </c>
      <c r="B433" s="379" t="s">
        <v>981</v>
      </c>
      <c r="C433" s="379" t="s">
        <v>591</v>
      </c>
      <c r="D433" s="379" t="s">
        <v>1219</v>
      </c>
      <c r="E433" s="662" t="s">
        <v>1686</v>
      </c>
      <c r="F433" s="676">
        <v>-1523.6</v>
      </c>
      <c r="G433" s="676">
        <v>-2424.7800000000002</v>
      </c>
      <c r="H433" s="676">
        <v>-541.85</v>
      </c>
      <c r="I433" s="676">
        <v>115.64</v>
      </c>
      <c r="J433" s="676">
        <v>-1229.81</v>
      </c>
      <c r="K433" s="676">
        <v>-6089.12</v>
      </c>
      <c r="L433" s="676">
        <v>-74.599999999999497</v>
      </c>
      <c r="M433" s="676">
        <v>-11322.06</v>
      </c>
      <c r="N433" s="676">
        <v>-61.779999999997003</v>
      </c>
      <c r="O433" s="676">
        <v>-289.77999999999702</v>
      </c>
      <c r="P433" s="676">
        <v>-899.42999999999699</v>
      </c>
      <c r="Q433" s="676">
        <v>-25.9899999999969</v>
      </c>
      <c r="R433" s="676">
        <v>-9861.52</v>
      </c>
      <c r="S433" s="551">
        <f t="shared" si="105"/>
        <v>-2378.0099999999989</v>
      </c>
      <c r="T433" s="677"/>
      <c r="U433" s="716"/>
      <c r="V433" s="755">
        <f t="shared" si="114"/>
        <v>-2378.0099999999989</v>
      </c>
      <c r="W433" s="755"/>
      <c r="X433" s="778"/>
      <c r="Y433" s="755"/>
      <c r="Z433" s="755"/>
      <c r="AA433" s="716"/>
      <c r="AB433" s="755"/>
      <c r="AC433" s="717"/>
      <c r="AD433" s="718">
        <f t="shared" si="115"/>
        <v>-2378.0099999999989</v>
      </c>
      <c r="AE433" s="717"/>
      <c r="AF433" s="753">
        <f t="shared" si="97"/>
        <v>0</v>
      </c>
    </row>
    <row r="434" spans="1:32">
      <c r="A434" s="677">
        <v>422</v>
      </c>
      <c r="B434" s="379" t="s">
        <v>981</v>
      </c>
      <c r="C434" s="379" t="s">
        <v>591</v>
      </c>
      <c r="D434" s="379" t="s">
        <v>1220</v>
      </c>
      <c r="E434" s="662" t="s">
        <v>1681</v>
      </c>
      <c r="F434" s="676">
        <v>0</v>
      </c>
      <c r="G434" s="676">
        <v>4.13</v>
      </c>
      <c r="H434" s="676">
        <v>4.13</v>
      </c>
      <c r="I434" s="676">
        <v>4.13</v>
      </c>
      <c r="J434" s="676">
        <v>4.13</v>
      </c>
      <c r="K434" s="676">
        <v>56.1</v>
      </c>
      <c r="L434" s="676">
        <v>56.1</v>
      </c>
      <c r="M434" s="676">
        <v>2656.1</v>
      </c>
      <c r="N434" s="676">
        <v>-4162.92</v>
      </c>
      <c r="O434" s="676">
        <v>-4162.92</v>
      </c>
      <c r="P434" s="676">
        <v>-4162.92</v>
      </c>
      <c r="Q434" s="676">
        <v>0</v>
      </c>
      <c r="R434" s="676">
        <v>0</v>
      </c>
      <c r="S434" s="551">
        <f t="shared" si="105"/>
        <v>-808.66166666666675</v>
      </c>
      <c r="T434" s="677"/>
      <c r="U434" s="716"/>
      <c r="V434" s="755">
        <f t="shared" si="114"/>
        <v>-808.66166666666675</v>
      </c>
      <c r="W434" s="755"/>
      <c r="X434" s="778"/>
      <c r="Y434" s="755"/>
      <c r="Z434" s="755"/>
      <c r="AA434" s="716"/>
      <c r="AB434" s="755"/>
      <c r="AC434" s="717"/>
      <c r="AD434" s="718">
        <f t="shared" si="115"/>
        <v>-808.66166666666675</v>
      </c>
      <c r="AE434" s="717"/>
      <c r="AF434" s="753">
        <f t="shared" si="97"/>
        <v>0</v>
      </c>
    </row>
    <row r="435" spans="1:32">
      <c r="A435" s="677">
        <v>423</v>
      </c>
      <c r="B435" s="379" t="s">
        <v>981</v>
      </c>
      <c r="C435" s="379" t="s">
        <v>591</v>
      </c>
      <c r="D435" s="379" t="s">
        <v>1221</v>
      </c>
      <c r="E435" s="662" t="s">
        <v>1682</v>
      </c>
      <c r="F435" s="676">
        <v>2.89901436190121E-12</v>
      </c>
      <c r="G435" s="676">
        <v>0</v>
      </c>
      <c r="H435" s="676">
        <v>0</v>
      </c>
      <c r="I435" s="676">
        <v>-114581.26</v>
      </c>
      <c r="J435" s="676">
        <v>-116772.93</v>
      </c>
      <c r="K435" s="676">
        <v>0</v>
      </c>
      <c r="L435" s="676">
        <v>0</v>
      </c>
      <c r="M435" s="676">
        <v>50964.44</v>
      </c>
      <c r="N435" s="676">
        <v>-117909.33</v>
      </c>
      <c r="O435" s="676">
        <v>-112026.75</v>
      </c>
      <c r="P435" s="676">
        <v>51255.519999999997</v>
      </c>
      <c r="Q435" s="676">
        <v>101096.61</v>
      </c>
      <c r="R435" s="676">
        <v>101096.61</v>
      </c>
      <c r="S435" s="551">
        <f t="shared" si="105"/>
        <v>-17285.449583333335</v>
      </c>
      <c r="T435" s="677"/>
      <c r="U435" s="716"/>
      <c r="V435" s="755">
        <f t="shared" si="114"/>
        <v>-17285.449583333335</v>
      </c>
      <c r="W435" s="755"/>
      <c r="X435" s="778"/>
      <c r="Y435" s="755"/>
      <c r="Z435" s="755"/>
      <c r="AA435" s="716"/>
      <c r="AB435" s="755"/>
      <c r="AC435" s="717"/>
      <c r="AD435" s="718">
        <f t="shared" si="115"/>
        <v>-17285.449583333335</v>
      </c>
      <c r="AE435" s="717"/>
      <c r="AF435" s="753">
        <f t="shared" si="97"/>
        <v>0</v>
      </c>
    </row>
    <row r="436" spans="1:32">
      <c r="A436" s="677">
        <v>424</v>
      </c>
      <c r="B436" s="379" t="s">
        <v>981</v>
      </c>
      <c r="C436" s="379" t="s">
        <v>591</v>
      </c>
      <c r="D436" s="379" t="s">
        <v>1222</v>
      </c>
      <c r="E436" s="662" t="s">
        <v>1683</v>
      </c>
      <c r="F436" s="676">
        <v>-20867.39</v>
      </c>
      <c r="G436" s="676">
        <v>-19631.25</v>
      </c>
      <c r="H436" s="676">
        <v>-19126.38</v>
      </c>
      <c r="I436" s="676">
        <v>-18210.55</v>
      </c>
      <c r="J436" s="676">
        <v>-15794.76</v>
      </c>
      <c r="K436" s="676">
        <v>-13267.2</v>
      </c>
      <c r="L436" s="676">
        <v>-12174.84</v>
      </c>
      <c r="M436" s="676">
        <v>-14643.43</v>
      </c>
      <c r="N436" s="676">
        <v>-16296.07</v>
      </c>
      <c r="O436" s="676">
        <v>-16851.669999999998</v>
      </c>
      <c r="P436" s="676">
        <v>-18984.599999999999</v>
      </c>
      <c r="Q436" s="676">
        <v>-9215.7099999999991</v>
      </c>
      <c r="R436" s="676">
        <v>-11663.77</v>
      </c>
      <c r="S436" s="551">
        <f t="shared" si="105"/>
        <v>-15871.836666666668</v>
      </c>
      <c r="T436" s="677"/>
      <c r="U436" s="716"/>
      <c r="V436" s="755">
        <f t="shared" si="114"/>
        <v>-15871.836666666668</v>
      </c>
      <c r="W436" s="755"/>
      <c r="X436" s="778"/>
      <c r="Y436" s="755"/>
      <c r="Z436" s="755"/>
      <c r="AA436" s="716"/>
      <c r="AB436" s="755"/>
      <c r="AC436" s="717"/>
      <c r="AD436" s="718">
        <f t="shared" si="115"/>
        <v>-15871.836666666668</v>
      </c>
      <c r="AE436" s="717"/>
      <c r="AF436" s="753">
        <f t="shared" si="97"/>
        <v>0</v>
      </c>
    </row>
    <row r="437" spans="1:32">
      <c r="A437" s="677">
        <v>425</v>
      </c>
      <c r="B437" s="379" t="s">
        <v>981</v>
      </c>
      <c r="C437" s="379" t="s">
        <v>591</v>
      </c>
      <c r="D437" s="379" t="s">
        <v>1223</v>
      </c>
      <c r="E437" s="662" t="s">
        <v>1684</v>
      </c>
      <c r="F437" s="676">
        <v>0</v>
      </c>
      <c r="G437" s="676">
        <v>24768.26</v>
      </c>
      <c r="H437" s="676">
        <v>24342.58</v>
      </c>
      <c r="I437" s="676">
        <v>-3.6379788070917101E-12</v>
      </c>
      <c r="J437" s="676">
        <v>-3.6379788070917101E-12</v>
      </c>
      <c r="K437" s="676">
        <v>-3.6379788070917101E-12</v>
      </c>
      <c r="L437" s="676">
        <v>-3.6379788070917101E-12</v>
      </c>
      <c r="M437" s="676">
        <v>-3.6379788070917101E-12</v>
      </c>
      <c r="N437" s="676">
        <v>-3.6379788070917101E-12</v>
      </c>
      <c r="O437" s="676">
        <v>-3.6379788070917101E-12</v>
      </c>
      <c r="P437" s="676">
        <v>-3.6379788070917101E-12</v>
      </c>
      <c r="Q437" s="676">
        <v>-3.6379788070917101E-12</v>
      </c>
      <c r="R437" s="676">
        <v>-3.6379788070917101E-12</v>
      </c>
      <c r="S437" s="551">
        <f t="shared" si="105"/>
        <v>4092.5699999999997</v>
      </c>
      <c r="T437" s="677"/>
      <c r="U437" s="716"/>
      <c r="V437" s="755">
        <f t="shared" si="114"/>
        <v>4092.5699999999997</v>
      </c>
      <c r="W437" s="755"/>
      <c r="X437" s="778"/>
      <c r="Y437" s="755"/>
      <c r="Z437" s="755"/>
      <c r="AA437" s="716"/>
      <c r="AB437" s="755"/>
      <c r="AC437" s="717"/>
      <c r="AD437" s="718">
        <f t="shared" si="115"/>
        <v>4092.5699999999997</v>
      </c>
      <c r="AE437" s="717"/>
      <c r="AF437" s="753">
        <f t="shared" si="97"/>
        <v>0</v>
      </c>
    </row>
    <row r="438" spans="1:32">
      <c r="A438" s="677">
        <v>426</v>
      </c>
      <c r="B438" s="379" t="s">
        <v>981</v>
      </c>
      <c r="C438" s="379" t="s">
        <v>591</v>
      </c>
      <c r="D438" s="379" t="s">
        <v>1224</v>
      </c>
      <c r="E438" s="662" t="s">
        <v>1685</v>
      </c>
      <c r="F438" s="676">
        <v>3.6379788070917101E-12</v>
      </c>
      <c r="G438" s="676">
        <v>0</v>
      </c>
      <c r="H438" s="676">
        <v>0</v>
      </c>
      <c r="I438" s="676">
        <v>-23110.86</v>
      </c>
      <c r="J438" s="676">
        <v>-23068.71</v>
      </c>
      <c r="K438" s="676">
        <v>0</v>
      </c>
      <c r="L438" s="676">
        <v>0</v>
      </c>
      <c r="M438" s="676">
        <v>-23290.36</v>
      </c>
      <c r="N438" s="676">
        <v>-23250.71</v>
      </c>
      <c r="O438" s="676">
        <v>-23853.51</v>
      </c>
      <c r="P438" s="676">
        <v>-24147.06</v>
      </c>
      <c r="Q438" s="676">
        <v>-47891.3</v>
      </c>
      <c r="R438" s="676">
        <v>-47891.3</v>
      </c>
      <c r="S438" s="551">
        <f t="shared" si="105"/>
        <v>-17713.18</v>
      </c>
      <c r="T438" s="677"/>
      <c r="U438" s="716"/>
      <c r="V438" s="755">
        <f t="shared" si="114"/>
        <v>-17713.18</v>
      </c>
      <c r="W438" s="755"/>
      <c r="X438" s="778"/>
      <c r="Y438" s="755"/>
      <c r="Z438" s="755"/>
      <c r="AA438" s="716"/>
      <c r="AB438" s="755"/>
      <c r="AC438" s="717"/>
      <c r="AD438" s="718">
        <f t="shared" si="115"/>
        <v>-17713.18</v>
      </c>
      <c r="AE438" s="717"/>
      <c r="AF438" s="753">
        <f t="shared" si="97"/>
        <v>0</v>
      </c>
    </row>
    <row r="439" spans="1:32">
      <c r="A439" s="677">
        <v>427</v>
      </c>
      <c r="B439" s="379" t="s">
        <v>981</v>
      </c>
      <c r="C439" s="379" t="s">
        <v>591</v>
      </c>
      <c r="D439" s="379" t="s">
        <v>1936</v>
      </c>
      <c r="E439" s="662" t="s">
        <v>1937</v>
      </c>
      <c r="F439" s="676">
        <v>0</v>
      </c>
      <c r="G439" s="676">
        <v>0</v>
      </c>
      <c r="H439" s="676">
        <v>0</v>
      </c>
      <c r="I439" s="676">
        <v>0</v>
      </c>
      <c r="J439" s="676">
        <v>0</v>
      </c>
      <c r="K439" s="676">
        <v>0</v>
      </c>
      <c r="L439" s="676">
        <v>0</v>
      </c>
      <c r="M439" s="676">
        <v>0</v>
      </c>
      <c r="N439" s="676">
        <v>-220.5</v>
      </c>
      <c r="O439" s="676">
        <v>-220.5</v>
      </c>
      <c r="P439" s="676">
        <v>0</v>
      </c>
      <c r="Q439" s="676">
        <v>0</v>
      </c>
      <c r="R439" s="676">
        <v>0</v>
      </c>
      <c r="S439" s="551">
        <f t="shared" si="105"/>
        <v>-36.75</v>
      </c>
      <c r="T439" s="677"/>
      <c r="U439" s="716"/>
      <c r="V439" s="755">
        <f>+S439</f>
        <v>-36.75</v>
      </c>
      <c r="W439" s="755"/>
      <c r="X439" s="778"/>
      <c r="Y439" s="755"/>
      <c r="Z439" s="755"/>
      <c r="AA439" s="716"/>
      <c r="AB439" s="755"/>
      <c r="AC439" s="717"/>
      <c r="AD439" s="718">
        <f t="shared" si="115"/>
        <v>-36.75</v>
      </c>
      <c r="AE439" s="717"/>
      <c r="AF439" s="753">
        <f t="shared" si="97"/>
        <v>0</v>
      </c>
    </row>
    <row r="440" spans="1:32">
      <c r="A440" s="677">
        <v>428</v>
      </c>
      <c r="B440" s="379" t="s">
        <v>981</v>
      </c>
      <c r="C440" s="379" t="s">
        <v>594</v>
      </c>
      <c r="D440" s="379" t="s">
        <v>528</v>
      </c>
      <c r="E440" s="662" t="s">
        <v>595</v>
      </c>
      <c r="F440" s="676">
        <v>-1225497.53</v>
      </c>
      <c r="G440" s="676">
        <v>-916289.02</v>
      </c>
      <c r="H440" s="676">
        <v>-893894.98</v>
      </c>
      <c r="I440" s="676">
        <v>-847938.09</v>
      </c>
      <c r="J440" s="676">
        <v>-1296361.82</v>
      </c>
      <c r="K440" s="676">
        <v>-1222757.27</v>
      </c>
      <c r="L440" s="676">
        <v>-736791.79</v>
      </c>
      <c r="M440" s="676">
        <v>-1134554.6200000001</v>
      </c>
      <c r="N440" s="676">
        <v>-5187950.49</v>
      </c>
      <c r="O440" s="676">
        <v>-1565905.63</v>
      </c>
      <c r="P440" s="676">
        <v>-3017429.74</v>
      </c>
      <c r="Q440" s="676">
        <v>-2289242.7599999998</v>
      </c>
      <c r="R440" s="676">
        <v>-3495159.53</v>
      </c>
      <c r="S440" s="551">
        <f t="shared" si="105"/>
        <v>-1789120.3950000003</v>
      </c>
      <c r="T440" s="677"/>
      <c r="U440" s="716"/>
      <c r="V440" s="755">
        <f t="shared" si="114"/>
        <v>-1789120.3950000003</v>
      </c>
      <c r="W440" s="755"/>
      <c r="X440" s="778"/>
      <c r="Y440" s="755"/>
      <c r="Z440" s="755"/>
      <c r="AA440" s="716"/>
      <c r="AB440" s="755"/>
      <c r="AC440" s="717"/>
      <c r="AD440" s="718">
        <f t="shared" si="115"/>
        <v>-1789120.3950000003</v>
      </c>
      <c r="AE440" s="717"/>
      <c r="AF440" s="753">
        <f t="shared" si="97"/>
        <v>0</v>
      </c>
    </row>
    <row r="441" spans="1:32">
      <c r="A441" s="677">
        <v>429</v>
      </c>
      <c r="B441" s="677"/>
      <c r="C441" s="677"/>
      <c r="D441" s="677"/>
      <c r="E441" s="662"/>
      <c r="F441" s="676"/>
      <c r="G441" s="377"/>
      <c r="H441" s="368"/>
      <c r="I441" s="368"/>
      <c r="J441" s="369"/>
      <c r="K441" s="370"/>
      <c r="L441" s="371"/>
      <c r="M441" s="372"/>
      <c r="N441" s="373"/>
      <c r="O441" s="663"/>
      <c r="P441" s="374"/>
      <c r="Q441" s="378"/>
      <c r="R441" s="676"/>
      <c r="S441" s="551"/>
      <c r="T441" s="677"/>
      <c r="U441" s="716"/>
      <c r="V441" s="755"/>
      <c r="W441" s="755"/>
      <c r="X441" s="778"/>
      <c r="Y441" s="755"/>
      <c r="Z441" s="755"/>
      <c r="AA441" s="716"/>
      <c r="AB441" s="755"/>
      <c r="AC441" s="717"/>
      <c r="AD441" s="718">
        <f t="shared" si="115"/>
        <v>0</v>
      </c>
      <c r="AE441" s="717"/>
      <c r="AF441" s="753">
        <f t="shared" ref="AF441:AF513" si="116">+U441+V441-AD441</f>
        <v>0</v>
      </c>
    </row>
    <row r="442" spans="1:32">
      <c r="A442" s="677">
        <v>430</v>
      </c>
      <c r="B442" s="379" t="s">
        <v>981</v>
      </c>
      <c r="C442" s="379" t="s">
        <v>596</v>
      </c>
      <c r="D442" s="379" t="s">
        <v>425</v>
      </c>
      <c r="E442" s="664" t="s">
        <v>1434</v>
      </c>
      <c r="F442" s="676">
        <v>-1704352.31</v>
      </c>
      <c r="G442" s="676">
        <v>-1185350.18</v>
      </c>
      <c r="H442" s="676">
        <v>-2242639.23</v>
      </c>
      <c r="I442" s="676">
        <v>-1088614.98</v>
      </c>
      <c r="J442" s="676">
        <v>-1109584.99</v>
      </c>
      <c r="K442" s="676">
        <v>-1021661.18</v>
      </c>
      <c r="L442" s="676">
        <v>-902069.26</v>
      </c>
      <c r="M442" s="676">
        <v>-919673.94</v>
      </c>
      <c r="N442" s="676">
        <v>-1277411.8700000001</v>
      </c>
      <c r="O442" s="676">
        <v>-1109369.68</v>
      </c>
      <c r="P442" s="676">
        <v>-1220956.3700000001</v>
      </c>
      <c r="Q442" s="676">
        <v>-1138489.29</v>
      </c>
      <c r="R442" s="676">
        <v>-1330718.17</v>
      </c>
      <c r="S442" s="551">
        <f t="shared" si="105"/>
        <v>-1227779.6841666666</v>
      </c>
      <c r="T442" s="677"/>
      <c r="U442" s="716"/>
      <c r="V442" s="755"/>
      <c r="W442" s="755"/>
      <c r="X442" s="778">
        <f>+S442</f>
        <v>-1227779.6841666666</v>
      </c>
      <c r="Y442" s="755"/>
      <c r="Z442" s="755"/>
      <c r="AA442" s="716"/>
      <c r="AB442" s="755">
        <f t="shared" ref="AB442:AB449" si="117">+S442</f>
        <v>-1227779.6841666666</v>
      </c>
      <c r="AC442" s="717"/>
      <c r="AD442" s="718"/>
      <c r="AE442" s="717"/>
      <c r="AF442" s="753">
        <f t="shared" si="116"/>
        <v>0</v>
      </c>
    </row>
    <row r="443" spans="1:32">
      <c r="A443" s="677">
        <v>431</v>
      </c>
      <c r="B443" s="379" t="s">
        <v>981</v>
      </c>
      <c r="C443" s="379" t="s">
        <v>596</v>
      </c>
      <c r="D443" s="379" t="s">
        <v>1435</v>
      </c>
      <c r="E443" s="662" t="s">
        <v>1687</v>
      </c>
      <c r="F443" s="676">
        <v>0</v>
      </c>
      <c r="G443" s="676">
        <v>-519552.23</v>
      </c>
      <c r="H443" s="676">
        <v>-969604.43</v>
      </c>
      <c r="I443" s="676">
        <v>-569082.82999999996</v>
      </c>
      <c r="J443" s="676">
        <v>-513669.2</v>
      </c>
      <c r="K443" s="676">
        <v>-783318.31</v>
      </c>
      <c r="L443" s="676">
        <v>-381146.96</v>
      </c>
      <c r="M443" s="676">
        <v>-514237.45</v>
      </c>
      <c r="N443" s="676">
        <v>-281315.93</v>
      </c>
      <c r="O443" s="676">
        <v>-606998.31000000006</v>
      </c>
      <c r="P443" s="676">
        <v>-508022.18</v>
      </c>
      <c r="Q443" s="676">
        <v>-907109.46</v>
      </c>
      <c r="R443" s="676">
        <v>-1029872.32</v>
      </c>
      <c r="S443" s="551">
        <f t="shared" si="105"/>
        <v>-589082.78749999998</v>
      </c>
      <c r="T443" s="677"/>
      <c r="U443" s="716"/>
      <c r="V443" s="755"/>
      <c r="W443" s="755"/>
      <c r="X443" s="778">
        <f t="shared" ref="X443:X449" si="118">+S443</f>
        <v>-589082.78749999998</v>
      </c>
      <c r="Y443" s="755"/>
      <c r="Z443" s="755"/>
      <c r="AA443" s="716"/>
      <c r="AB443" s="755">
        <f t="shared" si="117"/>
        <v>-589082.78749999998</v>
      </c>
      <c r="AC443" s="717"/>
      <c r="AD443" s="718"/>
      <c r="AE443" s="717"/>
      <c r="AF443" s="753">
        <f t="shared" si="116"/>
        <v>0</v>
      </c>
    </row>
    <row r="444" spans="1:32">
      <c r="A444" s="677">
        <v>432</v>
      </c>
      <c r="B444" s="379" t="s">
        <v>981</v>
      </c>
      <c r="C444" s="379" t="s">
        <v>596</v>
      </c>
      <c r="D444" s="379" t="s">
        <v>1225</v>
      </c>
      <c r="E444" s="662" t="s">
        <v>1688</v>
      </c>
      <c r="F444" s="676">
        <v>-154330.98000000001</v>
      </c>
      <c r="G444" s="676">
        <v>-1026743.85</v>
      </c>
      <c r="H444" s="676">
        <v>-1065529.23</v>
      </c>
      <c r="I444" s="676">
        <v>-120684.51</v>
      </c>
      <c r="J444" s="676">
        <v>-30479.96</v>
      </c>
      <c r="K444" s="676">
        <v>-619.00000000000705</v>
      </c>
      <c r="L444" s="676">
        <v>-30200.11</v>
      </c>
      <c r="M444" s="676">
        <v>-10964.17</v>
      </c>
      <c r="N444" s="676">
        <v>-14254.17</v>
      </c>
      <c r="O444" s="676">
        <v>-23975.279999999999</v>
      </c>
      <c r="P444" s="676">
        <v>-20685.28</v>
      </c>
      <c r="Q444" s="676">
        <v>-172283.13</v>
      </c>
      <c r="R444" s="676">
        <v>-156065.51</v>
      </c>
      <c r="S444" s="551">
        <f t="shared" si="105"/>
        <v>-222634.74458333326</v>
      </c>
      <c r="T444" s="677"/>
      <c r="U444" s="716"/>
      <c r="V444" s="755"/>
      <c r="W444" s="755"/>
      <c r="X444" s="778">
        <f t="shared" si="118"/>
        <v>-222634.74458333326</v>
      </c>
      <c r="Y444" s="755"/>
      <c r="Z444" s="755"/>
      <c r="AA444" s="716"/>
      <c r="AB444" s="755">
        <f t="shared" si="117"/>
        <v>-222634.74458333326</v>
      </c>
      <c r="AC444" s="717"/>
      <c r="AD444" s="718"/>
      <c r="AE444" s="717"/>
      <c r="AF444" s="753">
        <f t="shared" si="116"/>
        <v>0</v>
      </c>
    </row>
    <row r="445" spans="1:32">
      <c r="A445" s="677">
        <v>433</v>
      </c>
      <c r="B445" s="379" t="s">
        <v>981</v>
      </c>
      <c r="C445" s="379" t="s">
        <v>596</v>
      </c>
      <c r="D445" s="379" t="s">
        <v>1226</v>
      </c>
      <c r="E445" s="664" t="s">
        <v>597</v>
      </c>
      <c r="F445" s="676">
        <v>0</v>
      </c>
      <c r="G445" s="676">
        <v>-103102</v>
      </c>
      <c r="H445" s="676">
        <v>-103102</v>
      </c>
      <c r="I445" s="676">
        <v>0</v>
      </c>
      <c r="J445" s="676">
        <v>0</v>
      </c>
      <c r="K445" s="676">
        <v>0</v>
      </c>
      <c r="L445" s="676">
        <v>0</v>
      </c>
      <c r="M445" s="676">
        <v>0</v>
      </c>
      <c r="N445" s="676">
        <v>0</v>
      </c>
      <c r="O445" s="676">
        <v>0</v>
      </c>
      <c r="P445" s="676">
        <v>0</v>
      </c>
      <c r="Q445" s="676">
        <v>0</v>
      </c>
      <c r="R445" s="676">
        <v>0</v>
      </c>
      <c r="S445" s="551">
        <f t="shared" si="105"/>
        <v>-17183.666666666668</v>
      </c>
      <c r="T445" s="677"/>
      <c r="U445" s="716"/>
      <c r="V445" s="755"/>
      <c r="W445" s="755"/>
      <c r="X445" s="778">
        <f t="shared" si="118"/>
        <v>-17183.666666666668</v>
      </c>
      <c r="Y445" s="755"/>
      <c r="Z445" s="755"/>
      <c r="AA445" s="716"/>
      <c r="AB445" s="755">
        <f t="shared" si="117"/>
        <v>-17183.666666666668</v>
      </c>
      <c r="AC445" s="717"/>
      <c r="AD445" s="718"/>
      <c r="AE445" s="717"/>
      <c r="AF445" s="753">
        <f t="shared" si="116"/>
        <v>0</v>
      </c>
    </row>
    <row r="446" spans="1:32">
      <c r="A446" s="677">
        <v>434</v>
      </c>
      <c r="B446" s="379" t="s">
        <v>981</v>
      </c>
      <c r="C446" s="379" t="s">
        <v>596</v>
      </c>
      <c r="D446" s="379" t="s">
        <v>598</v>
      </c>
      <c r="E446" s="664" t="s">
        <v>599</v>
      </c>
      <c r="F446" s="676">
        <v>-7846.82</v>
      </c>
      <c r="G446" s="676">
        <v>-4049.93</v>
      </c>
      <c r="H446" s="676">
        <v>0</v>
      </c>
      <c r="I446" s="676">
        <v>0</v>
      </c>
      <c r="J446" s="676">
        <v>-3826.77</v>
      </c>
      <c r="K446" s="676">
        <v>-5785.53</v>
      </c>
      <c r="L446" s="676">
        <v>-278.16000000000003</v>
      </c>
      <c r="M446" s="676">
        <v>1.7053025658242399E-13</v>
      </c>
      <c r="N446" s="676">
        <v>-1917.97</v>
      </c>
      <c r="O446" s="676">
        <v>2.2737367544323201E-13</v>
      </c>
      <c r="P446" s="676">
        <v>-1140</v>
      </c>
      <c r="Q446" s="676">
        <v>1434.96</v>
      </c>
      <c r="R446" s="676">
        <v>-5404.1</v>
      </c>
      <c r="S446" s="551">
        <f t="shared" si="105"/>
        <v>-1849.0716666666667</v>
      </c>
      <c r="T446" s="677"/>
      <c r="U446" s="716"/>
      <c r="V446" s="755"/>
      <c r="W446" s="755"/>
      <c r="X446" s="778">
        <f t="shared" si="118"/>
        <v>-1849.0716666666667</v>
      </c>
      <c r="Y446" s="755"/>
      <c r="Z446" s="755"/>
      <c r="AA446" s="716"/>
      <c r="AB446" s="755">
        <f t="shared" si="117"/>
        <v>-1849.0716666666667</v>
      </c>
      <c r="AC446" s="717"/>
      <c r="AD446" s="718"/>
      <c r="AE446" s="717"/>
      <c r="AF446" s="753">
        <f t="shared" si="116"/>
        <v>0</v>
      </c>
    </row>
    <row r="447" spans="1:32">
      <c r="A447" s="677">
        <v>435</v>
      </c>
      <c r="B447" s="379" t="s">
        <v>981</v>
      </c>
      <c r="C447" s="379" t="s">
        <v>596</v>
      </c>
      <c r="D447" s="379" t="s">
        <v>427</v>
      </c>
      <c r="E447" s="664" t="s">
        <v>600</v>
      </c>
      <c r="F447" s="676">
        <v>0</v>
      </c>
      <c r="G447" s="676">
        <v>0</v>
      </c>
      <c r="H447" s="676">
        <v>0</v>
      </c>
      <c r="I447" s="676">
        <v>0</v>
      </c>
      <c r="J447" s="676">
        <v>0</v>
      </c>
      <c r="K447" s="676">
        <v>0</v>
      </c>
      <c r="L447" s="676">
        <v>0</v>
      </c>
      <c r="M447" s="676">
        <v>0</v>
      </c>
      <c r="N447" s="676">
        <v>-29.74</v>
      </c>
      <c r="O447" s="676">
        <v>-29.74</v>
      </c>
      <c r="P447" s="676">
        <v>0</v>
      </c>
      <c r="Q447" s="676">
        <v>0</v>
      </c>
      <c r="R447" s="676">
        <v>0</v>
      </c>
      <c r="S447" s="551">
        <f t="shared" si="105"/>
        <v>-4.9566666666666661</v>
      </c>
      <c r="T447" s="677"/>
      <c r="U447" s="716"/>
      <c r="V447" s="755"/>
      <c r="W447" s="755"/>
      <c r="X447" s="778">
        <f t="shared" si="118"/>
        <v>-4.9566666666666661</v>
      </c>
      <c r="Y447" s="755"/>
      <c r="Z447" s="755"/>
      <c r="AA447" s="716"/>
      <c r="AB447" s="755">
        <f t="shared" si="117"/>
        <v>-4.9566666666666661</v>
      </c>
      <c r="AC447" s="717"/>
      <c r="AD447" s="718"/>
      <c r="AE447" s="717"/>
      <c r="AF447" s="753">
        <f t="shared" si="116"/>
        <v>0</v>
      </c>
    </row>
    <row r="448" spans="1:32">
      <c r="A448" s="677">
        <v>436</v>
      </c>
      <c r="B448" s="379" t="s">
        <v>981</v>
      </c>
      <c r="C448" s="379" t="s">
        <v>596</v>
      </c>
      <c r="D448" s="379" t="s">
        <v>430</v>
      </c>
      <c r="E448" s="662" t="s">
        <v>601</v>
      </c>
      <c r="F448" s="676">
        <v>0</v>
      </c>
      <c r="G448" s="676">
        <v>0</v>
      </c>
      <c r="H448" s="676">
        <v>0</v>
      </c>
      <c r="I448" s="676">
        <v>0</v>
      </c>
      <c r="J448" s="676">
        <v>0</v>
      </c>
      <c r="K448" s="676">
        <v>0</v>
      </c>
      <c r="L448" s="676">
        <v>0</v>
      </c>
      <c r="M448" s="676">
        <v>0</v>
      </c>
      <c r="N448" s="676">
        <v>0</v>
      </c>
      <c r="O448" s="676">
        <v>0</v>
      </c>
      <c r="P448" s="676">
        <v>0</v>
      </c>
      <c r="Q448" s="676">
        <v>0</v>
      </c>
      <c r="R448" s="676">
        <v>0</v>
      </c>
      <c r="S448" s="551"/>
      <c r="T448" s="677"/>
      <c r="U448" s="716"/>
      <c r="V448" s="755"/>
      <c r="W448" s="755"/>
      <c r="X448" s="778"/>
      <c r="Y448" s="755"/>
      <c r="Z448" s="755"/>
      <c r="AA448" s="716"/>
      <c r="AB448" s="755"/>
      <c r="AC448" s="717"/>
      <c r="AD448" s="718"/>
      <c r="AE448" s="717"/>
      <c r="AF448" s="753">
        <f t="shared" si="116"/>
        <v>0</v>
      </c>
    </row>
    <row r="449" spans="1:32">
      <c r="A449" s="677">
        <v>437</v>
      </c>
      <c r="B449" s="379" t="s">
        <v>981</v>
      </c>
      <c r="C449" s="379" t="s">
        <v>596</v>
      </c>
      <c r="D449" s="379" t="s">
        <v>432</v>
      </c>
      <c r="E449" s="662" t="s">
        <v>1689</v>
      </c>
      <c r="F449" s="674">
        <v>-141047.06</v>
      </c>
      <c r="G449" s="674">
        <v>-235826.31</v>
      </c>
      <c r="H449" s="674">
        <v>-217771.7</v>
      </c>
      <c r="I449" s="674">
        <v>-241018.49</v>
      </c>
      <c r="J449" s="674">
        <v>-238130.01</v>
      </c>
      <c r="K449" s="674">
        <v>-126537.31</v>
      </c>
      <c r="L449" s="674">
        <v>-123539.78</v>
      </c>
      <c r="M449" s="674">
        <v>-107664.4</v>
      </c>
      <c r="N449" s="674">
        <v>-126691.93</v>
      </c>
      <c r="O449" s="674">
        <v>-229571.79</v>
      </c>
      <c r="P449" s="674">
        <v>-232516.69</v>
      </c>
      <c r="Q449" s="674">
        <v>-239827.82</v>
      </c>
      <c r="R449" s="674">
        <v>-122705.44</v>
      </c>
      <c r="S449" s="551">
        <f t="shared" si="105"/>
        <v>-187581.04</v>
      </c>
      <c r="T449" s="677"/>
      <c r="U449" s="716"/>
      <c r="V449" s="755"/>
      <c r="W449" s="755"/>
      <c r="X449" s="778">
        <f t="shared" si="118"/>
        <v>-187581.04</v>
      </c>
      <c r="Y449" s="755"/>
      <c r="Z449" s="755"/>
      <c r="AA449" s="716"/>
      <c r="AB449" s="755">
        <f t="shared" si="117"/>
        <v>-187581.04</v>
      </c>
      <c r="AC449" s="717"/>
      <c r="AD449" s="718"/>
      <c r="AE449" s="717"/>
      <c r="AF449" s="753">
        <f t="shared" si="116"/>
        <v>0</v>
      </c>
    </row>
    <row r="450" spans="1:32">
      <c r="A450" s="677">
        <v>438</v>
      </c>
      <c r="B450" s="379" t="s">
        <v>981</v>
      </c>
      <c r="C450" s="379" t="s">
        <v>596</v>
      </c>
      <c r="D450" s="379" t="s">
        <v>434</v>
      </c>
      <c r="E450" s="662" t="s">
        <v>1938</v>
      </c>
      <c r="F450" s="674">
        <v>0</v>
      </c>
      <c r="G450" s="674">
        <v>0</v>
      </c>
      <c r="H450" s="674">
        <v>0</v>
      </c>
      <c r="I450" s="674">
        <v>0</v>
      </c>
      <c r="J450" s="674">
        <v>0</v>
      </c>
      <c r="K450" s="674">
        <v>0</v>
      </c>
      <c r="L450" s="674">
        <v>0</v>
      </c>
      <c r="M450" s="674">
        <v>0</v>
      </c>
      <c r="N450" s="674">
        <v>0</v>
      </c>
      <c r="O450" s="674">
        <v>0</v>
      </c>
      <c r="P450" s="674">
        <v>0</v>
      </c>
      <c r="Q450" s="674">
        <v>0</v>
      </c>
      <c r="R450" s="674">
        <v>0</v>
      </c>
      <c r="S450" s="551">
        <f t="shared" si="105"/>
        <v>0</v>
      </c>
      <c r="T450" s="677"/>
      <c r="U450" s="716"/>
      <c r="V450" s="755"/>
      <c r="W450" s="755"/>
      <c r="X450" s="778"/>
      <c r="Y450" s="755"/>
      <c r="Z450" s="755"/>
      <c r="AA450" s="716"/>
      <c r="AB450" s="755"/>
      <c r="AC450" s="717"/>
      <c r="AD450" s="718"/>
      <c r="AE450" s="717"/>
      <c r="AF450" s="753"/>
    </row>
    <row r="451" spans="1:32">
      <c r="A451" s="677">
        <v>439</v>
      </c>
      <c r="B451" s="677"/>
      <c r="C451" s="677"/>
      <c r="D451" s="677"/>
      <c r="E451" s="662" t="s">
        <v>602</v>
      </c>
      <c r="F451" s="358">
        <f t="shared" ref="F451:S451" si="119">SUM(F442:F449)</f>
        <v>-2007577.1700000002</v>
      </c>
      <c r="G451" s="358">
        <f t="shared" si="119"/>
        <v>-3074624.5</v>
      </c>
      <c r="H451" s="358">
        <f t="shared" si="119"/>
        <v>-4598646.5900000008</v>
      </c>
      <c r="I451" s="358">
        <f t="shared" si="119"/>
        <v>-2019400.81</v>
      </c>
      <c r="J451" s="358">
        <f t="shared" si="119"/>
        <v>-1895690.93</v>
      </c>
      <c r="K451" s="358">
        <f t="shared" si="119"/>
        <v>-1937921.3300000003</v>
      </c>
      <c r="L451" s="358">
        <f t="shared" si="119"/>
        <v>-1437234.27</v>
      </c>
      <c r="M451" s="358">
        <f t="shared" si="119"/>
        <v>-1552539.9599999997</v>
      </c>
      <c r="N451" s="358">
        <f t="shared" si="119"/>
        <v>-1701621.6099999999</v>
      </c>
      <c r="O451" s="358">
        <f t="shared" si="119"/>
        <v>-1969944.8</v>
      </c>
      <c r="P451" s="358">
        <f t="shared" si="119"/>
        <v>-1983320.52</v>
      </c>
      <c r="Q451" s="358">
        <f t="shared" si="119"/>
        <v>-2456274.7399999998</v>
      </c>
      <c r="R451" s="358">
        <f t="shared" si="119"/>
        <v>-2644765.54</v>
      </c>
      <c r="S451" s="553">
        <f t="shared" si="119"/>
        <v>-2246115.9512500004</v>
      </c>
      <c r="T451" s="677"/>
      <c r="U451" s="716"/>
      <c r="V451" s="755"/>
      <c r="W451" s="755"/>
      <c r="X451" s="778"/>
      <c r="Y451" s="755"/>
      <c r="Z451" s="755"/>
      <c r="AA451" s="716"/>
      <c r="AB451" s="755"/>
      <c r="AC451" s="717"/>
      <c r="AD451" s="717"/>
      <c r="AE451" s="717"/>
      <c r="AF451" s="753">
        <f t="shared" si="116"/>
        <v>0</v>
      </c>
    </row>
    <row r="452" spans="1:32">
      <c r="A452" s="677">
        <v>440</v>
      </c>
      <c r="B452" s="677"/>
      <c r="C452" s="677"/>
      <c r="D452" s="677"/>
      <c r="E452" s="662"/>
      <c r="F452" s="676"/>
      <c r="G452" s="377"/>
      <c r="H452" s="368"/>
      <c r="I452" s="368"/>
      <c r="J452" s="369"/>
      <c r="K452" s="370"/>
      <c r="L452" s="371"/>
      <c r="M452" s="372"/>
      <c r="N452" s="373"/>
      <c r="O452" s="663"/>
      <c r="P452" s="374"/>
      <c r="Q452" s="378"/>
      <c r="R452" s="676"/>
      <c r="S452" s="357"/>
      <c r="T452" s="677"/>
      <c r="U452" s="716"/>
      <c r="V452" s="755"/>
      <c r="W452" s="755"/>
      <c r="X452" s="778"/>
      <c r="Y452" s="755"/>
      <c r="Z452" s="755"/>
      <c r="AA452" s="716"/>
      <c r="AB452" s="755"/>
      <c r="AC452" s="717"/>
      <c r="AD452" s="717"/>
      <c r="AE452" s="717"/>
      <c r="AF452" s="753">
        <f t="shared" si="116"/>
        <v>0</v>
      </c>
    </row>
    <row r="453" spans="1:32">
      <c r="A453" s="677">
        <v>441</v>
      </c>
      <c r="B453" s="379" t="s">
        <v>981</v>
      </c>
      <c r="C453" s="379" t="s">
        <v>603</v>
      </c>
      <c r="D453" s="677" t="s">
        <v>83</v>
      </c>
      <c r="E453" s="662" t="s">
        <v>1692</v>
      </c>
      <c r="F453" s="676">
        <v>-1.45519152283669E-11</v>
      </c>
      <c r="G453" s="676">
        <v>0</v>
      </c>
      <c r="H453" s="676">
        <v>0</v>
      </c>
      <c r="I453" s="676">
        <v>-107662.78</v>
      </c>
      <c r="J453" s="676">
        <v>0</v>
      </c>
      <c r="K453" s="676">
        <v>0</v>
      </c>
      <c r="L453" s="676">
        <v>0</v>
      </c>
      <c r="M453" s="676">
        <v>0</v>
      </c>
      <c r="N453" s="676">
        <v>-119237.11</v>
      </c>
      <c r="O453" s="676">
        <v>0</v>
      </c>
      <c r="P453" s="676">
        <v>0</v>
      </c>
      <c r="Q453" s="676">
        <v>0</v>
      </c>
      <c r="R453" s="676">
        <v>0</v>
      </c>
      <c r="S453" s="551">
        <f t="shared" si="105"/>
        <v>-18908.324166666669</v>
      </c>
      <c r="T453" s="677"/>
      <c r="U453" s="716"/>
      <c r="V453" s="755">
        <f t="shared" ref="V453:V456" si="120">+S453</f>
        <v>-18908.324166666669</v>
      </c>
      <c r="W453" s="755"/>
      <c r="X453" s="778"/>
      <c r="Y453" s="755"/>
      <c r="Z453" s="755"/>
      <c r="AA453" s="716"/>
      <c r="AB453" s="755"/>
      <c r="AC453" s="717"/>
      <c r="AD453" s="718">
        <f t="shared" ref="AD453:AD456" si="121">+V453</f>
        <v>-18908.324166666669</v>
      </c>
      <c r="AE453" s="717"/>
      <c r="AF453" s="753">
        <f t="shared" si="116"/>
        <v>0</v>
      </c>
    </row>
    <row r="454" spans="1:32">
      <c r="A454" s="677">
        <v>442</v>
      </c>
      <c r="B454" s="379" t="s">
        <v>981</v>
      </c>
      <c r="C454" s="379" t="s">
        <v>603</v>
      </c>
      <c r="D454" s="677" t="s">
        <v>1436</v>
      </c>
      <c r="E454" s="662" t="s">
        <v>1693</v>
      </c>
      <c r="F454" s="676">
        <v>1.45519152283669E-11</v>
      </c>
      <c r="G454" s="676">
        <v>0</v>
      </c>
      <c r="H454" s="676">
        <v>0</v>
      </c>
      <c r="I454" s="676">
        <v>-80808.570000000007</v>
      </c>
      <c r="J454" s="676">
        <v>0</v>
      </c>
      <c r="K454" s="676">
        <v>0</v>
      </c>
      <c r="L454" s="676">
        <v>0</v>
      </c>
      <c r="M454" s="676">
        <v>0</v>
      </c>
      <c r="N454" s="676">
        <v>-84293.21</v>
      </c>
      <c r="O454" s="676">
        <v>0</v>
      </c>
      <c r="P454" s="676">
        <v>907.8</v>
      </c>
      <c r="Q454" s="676">
        <v>907.8</v>
      </c>
      <c r="R454" s="676">
        <v>907.8</v>
      </c>
      <c r="S454" s="551">
        <f t="shared" si="105"/>
        <v>-13569.356666666672</v>
      </c>
      <c r="T454" s="677"/>
      <c r="U454" s="716"/>
      <c r="V454" s="755">
        <f t="shared" si="120"/>
        <v>-13569.356666666672</v>
      </c>
      <c r="W454" s="755"/>
      <c r="X454" s="778"/>
      <c r="Y454" s="755"/>
      <c r="Z454" s="755"/>
      <c r="AA454" s="716"/>
      <c r="AB454" s="755"/>
      <c r="AC454" s="717"/>
      <c r="AD454" s="718">
        <f t="shared" si="121"/>
        <v>-13569.356666666672</v>
      </c>
      <c r="AE454" s="717"/>
      <c r="AF454" s="753">
        <f t="shared" si="116"/>
        <v>0</v>
      </c>
    </row>
    <row r="455" spans="1:32">
      <c r="A455" s="677">
        <v>443</v>
      </c>
      <c r="B455" s="379" t="s">
        <v>981</v>
      </c>
      <c r="C455" s="379" t="s">
        <v>604</v>
      </c>
      <c r="D455" s="379" t="s">
        <v>528</v>
      </c>
      <c r="E455" s="662" t="s">
        <v>1690</v>
      </c>
      <c r="F455" s="676">
        <v>1.8189894035458601E-12</v>
      </c>
      <c r="G455" s="676">
        <v>1309.1600000000001</v>
      </c>
      <c r="H455" s="676">
        <v>1309.1600000000001</v>
      </c>
      <c r="I455" s="676">
        <v>-12620.42</v>
      </c>
      <c r="J455" s="676">
        <v>1309.1600000000001</v>
      </c>
      <c r="K455" s="676">
        <v>1309.1600000000001</v>
      </c>
      <c r="L455" s="676">
        <v>1309.1600000000001</v>
      </c>
      <c r="M455" s="676">
        <v>1309.1600000000001</v>
      </c>
      <c r="N455" s="676">
        <v>-14590.46</v>
      </c>
      <c r="O455" s="676">
        <v>-1.8189894035458601E-12</v>
      </c>
      <c r="P455" s="676">
        <v>-1.8189894035458601E-12</v>
      </c>
      <c r="Q455" s="676">
        <v>-1.8189894035458601E-12</v>
      </c>
      <c r="R455" s="676">
        <v>-1.8189894035458601E-12</v>
      </c>
      <c r="S455" s="551">
        <f t="shared" si="105"/>
        <v>-1612.9933333333331</v>
      </c>
      <c r="T455" s="677"/>
      <c r="U455" s="716"/>
      <c r="V455" s="755">
        <f t="shared" si="120"/>
        <v>-1612.9933333333331</v>
      </c>
      <c r="W455" s="755"/>
      <c r="X455" s="778"/>
      <c r="Y455" s="755"/>
      <c r="Z455" s="755"/>
      <c r="AA455" s="716"/>
      <c r="AB455" s="755"/>
      <c r="AC455" s="717"/>
      <c r="AD455" s="718">
        <f t="shared" si="121"/>
        <v>-1612.9933333333331</v>
      </c>
      <c r="AE455" s="717"/>
      <c r="AF455" s="753">
        <f t="shared" si="116"/>
        <v>0</v>
      </c>
    </row>
    <row r="456" spans="1:32">
      <c r="A456" s="677">
        <v>444</v>
      </c>
      <c r="B456" s="379" t="s">
        <v>981</v>
      </c>
      <c r="C456" s="379" t="s">
        <v>604</v>
      </c>
      <c r="D456" s="379" t="s">
        <v>562</v>
      </c>
      <c r="E456" s="662" t="s">
        <v>1691</v>
      </c>
      <c r="F456" s="676">
        <v>-1309.05</v>
      </c>
      <c r="G456" s="676">
        <v>-1711.24</v>
      </c>
      <c r="H456" s="676">
        <v>-2214.2399999999998</v>
      </c>
      <c r="I456" s="676">
        <v>-2841.3</v>
      </c>
      <c r="J456" s="676">
        <v>-1734.02</v>
      </c>
      <c r="K456" s="676">
        <v>-2162.9</v>
      </c>
      <c r="L456" s="676">
        <v>-2574.96</v>
      </c>
      <c r="M456" s="676">
        <v>-2997.03</v>
      </c>
      <c r="N456" s="676">
        <v>-1010.92</v>
      </c>
      <c r="O456" s="676">
        <v>-1402.37</v>
      </c>
      <c r="P456" s="676">
        <v>-412.51</v>
      </c>
      <c r="Q456" s="676">
        <v>-832.16</v>
      </c>
      <c r="R456" s="676">
        <v>-1221.53</v>
      </c>
      <c r="S456" s="551">
        <f t="shared" si="105"/>
        <v>-1763.2449999999999</v>
      </c>
      <c r="T456" s="677"/>
      <c r="U456" s="716"/>
      <c r="V456" s="755">
        <f t="shared" si="120"/>
        <v>-1763.2449999999999</v>
      </c>
      <c r="W456" s="755"/>
      <c r="X456" s="778"/>
      <c r="Y456" s="755"/>
      <c r="Z456" s="755"/>
      <c r="AA456" s="716"/>
      <c r="AB456" s="755"/>
      <c r="AC456" s="717"/>
      <c r="AD456" s="718">
        <f t="shared" si="121"/>
        <v>-1763.2449999999999</v>
      </c>
      <c r="AE456" s="717"/>
      <c r="AF456" s="753">
        <f t="shared" si="116"/>
        <v>0</v>
      </c>
    </row>
    <row r="457" spans="1:32">
      <c r="A457" s="677">
        <v>445</v>
      </c>
      <c r="B457" s="677"/>
      <c r="C457" s="677"/>
      <c r="D457" s="677"/>
      <c r="E457" s="662" t="s">
        <v>605</v>
      </c>
      <c r="F457" s="358">
        <f t="shared" ref="F457:S457" si="122">SUM(F453:F456)</f>
        <v>-1309.0499999999981</v>
      </c>
      <c r="G457" s="358">
        <f t="shared" si="122"/>
        <v>-402.07999999999993</v>
      </c>
      <c r="H457" s="358">
        <f t="shared" si="122"/>
        <v>-905.0799999999997</v>
      </c>
      <c r="I457" s="358">
        <f t="shared" si="122"/>
        <v>-203933.07</v>
      </c>
      <c r="J457" s="358">
        <f t="shared" si="122"/>
        <v>-424.8599999999999</v>
      </c>
      <c r="K457" s="358">
        <f t="shared" si="122"/>
        <v>-853.74</v>
      </c>
      <c r="L457" s="358">
        <f t="shared" si="122"/>
        <v>-1265.8</v>
      </c>
      <c r="M457" s="358">
        <f t="shared" si="122"/>
        <v>-1687.8700000000001</v>
      </c>
      <c r="N457" s="358">
        <f t="shared" si="122"/>
        <v>-219131.7</v>
      </c>
      <c r="O457" s="358">
        <f t="shared" si="122"/>
        <v>-1402.3700000000017</v>
      </c>
      <c r="P457" s="358">
        <f t="shared" si="122"/>
        <v>495.28999999999814</v>
      </c>
      <c r="Q457" s="358">
        <f t="shared" si="122"/>
        <v>75.639999999998167</v>
      </c>
      <c r="R457" s="358">
        <f t="shared" si="122"/>
        <v>-313.73000000000184</v>
      </c>
      <c r="S457" s="553">
        <f t="shared" si="122"/>
        <v>-35853.919166666674</v>
      </c>
      <c r="T457" s="677"/>
      <c r="U457" s="716"/>
      <c r="V457" s="755"/>
      <c r="W457" s="755"/>
      <c r="X457" s="778"/>
      <c r="Y457" s="755"/>
      <c r="Z457" s="755"/>
      <c r="AA457" s="716"/>
      <c r="AB457" s="755"/>
      <c r="AC457" s="717"/>
      <c r="AD457" s="717"/>
      <c r="AE457" s="717"/>
      <c r="AF457" s="753">
        <f t="shared" si="116"/>
        <v>0</v>
      </c>
    </row>
    <row r="458" spans="1:32">
      <c r="A458" s="677">
        <v>446</v>
      </c>
      <c r="B458" s="677"/>
      <c r="C458" s="677"/>
      <c r="D458" s="677"/>
      <c r="E458" s="662"/>
      <c r="F458" s="676"/>
      <c r="G458" s="377"/>
      <c r="H458" s="368"/>
      <c r="I458" s="368"/>
      <c r="J458" s="369"/>
      <c r="K458" s="370"/>
      <c r="L458" s="371"/>
      <c r="M458" s="372"/>
      <c r="N458" s="373"/>
      <c r="O458" s="663"/>
      <c r="P458" s="374"/>
      <c r="Q458" s="378"/>
      <c r="R458" s="676"/>
      <c r="S458" s="357"/>
      <c r="T458" s="677"/>
      <c r="U458" s="716"/>
      <c r="V458" s="755"/>
      <c r="W458" s="755"/>
      <c r="X458" s="778"/>
      <c r="Y458" s="755"/>
      <c r="Z458" s="755"/>
      <c r="AA458" s="716"/>
      <c r="AB458" s="755"/>
      <c r="AC458" s="717"/>
      <c r="AD458" s="717"/>
      <c r="AE458" s="717"/>
      <c r="AF458" s="753">
        <f t="shared" si="116"/>
        <v>0</v>
      </c>
    </row>
    <row r="459" spans="1:32">
      <c r="A459" s="677">
        <v>447</v>
      </c>
      <c r="B459" s="677"/>
      <c r="C459" s="677"/>
      <c r="D459" s="677"/>
      <c r="E459" s="662" t="s">
        <v>606</v>
      </c>
      <c r="F459" s="358">
        <f>SUM(F421:F440)+F451+F457</f>
        <v>-68448004.469999999</v>
      </c>
      <c r="G459" s="358">
        <f>SUM(G421:G440)+G451+G457</f>
        <v>-72856652.530000001</v>
      </c>
      <c r="H459" s="358">
        <f t="shared" ref="H459:R459" si="123">SUM(H421:H440)+H451+H457</f>
        <v>-83692932.400000021</v>
      </c>
      <c r="I459" s="358">
        <f t="shared" si="123"/>
        <v>-128599309.39000002</v>
      </c>
      <c r="J459" s="358">
        <f t="shared" si="123"/>
        <v>-91194215.01000002</v>
      </c>
      <c r="K459" s="358">
        <f t="shared" si="123"/>
        <v>-87689955.140000001</v>
      </c>
      <c r="L459" s="358">
        <f t="shared" si="123"/>
        <v>-56138812.299999997</v>
      </c>
      <c r="M459" s="358">
        <f t="shared" si="123"/>
        <v>-62275082.989999995</v>
      </c>
      <c r="N459" s="358">
        <f t="shared" si="123"/>
        <v>-63145705.640000008</v>
      </c>
      <c r="O459" s="358">
        <f t="shared" si="123"/>
        <v>-60988461.799999997</v>
      </c>
      <c r="P459" s="358">
        <f t="shared" si="123"/>
        <v>-70227845.199999988</v>
      </c>
      <c r="Q459" s="358">
        <f t="shared" si="123"/>
        <v>-75329339.150000006</v>
      </c>
      <c r="R459" s="358">
        <f t="shared" si="123"/>
        <v>-47045472.370000005</v>
      </c>
      <c r="S459" s="553">
        <f>SUM(S424:S440)+S451+S457+S421+S422</f>
        <v>-75823754.164166704</v>
      </c>
      <c r="T459" s="677"/>
      <c r="U459" s="716"/>
      <c r="V459" s="755"/>
      <c r="W459" s="755"/>
      <c r="X459" s="778"/>
      <c r="Y459" s="755"/>
      <c r="Z459" s="755"/>
      <c r="AA459" s="716"/>
      <c r="AB459" s="755"/>
      <c r="AC459" s="717"/>
      <c r="AD459" s="717"/>
      <c r="AE459" s="717"/>
      <c r="AF459" s="753">
        <f t="shared" si="116"/>
        <v>0</v>
      </c>
    </row>
    <row r="460" spans="1:32">
      <c r="A460" s="677">
        <v>448</v>
      </c>
      <c r="B460" s="677"/>
      <c r="C460" s="677"/>
      <c r="D460" s="677"/>
      <c r="E460" s="662"/>
      <c r="F460" s="676"/>
      <c r="G460" s="377"/>
      <c r="H460" s="368"/>
      <c r="I460" s="368"/>
      <c r="J460" s="369"/>
      <c r="K460" s="370"/>
      <c r="L460" s="371"/>
      <c r="M460" s="372"/>
      <c r="N460" s="373"/>
      <c r="O460" s="663"/>
      <c r="P460" s="374"/>
      <c r="Q460" s="378"/>
      <c r="R460" s="676"/>
      <c r="S460" s="357"/>
      <c r="T460" s="677"/>
      <c r="U460" s="716"/>
      <c r="V460" s="755"/>
      <c r="W460" s="755"/>
      <c r="X460" s="778"/>
      <c r="Y460" s="755"/>
      <c r="Z460" s="755"/>
      <c r="AA460" s="716"/>
      <c r="AB460" s="755"/>
      <c r="AC460" s="717"/>
      <c r="AD460" s="717"/>
      <c r="AE460" s="717"/>
      <c r="AF460" s="753">
        <f t="shared" si="116"/>
        <v>0</v>
      </c>
    </row>
    <row r="461" spans="1:32">
      <c r="A461" s="677">
        <v>449</v>
      </c>
      <c r="B461" s="677"/>
      <c r="C461" s="677"/>
      <c r="D461" s="677"/>
      <c r="E461" s="662"/>
      <c r="F461" s="676"/>
      <c r="G461" s="377"/>
      <c r="H461" s="368"/>
      <c r="I461" s="368"/>
      <c r="J461" s="369"/>
      <c r="K461" s="370"/>
      <c r="L461" s="371"/>
      <c r="M461" s="372"/>
      <c r="N461" s="373"/>
      <c r="O461" s="663"/>
      <c r="P461" s="374"/>
      <c r="Q461" s="378"/>
      <c r="R461" s="676"/>
      <c r="S461" s="357"/>
      <c r="T461" s="677"/>
      <c r="U461" s="716"/>
      <c r="V461" s="755"/>
      <c r="W461" s="755"/>
      <c r="X461" s="778"/>
      <c r="Y461" s="755"/>
      <c r="Z461" s="755"/>
      <c r="AA461" s="716"/>
      <c r="AB461" s="755"/>
      <c r="AC461" s="717"/>
      <c r="AD461" s="717"/>
      <c r="AE461" s="717"/>
      <c r="AF461" s="753"/>
    </row>
    <row r="462" spans="1:32">
      <c r="A462" s="677">
        <v>450</v>
      </c>
      <c r="B462" s="677">
        <v>47</v>
      </c>
      <c r="C462" s="677" t="s">
        <v>621</v>
      </c>
      <c r="D462" s="677" t="s">
        <v>463</v>
      </c>
      <c r="E462" s="662" t="s">
        <v>1939</v>
      </c>
      <c r="F462" s="676">
        <v>-379517.67</v>
      </c>
      <c r="G462" s="377">
        <v>-379517.67</v>
      </c>
      <c r="H462" s="368">
        <v>-379517.67</v>
      </c>
      <c r="I462" s="368">
        <v>-607717.67000000004</v>
      </c>
      <c r="J462" s="369">
        <v>-607717.67000000004</v>
      </c>
      <c r="K462" s="370">
        <v>-607717.67000000004</v>
      </c>
      <c r="L462" s="371">
        <v>-703517.67</v>
      </c>
      <c r="M462" s="372">
        <v>-703517.67</v>
      </c>
      <c r="N462" s="373">
        <v>-703517.67</v>
      </c>
      <c r="O462" s="663">
        <v>-338797.26</v>
      </c>
      <c r="P462" s="374">
        <v>-91243.58</v>
      </c>
      <c r="Q462" s="378">
        <v>4.3655745685100601E-11</v>
      </c>
      <c r="R462" s="676">
        <v>-30100</v>
      </c>
      <c r="S462" s="551">
        <f t="shared" ref="S462:S684" si="124">((F462+R462)+((G462+H462+I462+J462+K462+L462+M462+N462+O462+P462+Q462)*2))/24</f>
        <v>-443965.91958333337</v>
      </c>
      <c r="T462" s="677"/>
      <c r="U462" s="716"/>
      <c r="V462" s="755">
        <f>+S462</f>
        <v>-443965.91958333337</v>
      </c>
      <c r="W462" s="755"/>
      <c r="X462" s="778"/>
      <c r="Y462" s="755"/>
      <c r="Z462" s="755"/>
      <c r="AA462" s="716"/>
      <c r="AB462" s="755"/>
      <c r="AC462" s="717"/>
      <c r="AD462" s="718">
        <f>+S462</f>
        <v>-443965.91958333337</v>
      </c>
      <c r="AE462" s="717"/>
      <c r="AF462" s="753"/>
    </row>
    <row r="463" spans="1:32">
      <c r="A463" s="677">
        <v>451</v>
      </c>
      <c r="B463" s="379" t="s">
        <v>981</v>
      </c>
      <c r="C463" s="379" t="s">
        <v>622</v>
      </c>
      <c r="D463" s="379" t="s">
        <v>494</v>
      </c>
      <c r="E463" s="662" t="s">
        <v>623</v>
      </c>
      <c r="F463" s="676">
        <v>-24135</v>
      </c>
      <c r="G463" s="676">
        <v>-24135</v>
      </c>
      <c r="H463" s="676">
        <v>-24135</v>
      </c>
      <c r="I463" s="676">
        <v>-24135</v>
      </c>
      <c r="J463" s="676">
        <v>-24135</v>
      </c>
      <c r="K463" s="676">
        <v>-24135</v>
      </c>
      <c r="L463" s="676">
        <v>-24135</v>
      </c>
      <c r="M463" s="676">
        <v>-24135</v>
      </c>
      <c r="N463" s="676">
        <v>-24135</v>
      </c>
      <c r="O463" s="676">
        <v>-24135</v>
      </c>
      <c r="P463" s="676">
        <v>-24135</v>
      </c>
      <c r="Q463" s="676">
        <v>-24135</v>
      </c>
      <c r="R463" s="676">
        <v>-24135</v>
      </c>
      <c r="S463" s="551">
        <f t="shared" si="124"/>
        <v>-24135</v>
      </c>
      <c r="T463" s="677"/>
      <c r="U463" s="716"/>
      <c r="V463" s="755">
        <f t="shared" ref="V463:V484" si="125">+S463</f>
        <v>-24135</v>
      </c>
      <c r="W463" s="755"/>
      <c r="X463" s="778"/>
      <c r="Y463" s="755"/>
      <c r="Z463" s="755"/>
      <c r="AA463" s="716"/>
      <c r="AB463" s="755"/>
      <c r="AC463" s="717"/>
      <c r="AD463" s="718">
        <f t="shared" ref="AD463:AD480" si="126">+V463</f>
        <v>-24135</v>
      </c>
      <c r="AE463" s="717"/>
      <c r="AF463" s="753">
        <f t="shared" si="116"/>
        <v>0</v>
      </c>
    </row>
    <row r="464" spans="1:32">
      <c r="A464" s="677">
        <v>452</v>
      </c>
      <c r="B464" s="379" t="s">
        <v>981</v>
      </c>
      <c r="C464" s="379" t="s">
        <v>607</v>
      </c>
      <c r="D464" s="379" t="s">
        <v>974</v>
      </c>
      <c r="E464" s="662" t="s">
        <v>1694</v>
      </c>
      <c r="F464" s="676">
        <v>9.3132257461547893E-10</v>
      </c>
      <c r="G464" s="676">
        <v>0</v>
      </c>
      <c r="H464" s="676">
        <v>0</v>
      </c>
      <c r="I464" s="676">
        <v>0</v>
      </c>
      <c r="J464" s="676">
        <v>0</v>
      </c>
      <c r="K464" s="676">
        <v>0</v>
      </c>
      <c r="L464" s="676">
        <v>0</v>
      </c>
      <c r="M464" s="676">
        <v>0</v>
      </c>
      <c r="N464" s="676">
        <v>0</v>
      </c>
      <c r="O464" s="676">
        <v>0</v>
      </c>
      <c r="P464" s="676">
        <v>0</v>
      </c>
      <c r="Q464" s="676">
        <v>0</v>
      </c>
      <c r="R464" s="676">
        <v>0</v>
      </c>
      <c r="S464" s="551">
        <f t="shared" si="124"/>
        <v>3.8805107275644955E-11</v>
      </c>
      <c r="T464" s="677"/>
      <c r="U464" s="716"/>
      <c r="V464" s="755">
        <f t="shared" si="125"/>
        <v>3.8805107275644955E-11</v>
      </c>
      <c r="W464" s="755"/>
      <c r="X464" s="778"/>
      <c r="Y464" s="755"/>
      <c r="Z464" s="755"/>
      <c r="AA464" s="716"/>
      <c r="AB464" s="755"/>
      <c r="AC464" s="717"/>
      <c r="AD464" s="718">
        <f t="shared" si="126"/>
        <v>3.8805107275644955E-11</v>
      </c>
      <c r="AE464" s="717"/>
      <c r="AF464" s="753">
        <f t="shared" si="116"/>
        <v>0</v>
      </c>
    </row>
    <row r="465" spans="1:32">
      <c r="A465" s="677">
        <v>453</v>
      </c>
      <c r="B465" s="379" t="s">
        <v>981</v>
      </c>
      <c r="C465" s="379" t="s">
        <v>608</v>
      </c>
      <c r="D465" s="379" t="s">
        <v>973</v>
      </c>
      <c r="E465" s="662" t="s">
        <v>1695</v>
      </c>
      <c r="F465" s="676">
        <v>-129565.47</v>
      </c>
      <c r="G465" s="676">
        <v>-154802.07</v>
      </c>
      <c r="H465" s="676">
        <v>-155416.01</v>
      </c>
      <c r="I465" s="676">
        <v>-167490.20000000001</v>
      </c>
      <c r="J465" s="676">
        <v>-104211.76</v>
      </c>
      <c r="K465" s="676">
        <v>-127291.67</v>
      </c>
      <c r="L465" s="676">
        <v>-130276.45</v>
      </c>
      <c r="M465" s="676">
        <v>-150713.28</v>
      </c>
      <c r="N465" s="676">
        <v>-168428.32</v>
      </c>
      <c r="O465" s="676">
        <v>-92548.62</v>
      </c>
      <c r="P465" s="676">
        <v>-114503.63</v>
      </c>
      <c r="Q465" s="676">
        <v>-119017.89</v>
      </c>
      <c r="R465" s="676">
        <v>-139783.25</v>
      </c>
      <c r="S465" s="551">
        <f t="shared" si="124"/>
        <v>-134947.85499999998</v>
      </c>
      <c r="T465" s="677"/>
      <c r="U465" s="716"/>
      <c r="V465" s="755">
        <f t="shared" si="125"/>
        <v>-134947.85499999998</v>
      </c>
      <c r="W465" s="755"/>
      <c r="X465" s="778"/>
      <c r="Y465" s="755"/>
      <c r="Z465" s="755"/>
      <c r="AA465" s="716"/>
      <c r="AB465" s="755"/>
      <c r="AC465" s="717"/>
      <c r="AD465" s="718">
        <f t="shared" si="126"/>
        <v>-134947.85499999998</v>
      </c>
      <c r="AE465" s="717"/>
      <c r="AF465" s="753">
        <f t="shared" si="116"/>
        <v>0</v>
      </c>
    </row>
    <row r="466" spans="1:32">
      <c r="A466" s="677">
        <v>454</v>
      </c>
      <c r="B466" s="379" t="s">
        <v>981</v>
      </c>
      <c r="C466" s="379" t="s">
        <v>608</v>
      </c>
      <c r="D466" s="379" t="s">
        <v>1216</v>
      </c>
      <c r="E466" s="662" t="s">
        <v>1696</v>
      </c>
      <c r="F466" s="676">
        <v>-91467.8</v>
      </c>
      <c r="G466" s="676">
        <v>-99661.6</v>
      </c>
      <c r="H466" s="676">
        <v>-34028.67</v>
      </c>
      <c r="I466" s="676">
        <v>-41411.040000000001</v>
      </c>
      <c r="J466" s="676">
        <v>-49001.66</v>
      </c>
      <c r="K466" s="676">
        <v>-61904.91</v>
      </c>
      <c r="L466" s="676">
        <v>-71772.570000000007</v>
      </c>
      <c r="M466" s="676">
        <v>-82456.28</v>
      </c>
      <c r="N466" s="676">
        <v>-92381.74</v>
      </c>
      <c r="O466" s="676">
        <v>-101952.82</v>
      </c>
      <c r="P466" s="676">
        <v>-120343.18</v>
      </c>
      <c r="Q466" s="676">
        <v>-134804.47</v>
      </c>
      <c r="R466" s="676">
        <v>-147991.14000000001</v>
      </c>
      <c r="S466" s="551">
        <f t="shared" si="124"/>
        <v>-84120.700833333321</v>
      </c>
      <c r="T466" s="677"/>
      <c r="U466" s="716"/>
      <c r="V466" s="755">
        <f t="shared" si="125"/>
        <v>-84120.700833333321</v>
      </c>
      <c r="W466" s="755"/>
      <c r="X466" s="778"/>
      <c r="Y466" s="755"/>
      <c r="Z466" s="755"/>
      <c r="AA466" s="716"/>
      <c r="AB466" s="755"/>
      <c r="AC466" s="717"/>
      <c r="AD466" s="718">
        <f t="shared" si="126"/>
        <v>-84120.700833333321</v>
      </c>
      <c r="AE466" s="717"/>
      <c r="AF466" s="753">
        <f t="shared" si="116"/>
        <v>0</v>
      </c>
    </row>
    <row r="467" spans="1:32">
      <c r="A467" s="677">
        <v>455</v>
      </c>
      <c r="B467" s="379" t="s">
        <v>981</v>
      </c>
      <c r="C467" s="379" t="s">
        <v>608</v>
      </c>
      <c r="D467" s="379" t="s">
        <v>974</v>
      </c>
      <c r="E467" s="662" t="s">
        <v>1697</v>
      </c>
      <c r="F467" s="676">
        <v>-10477.540000000001</v>
      </c>
      <c r="G467" s="676">
        <v>-15422.37</v>
      </c>
      <c r="H467" s="676">
        <v>-14310.3</v>
      </c>
      <c r="I467" s="676">
        <v>-14371.42</v>
      </c>
      <c r="J467" s="676">
        <v>-183.34000000000199</v>
      </c>
      <c r="K467" s="676">
        <v>-381.16000000000201</v>
      </c>
      <c r="L467" s="676">
        <v>-658.79000000000201</v>
      </c>
      <c r="M467" s="676">
        <v>-561.12000000000205</v>
      </c>
      <c r="N467" s="676">
        <v>-760.22000000000196</v>
      </c>
      <c r="O467" s="676">
        <v>-898.33000000000197</v>
      </c>
      <c r="P467" s="676">
        <v>-97.270000000002099</v>
      </c>
      <c r="Q467" s="676">
        <v>-194.88000000000201</v>
      </c>
      <c r="R467" s="676">
        <v>-11252.53</v>
      </c>
      <c r="S467" s="551">
        <f t="shared" si="124"/>
        <v>-4892.0195833333346</v>
      </c>
      <c r="T467" s="677"/>
      <c r="U467" s="716"/>
      <c r="V467" s="755">
        <f t="shared" si="125"/>
        <v>-4892.0195833333346</v>
      </c>
      <c r="W467" s="755"/>
      <c r="X467" s="778"/>
      <c r="Y467" s="755"/>
      <c r="Z467" s="755"/>
      <c r="AA467" s="716"/>
      <c r="AB467" s="755"/>
      <c r="AC467" s="717"/>
      <c r="AD467" s="718">
        <f t="shared" si="126"/>
        <v>-4892.0195833333346</v>
      </c>
      <c r="AE467" s="717"/>
      <c r="AF467" s="753">
        <f t="shared" si="116"/>
        <v>0</v>
      </c>
    </row>
    <row r="468" spans="1:32">
      <c r="A468" s="677">
        <v>456</v>
      </c>
      <c r="B468" s="379" t="s">
        <v>981</v>
      </c>
      <c r="C468" s="379" t="s">
        <v>608</v>
      </c>
      <c r="D468" s="379" t="s">
        <v>83</v>
      </c>
      <c r="E468" s="662" t="s">
        <v>1698</v>
      </c>
      <c r="F468" s="676">
        <v>-5803.23</v>
      </c>
      <c r="G468" s="676">
        <v>-11582.07</v>
      </c>
      <c r="H468" s="676">
        <v>-18648.330000000002</v>
      </c>
      <c r="I468" s="676">
        <v>-25096.81</v>
      </c>
      <c r="J468" s="676">
        <v>-9025.06</v>
      </c>
      <c r="K468" s="676">
        <v>-13022.16</v>
      </c>
      <c r="L468" s="676">
        <v>-14887</v>
      </c>
      <c r="M468" s="676">
        <v>-2948.76</v>
      </c>
      <c r="N468" s="676">
        <v>-3587.88</v>
      </c>
      <c r="O468" s="676">
        <v>-4258.08</v>
      </c>
      <c r="P468" s="676">
        <v>-847.91000000000201</v>
      </c>
      <c r="Q468" s="676">
        <v>-1289.18</v>
      </c>
      <c r="R468" s="676">
        <v>-5342.62</v>
      </c>
      <c r="S468" s="551">
        <f t="shared" si="124"/>
        <v>-9230.5137500000001</v>
      </c>
      <c r="T468" s="677"/>
      <c r="U468" s="716"/>
      <c r="V468" s="755">
        <f t="shared" si="125"/>
        <v>-9230.5137500000001</v>
      </c>
      <c r="W468" s="755"/>
      <c r="X468" s="778"/>
      <c r="Y468" s="755"/>
      <c r="Z468" s="755"/>
      <c r="AA468" s="716"/>
      <c r="AB468" s="755"/>
      <c r="AC468" s="717"/>
      <c r="AD468" s="718">
        <f t="shared" si="126"/>
        <v>-9230.5137500000001</v>
      </c>
      <c r="AE468" s="717"/>
      <c r="AF468" s="753">
        <f t="shared" si="116"/>
        <v>0</v>
      </c>
    </row>
    <row r="469" spans="1:32">
      <c r="A469" s="677">
        <v>457</v>
      </c>
      <c r="B469" s="379" t="s">
        <v>981</v>
      </c>
      <c r="C469" s="379" t="s">
        <v>608</v>
      </c>
      <c r="D469" s="677" t="s">
        <v>1185</v>
      </c>
      <c r="E469" s="662" t="s">
        <v>1699</v>
      </c>
      <c r="F469" s="676">
        <v>-985.4</v>
      </c>
      <c r="G469" s="676">
        <v>0</v>
      </c>
      <c r="H469" s="676">
        <v>0</v>
      </c>
      <c r="I469" s="676">
        <v>-5312.44</v>
      </c>
      <c r="J469" s="676">
        <v>0</v>
      </c>
      <c r="K469" s="676">
        <v>0</v>
      </c>
      <c r="L469" s="676">
        <v>-25079.21</v>
      </c>
      <c r="M469" s="676">
        <v>0</v>
      </c>
      <c r="N469" s="676">
        <v>0</v>
      </c>
      <c r="O469" s="676">
        <v>-27807.85</v>
      </c>
      <c r="P469" s="676">
        <v>-31732.3</v>
      </c>
      <c r="Q469" s="676">
        <v>-41733.56</v>
      </c>
      <c r="R469" s="676">
        <v>0</v>
      </c>
      <c r="S469" s="551">
        <f t="shared" si="124"/>
        <v>-11013.171666666667</v>
      </c>
      <c r="T469" s="677"/>
      <c r="U469" s="716"/>
      <c r="V469" s="755">
        <f t="shared" si="125"/>
        <v>-11013.171666666667</v>
      </c>
      <c r="W469" s="755"/>
      <c r="X469" s="778"/>
      <c r="Y469" s="755"/>
      <c r="Z469" s="755"/>
      <c r="AA469" s="716"/>
      <c r="AB469" s="755"/>
      <c r="AC469" s="717"/>
      <c r="AD469" s="718">
        <f t="shared" si="126"/>
        <v>-11013.171666666667</v>
      </c>
      <c r="AE469" s="717"/>
      <c r="AF469" s="753">
        <f t="shared" si="116"/>
        <v>0</v>
      </c>
    </row>
    <row r="470" spans="1:32">
      <c r="A470" s="677">
        <v>458</v>
      </c>
      <c r="B470" s="379" t="s">
        <v>981</v>
      </c>
      <c r="C470" s="379" t="s">
        <v>608</v>
      </c>
      <c r="D470" s="379" t="s">
        <v>1437</v>
      </c>
      <c r="E470" s="662" t="s">
        <v>1700</v>
      </c>
      <c r="F470" s="676">
        <v>0</v>
      </c>
      <c r="G470" s="676">
        <v>0</v>
      </c>
      <c r="H470" s="676">
        <v>0</v>
      </c>
      <c r="I470" s="676">
        <v>-1781.97</v>
      </c>
      <c r="J470" s="676">
        <v>852.74</v>
      </c>
      <c r="K470" s="676">
        <v>852.74</v>
      </c>
      <c r="L470" s="676">
        <v>-1709.42</v>
      </c>
      <c r="M470" s="676">
        <v>852.74</v>
      </c>
      <c r="N470" s="676">
        <v>13.11</v>
      </c>
      <c r="O470" s="676">
        <v>-895.76</v>
      </c>
      <c r="P470" s="676">
        <v>-306.87</v>
      </c>
      <c r="Q470" s="676">
        <v>-548.22</v>
      </c>
      <c r="R470" s="676">
        <v>-766.71</v>
      </c>
      <c r="S470" s="551">
        <f t="shared" si="124"/>
        <v>-254.52208333333331</v>
      </c>
      <c r="T470" s="677"/>
      <c r="U470" s="716"/>
      <c r="V470" s="755">
        <f t="shared" si="125"/>
        <v>-254.52208333333331</v>
      </c>
      <c r="W470" s="755"/>
      <c r="X470" s="778"/>
      <c r="Y470" s="755"/>
      <c r="Z470" s="755"/>
      <c r="AA470" s="716"/>
      <c r="AB470" s="755"/>
      <c r="AC470" s="717"/>
      <c r="AD470" s="718">
        <f t="shared" si="126"/>
        <v>-254.52208333333331</v>
      </c>
      <c r="AE470" s="717"/>
      <c r="AF470" s="753">
        <f t="shared" si="116"/>
        <v>0</v>
      </c>
    </row>
    <row r="471" spans="1:32">
      <c r="A471" s="677">
        <v>459</v>
      </c>
      <c r="B471" s="379" t="s">
        <v>981</v>
      </c>
      <c r="C471" s="379" t="s">
        <v>608</v>
      </c>
      <c r="D471" s="379" t="s">
        <v>106</v>
      </c>
      <c r="E471" s="662" t="s">
        <v>1701</v>
      </c>
      <c r="F471" s="676">
        <v>-9109.7999999999993</v>
      </c>
      <c r="G471" s="676">
        <v>-17034.45</v>
      </c>
      <c r="H471" s="676">
        <v>-28797.9</v>
      </c>
      <c r="I471" s="676">
        <v>-37576.379999999997</v>
      </c>
      <c r="J471" s="676">
        <v>-11906.16</v>
      </c>
      <c r="K471" s="676">
        <v>51711.99</v>
      </c>
      <c r="L471" s="676">
        <v>47225.06</v>
      </c>
      <c r="M471" s="676">
        <v>43899.66</v>
      </c>
      <c r="N471" s="676">
        <v>-8675.73</v>
      </c>
      <c r="O471" s="676">
        <v>-10195.17</v>
      </c>
      <c r="P471" s="676">
        <v>-1543.67</v>
      </c>
      <c r="Q471" s="676">
        <v>-2272.86</v>
      </c>
      <c r="R471" s="676">
        <v>-10011.82</v>
      </c>
      <c r="S471" s="551">
        <f t="shared" si="124"/>
        <v>1272.798333333332</v>
      </c>
      <c r="T471" s="677"/>
      <c r="U471" s="716"/>
      <c r="V471" s="755">
        <f t="shared" si="125"/>
        <v>1272.798333333332</v>
      </c>
      <c r="W471" s="755"/>
      <c r="X471" s="778"/>
      <c r="Y471" s="755"/>
      <c r="Z471" s="755"/>
      <c r="AA471" s="716"/>
      <c r="AB471" s="755"/>
      <c r="AC471" s="717"/>
      <c r="AD471" s="718">
        <f t="shared" si="126"/>
        <v>1272.798333333332</v>
      </c>
      <c r="AE471" s="717"/>
      <c r="AF471" s="753">
        <f t="shared" si="116"/>
        <v>0</v>
      </c>
    </row>
    <row r="472" spans="1:32">
      <c r="A472" s="677">
        <v>460</v>
      </c>
      <c r="B472" s="379" t="s">
        <v>981</v>
      </c>
      <c r="C472" s="379" t="s">
        <v>608</v>
      </c>
      <c r="D472" s="379" t="s">
        <v>1438</v>
      </c>
      <c r="E472" s="662" t="s">
        <v>1702</v>
      </c>
      <c r="F472" s="676">
        <v>-71423.69</v>
      </c>
      <c r="G472" s="676">
        <v>0</v>
      </c>
      <c r="H472" s="676">
        <v>0</v>
      </c>
      <c r="I472" s="676">
        <v>-78265.179999999993</v>
      </c>
      <c r="J472" s="676">
        <v>0</v>
      </c>
      <c r="K472" s="676">
        <v>0</v>
      </c>
      <c r="L472" s="676">
        <v>-146828.9</v>
      </c>
      <c r="M472" s="676">
        <v>-3548.45999999999</v>
      </c>
      <c r="N472" s="676">
        <v>8.1854523159563493E-12</v>
      </c>
      <c r="O472" s="676">
        <v>-82589.990000000005</v>
      </c>
      <c r="P472" s="676">
        <v>-108008.53</v>
      </c>
      <c r="Q472" s="676">
        <v>-55569.09</v>
      </c>
      <c r="R472" s="676">
        <v>-79962.61</v>
      </c>
      <c r="S472" s="551">
        <f t="shared" si="124"/>
        <v>-45875.274999999994</v>
      </c>
      <c r="T472" s="677"/>
      <c r="U472" s="716"/>
      <c r="V472" s="755">
        <f t="shared" si="125"/>
        <v>-45875.274999999994</v>
      </c>
      <c r="W472" s="755"/>
      <c r="X472" s="778"/>
      <c r="Y472" s="755"/>
      <c r="Z472" s="755"/>
      <c r="AA472" s="716"/>
      <c r="AB472" s="755"/>
      <c r="AC472" s="717"/>
      <c r="AD472" s="718">
        <f t="shared" si="126"/>
        <v>-45875.274999999994</v>
      </c>
      <c r="AE472" s="717"/>
      <c r="AF472" s="753">
        <f t="shared" si="116"/>
        <v>0</v>
      </c>
    </row>
    <row r="473" spans="1:32">
      <c r="A473" s="677">
        <v>461</v>
      </c>
      <c r="B473" s="379" t="s">
        <v>981</v>
      </c>
      <c r="C473" s="379" t="s">
        <v>608</v>
      </c>
      <c r="D473" s="379" t="s">
        <v>1940</v>
      </c>
      <c r="E473" s="662" t="s">
        <v>1702</v>
      </c>
      <c r="F473" s="676">
        <v>0</v>
      </c>
      <c r="G473" s="676">
        <v>-6089.54</v>
      </c>
      <c r="H473" s="676">
        <v>-16011.4</v>
      </c>
      <c r="I473" s="676">
        <v>-25667.31</v>
      </c>
      <c r="J473" s="676">
        <v>-33140.21</v>
      </c>
      <c r="K473" s="676">
        <v>-13082.53</v>
      </c>
      <c r="L473" s="676">
        <v>-20607.52</v>
      </c>
      <c r="M473" s="676">
        <v>-28197.32</v>
      </c>
      <c r="N473" s="676">
        <v>-19606.07</v>
      </c>
      <c r="O473" s="676">
        <v>-26881.07</v>
      </c>
      <c r="P473" s="676">
        <v>-34787.53</v>
      </c>
      <c r="Q473" s="676">
        <v>-16447.91</v>
      </c>
      <c r="R473" s="676">
        <v>-23699.43</v>
      </c>
      <c r="S473" s="551">
        <f t="shared" si="124"/>
        <v>-21030.677083333332</v>
      </c>
      <c r="T473" s="677"/>
      <c r="U473" s="716"/>
      <c r="V473" s="755">
        <f>+S473</f>
        <v>-21030.677083333332</v>
      </c>
      <c r="W473" s="755"/>
      <c r="X473" s="778"/>
      <c r="Y473" s="755"/>
      <c r="Z473" s="755"/>
      <c r="AA473" s="716"/>
      <c r="AB473" s="755"/>
      <c r="AC473" s="717"/>
      <c r="AD473" s="718">
        <f t="shared" si="126"/>
        <v>-21030.677083333332</v>
      </c>
      <c r="AE473" s="717"/>
      <c r="AF473" s="753">
        <f t="shared" si="116"/>
        <v>0</v>
      </c>
    </row>
    <row r="474" spans="1:32">
      <c r="A474" s="677">
        <v>462</v>
      </c>
      <c r="B474" s="379" t="s">
        <v>981</v>
      </c>
      <c r="C474" s="379" t="s">
        <v>609</v>
      </c>
      <c r="D474" s="379"/>
      <c r="E474" s="662" t="s">
        <v>1703</v>
      </c>
      <c r="F474" s="676">
        <v>-4512.1000000000004</v>
      </c>
      <c r="G474" s="676">
        <v>-8005.13</v>
      </c>
      <c r="H474" s="676">
        <v>-2175.64</v>
      </c>
      <c r="I474" s="676">
        <v>-16022.16</v>
      </c>
      <c r="J474" s="676">
        <v>-1720.98</v>
      </c>
      <c r="K474" s="676">
        <v>-17838.740000000002</v>
      </c>
      <c r="L474" s="676">
        <v>-550.78000000000202</v>
      </c>
      <c r="M474" s="676">
        <v>-2048</v>
      </c>
      <c r="N474" s="676">
        <v>-8330.27</v>
      </c>
      <c r="O474" s="676">
        <v>-7944.76</v>
      </c>
      <c r="P474" s="676">
        <v>-6135.49</v>
      </c>
      <c r="Q474" s="676">
        <v>-6993.22</v>
      </c>
      <c r="R474" s="676">
        <v>-11696.45</v>
      </c>
      <c r="S474" s="551">
        <f t="shared" si="124"/>
        <v>-7155.7870833333327</v>
      </c>
      <c r="T474" s="677"/>
      <c r="U474" s="716"/>
      <c r="V474" s="755">
        <f t="shared" si="125"/>
        <v>-7155.7870833333327</v>
      </c>
      <c r="W474" s="755"/>
      <c r="X474" s="778"/>
      <c r="Y474" s="755"/>
      <c r="Z474" s="755"/>
      <c r="AA474" s="716"/>
      <c r="AB474" s="755"/>
      <c r="AC474" s="717"/>
      <c r="AD474" s="718">
        <f t="shared" si="126"/>
        <v>-7155.7870833333327</v>
      </c>
      <c r="AE474" s="717"/>
      <c r="AF474" s="753">
        <f t="shared" si="116"/>
        <v>0</v>
      </c>
    </row>
    <row r="475" spans="1:32">
      <c r="A475" s="677">
        <v>463</v>
      </c>
      <c r="B475" s="379" t="s">
        <v>984</v>
      </c>
      <c r="C475" s="379" t="s">
        <v>609</v>
      </c>
      <c r="D475" s="379" t="s">
        <v>528</v>
      </c>
      <c r="E475" s="662" t="s">
        <v>1734</v>
      </c>
      <c r="F475" s="676">
        <v>-26.14</v>
      </c>
      <c r="G475" s="676">
        <v>0</v>
      </c>
      <c r="H475" s="676">
        <v>-20.87</v>
      </c>
      <c r="I475" s="676">
        <v>0</v>
      </c>
      <c r="J475" s="676">
        <v>0</v>
      </c>
      <c r="K475" s="676">
        <v>-72.22</v>
      </c>
      <c r="L475" s="676">
        <v>-21.68</v>
      </c>
      <c r="M475" s="676">
        <v>-21</v>
      </c>
      <c r="N475" s="676">
        <v>-46.58</v>
      </c>
      <c r="O475" s="676">
        <v>-8.9999999999996305E-2</v>
      </c>
      <c r="P475" s="676">
        <v>-5.25</v>
      </c>
      <c r="Q475" s="676">
        <v>3.5527136788005001E-15</v>
      </c>
      <c r="R475" s="676">
        <v>-13.91</v>
      </c>
      <c r="S475" s="551">
        <f t="shared" si="124"/>
        <v>-17.309583333333336</v>
      </c>
      <c r="T475" s="677"/>
      <c r="U475" s="716"/>
      <c r="V475" s="755">
        <f t="shared" si="125"/>
        <v>-17.309583333333336</v>
      </c>
      <c r="W475" s="755"/>
      <c r="X475" s="778"/>
      <c r="Y475" s="755"/>
      <c r="Z475" s="755"/>
      <c r="AA475" s="716"/>
      <c r="AB475" s="755"/>
      <c r="AC475" s="717"/>
      <c r="AD475" s="718">
        <f t="shared" si="126"/>
        <v>-17.309583333333336</v>
      </c>
      <c r="AE475" s="717"/>
      <c r="AF475" s="753">
        <f t="shared" si="116"/>
        <v>0</v>
      </c>
    </row>
    <row r="476" spans="1:32">
      <c r="A476" s="677">
        <v>464</v>
      </c>
      <c r="B476" s="379" t="s">
        <v>1009</v>
      </c>
      <c r="C476" s="379" t="s">
        <v>610</v>
      </c>
      <c r="D476" s="379" t="s">
        <v>973</v>
      </c>
      <c r="E476" s="662" t="s">
        <v>1735</v>
      </c>
      <c r="F476" s="676">
        <v>0</v>
      </c>
      <c r="G476" s="676">
        <v>0</v>
      </c>
      <c r="H476" s="676">
        <v>0</v>
      </c>
      <c r="I476" s="676">
        <v>0</v>
      </c>
      <c r="J476" s="676">
        <v>0</v>
      </c>
      <c r="K476" s="676">
        <v>0</v>
      </c>
      <c r="L476" s="676">
        <v>0</v>
      </c>
      <c r="M476" s="676">
        <v>-157394</v>
      </c>
      <c r="N476" s="676">
        <v>-314788</v>
      </c>
      <c r="O476" s="676">
        <v>-472182</v>
      </c>
      <c r="P476" s="676">
        <v>-629576</v>
      </c>
      <c r="Q476" s="676">
        <v>0</v>
      </c>
      <c r="R476" s="676">
        <v>0</v>
      </c>
      <c r="S476" s="551">
        <f t="shared" si="124"/>
        <v>-131161.66666666666</v>
      </c>
      <c r="T476" s="677"/>
      <c r="U476" s="716"/>
      <c r="V476" s="755">
        <f t="shared" si="125"/>
        <v>-131161.66666666666</v>
      </c>
      <c r="W476" s="755"/>
      <c r="X476" s="778"/>
      <c r="Y476" s="755"/>
      <c r="Z476" s="755"/>
      <c r="AA476" s="716"/>
      <c r="AB476" s="755"/>
      <c r="AC476" s="717"/>
      <c r="AD476" s="718">
        <f t="shared" si="126"/>
        <v>-131161.66666666666</v>
      </c>
      <c r="AE476" s="717"/>
      <c r="AF476" s="753">
        <f t="shared" si="116"/>
        <v>0</v>
      </c>
    </row>
    <row r="477" spans="1:32">
      <c r="A477" s="677">
        <v>465</v>
      </c>
      <c r="B477" s="379" t="s">
        <v>1009</v>
      </c>
      <c r="C477" s="379" t="s">
        <v>610</v>
      </c>
      <c r="D477" s="379" t="s">
        <v>483</v>
      </c>
      <c r="E477" s="662" t="s">
        <v>1725</v>
      </c>
      <c r="F477" s="676">
        <v>-709456.17</v>
      </c>
      <c r="G477" s="676">
        <v>-544458.74</v>
      </c>
      <c r="H477" s="676">
        <v>-781478.16</v>
      </c>
      <c r="I477" s="676">
        <v>-1007790.95</v>
      </c>
      <c r="J477" s="676">
        <v>-383831.59</v>
      </c>
      <c r="K477" s="676">
        <v>-405417.44</v>
      </c>
      <c r="L477" s="676">
        <v>-452361.79</v>
      </c>
      <c r="M477" s="676">
        <v>-148123.29</v>
      </c>
      <c r="N477" s="676">
        <v>-199462.39</v>
      </c>
      <c r="O477" s="676">
        <v>-279629.99</v>
      </c>
      <c r="P477" s="676">
        <v>-293035.52000000002</v>
      </c>
      <c r="Q477" s="676">
        <v>-564104.62</v>
      </c>
      <c r="R477" s="676">
        <v>-920291.67</v>
      </c>
      <c r="S477" s="551">
        <f t="shared" si="124"/>
        <v>-489547.36666666664</v>
      </c>
      <c r="T477" s="677"/>
      <c r="U477" s="716"/>
      <c r="V477" s="755">
        <f t="shared" si="125"/>
        <v>-489547.36666666664</v>
      </c>
      <c r="W477" s="755"/>
      <c r="X477" s="778"/>
      <c r="Y477" s="755"/>
      <c r="Z477" s="755"/>
      <c r="AA477" s="716"/>
      <c r="AB477" s="755"/>
      <c r="AC477" s="717"/>
      <c r="AD477" s="718">
        <f t="shared" si="126"/>
        <v>-489547.36666666664</v>
      </c>
      <c r="AE477" s="717"/>
      <c r="AF477" s="753">
        <f t="shared" si="116"/>
        <v>0</v>
      </c>
    </row>
    <row r="478" spans="1:32">
      <c r="A478" s="677">
        <v>466</v>
      </c>
      <c r="B478" s="379" t="s">
        <v>984</v>
      </c>
      <c r="C478" s="379" t="s">
        <v>610</v>
      </c>
      <c r="D478" s="379" t="s">
        <v>973</v>
      </c>
      <c r="E478" s="662" t="s">
        <v>1735</v>
      </c>
      <c r="F478" s="676">
        <v>-2609583</v>
      </c>
      <c r="G478" s="676">
        <v>-2837921</v>
      </c>
      <c r="H478" s="676">
        <v>-3066259</v>
      </c>
      <c r="I478" s="676">
        <v>-3294597</v>
      </c>
      <c r="J478" s="676">
        <v>-1999040.86</v>
      </c>
      <c r="K478" s="676">
        <v>-2181038.86</v>
      </c>
      <c r="L478" s="676">
        <v>-2400108.86</v>
      </c>
      <c r="M478" s="676">
        <v>-2619178.86</v>
      </c>
      <c r="N478" s="676">
        <v>-1861990</v>
      </c>
      <c r="O478" s="676">
        <v>-2094739</v>
      </c>
      <c r="P478" s="676">
        <v>-2327488</v>
      </c>
      <c r="Q478" s="676">
        <v>-2560237</v>
      </c>
      <c r="R478" s="676">
        <v>-2792986</v>
      </c>
      <c r="S478" s="551">
        <f t="shared" si="124"/>
        <v>-2495323.5783333331</v>
      </c>
      <c r="T478" s="677"/>
      <c r="U478" s="716"/>
      <c r="V478" s="755">
        <f t="shared" si="125"/>
        <v>-2495323.5783333331</v>
      </c>
      <c r="W478" s="755"/>
      <c r="X478" s="778"/>
      <c r="Y478" s="755"/>
      <c r="Z478" s="755"/>
      <c r="AA478" s="716"/>
      <c r="AB478" s="755"/>
      <c r="AC478" s="717"/>
      <c r="AD478" s="718">
        <f t="shared" si="126"/>
        <v>-2495323.5783333331</v>
      </c>
      <c r="AE478" s="717"/>
      <c r="AF478" s="753">
        <f t="shared" si="116"/>
        <v>0</v>
      </c>
    </row>
    <row r="479" spans="1:32">
      <c r="A479" s="677">
        <v>467</v>
      </c>
      <c r="B479" s="379" t="s">
        <v>984</v>
      </c>
      <c r="C479" s="379" t="s">
        <v>610</v>
      </c>
      <c r="D479" s="379" t="s">
        <v>483</v>
      </c>
      <c r="E479" s="662" t="s">
        <v>1725</v>
      </c>
      <c r="F479" s="676">
        <v>-21934.62</v>
      </c>
      <c r="G479" s="676">
        <v>-27430.560000000001</v>
      </c>
      <c r="H479" s="676">
        <v>-27532.13</v>
      </c>
      <c r="I479" s="676">
        <v>-31135.78</v>
      </c>
      <c r="J479" s="676">
        <v>-21019.8</v>
      </c>
      <c r="K479" s="676">
        <v>-16692.04</v>
      </c>
      <c r="L479" s="676">
        <v>-9390.43</v>
      </c>
      <c r="M479" s="676">
        <v>-8255.4699999999993</v>
      </c>
      <c r="N479" s="676">
        <v>-7374.55</v>
      </c>
      <c r="O479" s="676">
        <v>-7184.47</v>
      </c>
      <c r="P479" s="676">
        <v>-9990.31</v>
      </c>
      <c r="Q479" s="676">
        <v>-18401.5</v>
      </c>
      <c r="R479" s="676">
        <v>-27823.65</v>
      </c>
      <c r="S479" s="551">
        <f t="shared" si="124"/>
        <v>-17440.514583333334</v>
      </c>
      <c r="T479" s="677"/>
      <c r="U479" s="716"/>
      <c r="V479" s="755">
        <f t="shared" si="125"/>
        <v>-17440.514583333334</v>
      </c>
      <c r="W479" s="755"/>
      <c r="X479" s="778"/>
      <c r="Y479" s="755"/>
      <c r="Z479" s="755"/>
      <c r="AA479" s="716"/>
      <c r="AB479" s="755"/>
      <c r="AC479" s="717"/>
      <c r="AD479" s="718">
        <f t="shared" si="126"/>
        <v>-17440.514583333334</v>
      </c>
      <c r="AE479" s="717"/>
      <c r="AF479" s="753">
        <f t="shared" si="116"/>
        <v>0</v>
      </c>
    </row>
    <row r="480" spans="1:32">
      <c r="A480" s="677">
        <v>468</v>
      </c>
      <c r="B480" s="379" t="s">
        <v>984</v>
      </c>
      <c r="C480" s="379" t="s">
        <v>610</v>
      </c>
      <c r="D480" s="379" t="s">
        <v>485</v>
      </c>
      <c r="E480" s="662" t="s">
        <v>1736</v>
      </c>
      <c r="F480" s="676">
        <v>-1426163.81</v>
      </c>
      <c r="G480" s="676">
        <v>-1358985.08</v>
      </c>
      <c r="H480" s="676">
        <v>-1649868.15</v>
      </c>
      <c r="I480" s="676">
        <v>-2005953.53</v>
      </c>
      <c r="J480" s="676">
        <v>-998560.67</v>
      </c>
      <c r="K480" s="676">
        <v>-806779.99</v>
      </c>
      <c r="L480" s="676">
        <v>-710886.74</v>
      </c>
      <c r="M480" s="676">
        <v>-425571.72</v>
      </c>
      <c r="N480" s="676">
        <v>-472240.06</v>
      </c>
      <c r="O480" s="676">
        <v>-511907.33</v>
      </c>
      <c r="P480" s="676">
        <v>-639920.81000000006</v>
      </c>
      <c r="Q480" s="676">
        <v>-1159905.6000000001</v>
      </c>
      <c r="R480" s="676">
        <v>-1879892.94</v>
      </c>
      <c r="S480" s="551">
        <f t="shared" si="124"/>
        <v>-1032800.67125</v>
      </c>
      <c r="T480" s="677"/>
      <c r="U480" s="716"/>
      <c r="V480" s="755">
        <f t="shared" si="125"/>
        <v>-1032800.67125</v>
      </c>
      <c r="W480" s="755"/>
      <c r="X480" s="778"/>
      <c r="Y480" s="755"/>
      <c r="Z480" s="755"/>
      <c r="AA480" s="716"/>
      <c r="AB480" s="755"/>
      <c r="AC480" s="717"/>
      <c r="AD480" s="718">
        <f t="shared" si="126"/>
        <v>-1032800.67125</v>
      </c>
      <c r="AE480" s="717"/>
      <c r="AF480" s="753">
        <f t="shared" si="116"/>
        <v>0</v>
      </c>
    </row>
    <row r="481" spans="1:32">
      <c r="A481" s="677">
        <v>469</v>
      </c>
      <c r="B481" s="379" t="s">
        <v>984</v>
      </c>
      <c r="C481" s="379" t="s">
        <v>610</v>
      </c>
      <c r="D481" s="379" t="s">
        <v>457</v>
      </c>
      <c r="E481" s="662" t="s">
        <v>1737</v>
      </c>
      <c r="F481" s="676">
        <v>-9882.26</v>
      </c>
      <c r="G481" s="676">
        <v>-9787.02</v>
      </c>
      <c r="H481" s="676">
        <v>-11182.37</v>
      </c>
      <c r="I481" s="676">
        <v>-12538.43</v>
      </c>
      <c r="J481" s="676">
        <v>-5768.13</v>
      </c>
      <c r="K481" s="676">
        <v>-3224</v>
      </c>
      <c r="L481" s="676">
        <v>-2199.13</v>
      </c>
      <c r="M481" s="676">
        <v>-1917.07</v>
      </c>
      <c r="N481" s="676">
        <v>-3151.52</v>
      </c>
      <c r="O481" s="676">
        <v>-2793.12</v>
      </c>
      <c r="P481" s="676">
        <v>-5690.58</v>
      </c>
      <c r="Q481" s="676">
        <v>-8672.2199999999993</v>
      </c>
      <c r="R481" s="676">
        <v>-11504.29</v>
      </c>
      <c r="S481" s="551">
        <f t="shared" si="124"/>
        <v>-6468.0720833333326</v>
      </c>
      <c r="T481" s="677"/>
      <c r="U481" s="716"/>
      <c r="V481" s="755">
        <f t="shared" si="125"/>
        <v>-6468.0720833333326</v>
      </c>
      <c r="W481" s="755"/>
      <c r="X481" s="778"/>
      <c r="Y481" s="755"/>
      <c r="Z481" s="755"/>
      <c r="AA481" s="716"/>
      <c r="AB481" s="755"/>
      <c r="AC481" s="723"/>
      <c r="AD481" s="718">
        <f>+S481</f>
        <v>-6468.0720833333326</v>
      </c>
      <c r="AE481" s="717"/>
      <c r="AF481" s="753">
        <f t="shared" si="116"/>
        <v>0</v>
      </c>
    </row>
    <row r="482" spans="1:32">
      <c r="A482" s="677">
        <v>470</v>
      </c>
      <c r="B482" s="379" t="s">
        <v>984</v>
      </c>
      <c r="C482" s="379" t="s">
        <v>610</v>
      </c>
      <c r="D482" s="379" t="s">
        <v>488</v>
      </c>
      <c r="E482" s="662" t="s">
        <v>1738</v>
      </c>
      <c r="F482" s="676">
        <v>-1344.79</v>
      </c>
      <c r="G482" s="676">
        <v>-643.51</v>
      </c>
      <c r="H482" s="676">
        <v>-1365.44</v>
      </c>
      <c r="I482" s="676">
        <v>-2110.3000000000002</v>
      </c>
      <c r="J482" s="676">
        <v>-428.78</v>
      </c>
      <c r="K482" s="676">
        <v>-863.85</v>
      </c>
      <c r="L482" s="676">
        <v>-1162.3800000000001</v>
      </c>
      <c r="M482" s="676">
        <v>-283.02999999999997</v>
      </c>
      <c r="N482" s="676">
        <v>-539.02</v>
      </c>
      <c r="O482" s="676">
        <v>-772.18</v>
      </c>
      <c r="P482" s="676">
        <v>-370.96</v>
      </c>
      <c r="Q482" s="676">
        <v>-935.52</v>
      </c>
      <c r="R482" s="676">
        <v>-1630.39</v>
      </c>
      <c r="S482" s="551">
        <f t="shared" si="124"/>
        <v>-913.54666666666662</v>
      </c>
      <c r="T482" s="677"/>
      <c r="U482" s="716"/>
      <c r="V482" s="755">
        <f t="shared" si="125"/>
        <v>-913.54666666666662</v>
      </c>
      <c r="W482" s="755"/>
      <c r="X482" s="778"/>
      <c r="Y482" s="755"/>
      <c r="Z482" s="755"/>
      <c r="AA482" s="716"/>
      <c r="AB482" s="755"/>
      <c r="AC482" s="717"/>
      <c r="AD482" s="718">
        <f t="shared" ref="AD482:AD483" si="127">+S482</f>
        <v>-913.54666666666662</v>
      </c>
      <c r="AE482" s="717"/>
      <c r="AF482" s="753">
        <f t="shared" si="116"/>
        <v>0</v>
      </c>
    </row>
    <row r="483" spans="1:32">
      <c r="A483" s="677">
        <v>471</v>
      </c>
      <c r="B483" s="379" t="s">
        <v>984</v>
      </c>
      <c r="C483" s="379" t="s">
        <v>610</v>
      </c>
      <c r="D483" s="379" t="s">
        <v>1227</v>
      </c>
      <c r="E483" s="662" t="s">
        <v>1739</v>
      </c>
      <c r="F483" s="676">
        <v>-460550.9</v>
      </c>
      <c r="G483" s="676">
        <v>-519326.43</v>
      </c>
      <c r="H483" s="676">
        <v>-581865.69999999995</v>
      </c>
      <c r="I483" s="676">
        <v>-649970.06000000006</v>
      </c>
      <c r="J483" s="676">
        <v>-243797.94</v>
      </c>
      <c r="K483" s="676">
        <v>-262177.25</v>
      </c>
      <c r="L483" s="676">
        <v>-282839.92</v>
      </c>
      <c r="M483" s="676">
        <v>-301393.96999999997</v>
      </c>
      <c r="N483" s="676">
        <v>-319341.24</v>
      </c>
      <c r="O483" s="676">
        <v>-337096.42</v>
      </c>
      <c r="P483" s="676">
        <v>-365854.16</v>
      </c>
      <c r="Q483" s="676">
        <v>-411437.86</v>
      </c>
      <c r="R483" s="676">
        <v>-479297.52</v>
      </c>
      <c r="S483" s="551">
        <f t="shared" si="124"/>
        <v>-395418.76333333337</v>
      </c>
      <c r="T483" s="677"/>
      <c r="U483" s="716"/>
      <c r="V483" s="755">
        <f t="shared" si="125"/>
        <v>-395418.76333333337</v>
      </c>
      <c r="W483" s="755"/>
      <c r="X483" s="778"/>
      <c r="Y483" s="755"/>
      <c r="Z483" s="755"/>
      <c r="AA483" s="716"/>
      <c r="AB483" s="755"/>
      <c r="AC483" s="717"/>
      <c r="AD483" s="718">
        <f t="shared" si="127"/>
        <v>-395418.76333333337</v>
      </c>
      <c r="AE483" s="717"/>
      <c r="AF483" s="753">
        <f t="shared" si="116"/>
        <v>0</v>
      </c>
    </row>
    <row r="484" spans="1:32">
      <c r="A484" s="677">
        <v>472</v>
      </c>
      <c r="B484" s="379" t="s">
        <v>984</v>
      </c>
      <c r="C484" s="379" t="s">
        <v>610</v>
      </c>
      <c r="D484" s="379" t="s">
        <v>1228</v>
      </c>
      <c r="E484" s="662" t="s">
        <v>1740</v>
      </c>
      <c r="F484" s="676">
        <v>-1722879.56</v>
      </c>
      <c r="G484" s="676">
        <v>-1846427.53</v>
      </c>
      <c r="H484" s="676">
        <v>-2077328.43</v>
      </c>
      <c r="I484" s="676">
        <v>-1910216.81</v>
      </c>
      <c r="J484" s="676">
        <v>-1204070.96</v>
      </c>
      <c r="K484" s="676">
        <v>-823833.01</v>
      </c>
      <c r="L484" s="676">
        <v>-592575.56000000006</v>
      </c>
      <c r="M484" s="676">
        <v>-555151.97</v>
      </c>
      <c r="N484" s="676">
        <v>-493032.53</v>
      </c>
      <c r="O484" s="676">
        <v>-585370.29</v>
      </c>
      <c r="P484" s="676">
        <v>-1066739.44</v>
      </c>
      <c r="Q484" s="676">
        <v>-1718966.4</v>
      </c>
      <c r="R484" s="676">
        <v>-2281478.2999999998</v>
      </c>
      <c r="S484" s="551">
        <f t="shared" si="124"/>
        <v>-1239657.655</v>
      </c>
      <c r="T484" s="677"/>
      <c r="U484" s="716"/>
      <c r="V484" s="755">
        <f t="shared" si="125"/>
        <v>-1239657.655</v>
      </c>
      <c r="W484" s="755"/>
      <c r="X484" s="778"/>
      <c r="Y484" s="755"/>
      <c r="Z484" s="755"/>
      <c r="AA484" s="716"/>
      <c r="AB484" s="755"/>
      <c r="AC484" s="717"/>
      <c r="AD484" s="718">
        <f>+V484</f>
        <v>-1239657.655</v>
      </c>
      <c r="AE484" s="717"/>
      <c r="AF484" s="753">
        <f t="shared" si="116"/>
        <v>0</v>
      </c>
    </row>
    <row r="485" spans="1:32">
      <c r="A485" s="677">
        <v>473</v>
      </c>
      <c r="B485" s="379" t="s">
        <v>981</v>
      </c>
      <c r="C485" s="379" t="s">
        <v>611</v>
      </c>
      <c r="D485" s="677" t="s">
        <v>1141</v>
      </c>
      <c r="E485" s="662" t="s">
        <v>612</v>
      </c>
      <c r="F485" s="676">
        <v>-2960000</v>
      </c>
      <c r="G485" s="676">
        <v>0</v>
      </c>
      <c r="H485" s="676">
        <v>-2960000</v>
      </c>
      <c r="I485" s="676">
        <v>-2960000</v>
      </c>
      <c r="J485" s="676">
        <v>0</v>
      </c>
      <c r="K485" s="676">
        <v>-2480000</v>
      </c>
      <c r="L485" s="676">
        <v>-2480000</v>
      </c>
      <c r="M485" s="676">
        <v>0</v>
      </c>
      <c r="N485" s="676">
        <v>-2480000</v>
      </c>
      <c r="O485" s="676">
        <v>-2480000</v>
      </c>
      <c r="P485" s="676">
        <v>0</v>
      </c>
      <c r="Q485" s="676">
        <v>-2480000</v>
      </c>
      <c r="R485" s="676">
        <v>-2480000</v>
      </c>
      <c r="S485" s="551">
        <f t="shared" si="124"/>
        <v>-1753333.3333333333</v>
      </c>
      <c r="T485" s="677"/>
      <c r="U485" s="716"/>
      <c r="V485" s="724"/>
      <c r="W485" s="755">
        <f>+S485</f>
        <v>-1753333.3333333333</v>
      </c>
      <c r="X485" s="778"/>
      <c r="Y485" s="755"/>
      <c r="Z485" s="755"/>
      <c r="AA485" s="716"/>
      <c r="AB485" s="755"/>
      <c r="AC485" s="718">
        <f>+W485</f>
        <v>-1753333.3333333333</v>
      </c>
      <c r="AD485" s="723"/>
      <c r="AE485" s="717"/>
      <c r="AF485" s="753">
        <f t="shared" si="116"/>
        <v>0</v>
      </c>
    </row>
    <row r="486" spans="1:32">
      <c r="A486" s="677">
        <v>474</v>
      </c>
      <c r="B486" s="379" t="s">
        <v>1009</v>
      </c>
      <c r="C486" s="379" t="s">
        <v>613</v>
      </c>
      <c r="D486" s="677" t="s">
        <v>1215</v>
      </c>
      <c r="E486" s="662" t="s">
        <v>614</v>
      </c>
      <c r="F486" s="676">
        <v>-214551.55</v>
      </c>
      <c r="G486" s="676">
        <v>-218550.05</v>
      </c>
      <c r="H486" s="676">
        <v>-218801.9</v>
      </c>
      <c r="I486" s="676">
        <v>-215999.99</v>
      </c>
      <c r="J486" s="676">
        <v>-198295.26</v>
      </c>
      <c r="K486" s="676">
        <v>-182418.51</v>
      </c>
      <c r="L486" s="676">
        <v>-179669.64</v>
      </c>
      <c r="M486" s="676">
        <v>-168647.67999999999</v>
      </c>
      <c r="N486" s="676">
        <v>-153082.81</v>
      </c>
      <c r="O486" s="676">
        <v>-144606.22</v>
      </c>
      <c r="P486" s="676">
        <v>-129804.87</v>
      </c>
      <c r="Q486" s="676">
        <v>-123427.45</v>
      </c>
      <c r="R486" s="676">
        <v>-118440.31</v>
      </c>
      <c r="S486" s="551">
        <f t="shared" si="124"/>
        <v>-174983.35916666666</v>
      </c>
      <c r="T486" s="677"/>
      <c r="U486" s="716"/>
      <c r="V486" s="724"/>
      <c r="W486" s="755"/>
      <c r="X486" s="755">
        <f>+S486</f>
        <v>-174983.35916666666</v>
      </c>
      <c r="Y486" s="755"/>
      <c r="Z486" s="755"/>
      <c r="AA486" s="716"/>
      <c r="AB486" s="718">
        <f>+X486</f>
        <v>-174983.35916666666</v>
      </c>
      <c r="AC486" s="717"/>
      <c r="AD486" s="723"/>
      <c r="AE486" s="717"/>
      <c r="AF486" s="753">
        <f t="shared" si="116"/>
        <v>0</v>
      </c>
    </row>
    <row r="487" spans="1:32">
      <c r="A487" s="677">
        <v>475</v>
      </c>
      <c r="B487" s="379" t="s">
        <v>984</v>
      </c>
      <c r="C487" s="379" t="s">
        <v>613</v>
      </c>
      <c r="D487" s="379" t="s">
        <v>1215</v>
      </c>
      <c r="E487" s="662" t="s">
        <v>614</v>
      </c>
      <c r="F487" s="676">
        <v>-678553.58</v>
      </c>
      <c r="G487" s="676">
        <v>-698877.64</v>
      </c>
      <c r="H487" s="676">
        <v>-702196.65</v>
      </c>
      <c r="I487" s="676">
        <v>-680853.69</v>
      </c>
      <c r="J487" s="676">
        <v>-649266.05000000005</v>
      </c>
      <c r="K487" s="676">
        <v>-625554.4</v>
      </c>
      <c r="L487" s="676">
        <v>-613318.13</v>
      </c>
      <c r="M487" s="676">
        <v>-627299.59</v>
      </c>
      <c r="N487" s="676">
        <v>-610978.82999999996</v>
      </c>
      <c r="O487" s="676">
        <v>-619300.19999999995</v>
      </c>
      <c r="P487" s="676">
        <v>-623094.34</v>
      </c>
      <c r="Q487" s="676">
        <v>-647407.01</v>
      </c>
      <c r="R487" s="676">
        <v>-664878.92000000004</v>
      </c>
      <c r="S487" s="551">
        <f t="shared" si="124"/>
        <v>-647488.56500000006</v>
      </c>
      <c r="T487" s="677"/>
      <c r="U487" s="716"/>
      <c r="V487" s="724"/>
      <c r="W487" s="755"/>
      <c r="X487" s="755">
        <f>+S487</f>
        <v>-647488.56500000006</v>
      </c>
      <c r="Y487" s="755"/>
      <c r="Z487" s="755"/>
      <c r="AA487" s="716"/>
      <c r="AB487" s="718">
        <f>+X487</f>
        <v>-647488.56500000006</v>
      </c>
      <c r="AC487" s="717"/>
      <c r="AD487" s="723"/>
      <c r="AE487" s="717"/>
      <c r="AF487" s="753">
        <f t="shared" si="116"/>
        <v>0</v>
      </c>
    </row>
    <row r="488" spans="1:32">
      <c r="A488" s="677">
        <v>476</v>
      </c>
      <c r="B488" s="379" t="s">
        <v>981</v>
      </c>
      <c r="C488" s="379" t="s">
        <v>615</v>
      </c>
      <c r="D488" s="379" t="s">
        <v>473</v>
      </c>
      <c r="E488" s="662" t="s">
        <v>1704</v>
      </c>
      <c r="F488" s="676">
        <v>-374000</v>
      </c>
      <c r="G488" s="676">
        <v>-498666.67</v>
      </c>
      <c r="H488" s="676">
        <v>-623333.34</v>
      </c>
      <c r="I488" s="676">
        <v>-748000</v>
      </c>
      <c r="J488" s="676">
        <v>-124666.67</v>
      </c>
      <c r="K488" s="676">
        <v>-249333.34</v>
      </c>
      <c r="L488" s="676">
        <v>-374000</v>
      </c>
      <c r="M488" s="676">
        <v>-498666.67</v>
      </c>
      <c r="N488" s="676">
        <v>-623333.34</v>
      </c>
      <c r="O488" s="676">
        <v>-748000</v>
      </c>
      <c r="P488" s="676">
        <v>-124666.67</v>
      </c>
      <c r="Q488" s="676">
        <v>-249333.34</v>
      </c>
      <c r="R488" s="676">
        <v>-374000</v>
      </c>
      <c r="S488" s="551">
        <f t="shared" si="124"/>
        <v>-436333.33666666661</v>
      </c>
      <c r="T488" s="677"/>
      <c r="U488" s="716"/>
      <c r="V488" s="755">
        <f t="shared" ref="V488:V531" si="128">+S488</f>
        <v>-436333.33666666661</v>
      </c>
      <c r="W488" s="755"/>
      <c r="X488" s="778"/>
      <c r="Y488" s="755"/>
      <c r="Z488" s="755"/>
      <c r="AA488" s="716"/>
      <c r="AB488" s="755"/>
      <c r="AC488" s="717"/>
      <c r="AD488" s="718">
        <f t="shared" ref="AD488:AD545" si="129">+V488</f>
        <v>-436333.33666666661</v>
      </c>
      <c r="AE488" s="717"/>
      <c r="AF488" s="753">
        <f t="shared" si="116"/>
        <v>0</v>
      </c>
    </row>
    <row r="489" spans="1:32">
      <c r="A489" s="677">
        <v>477</v>
      </c>
      <c r="B489" s="379" t="s">
        <v>981</v>
      </c>
      <c r="C489" s="379" t="s">
        <v>615</v>
      </c>
      <c r="D489" s="379" t="s">
        <v>475</v>
      </c>
      <c r="E489" s="662" t="s">
        <v>1705</v>
      </c>
      <c r="F489" s="676">
        <v>-266175</v>
      </c>
      <c r="G489" s="676">
        <v>-354900</v>
      </c>
      <c r="H489" s="676">
        <v>-443625</v>
      </c>
      <c r="I489" s="676">
        <v>-532350</v>
      </c>
      <c r="J489" s="676">
        <v>-88725</v>
      </c>
      <c r="K489" s="676">
        <v>-177450</v>
      </c>
      <c r="L489" s="676">
        <v>-266175</v>
      </c>
      <c r="M489" s="676">
        <v>-354900</v>
      </c>
      <c r="N489" s="676">
        <v>-443625</v>
      </c>
      <c r="O489" s="676">
        <v>-532350</v>
      </c>
      <c r="P489" s="676">
        <v>-88725</v>
      </c>
      <c r="Q489" s="676">
        <v>-177450</v>
      </c>
      <c r="R489" s="676">
        <v>-266175</v>
      </c>
      <c r="S489" s="551">
        <f t="shared" si="124"/>
        <v>-310537.5</v>
      </c>
      <c r="T489" s="677"/>
      <c r="U489" s="716"/>
      <c r="V489" s="755">
        <f t="shared" si="128"/>
        <v>-310537.5</v>
      </c>
      <c r="W489" s="755"/>
      <c r="X489" s="778"/>
      <c r="Y489" s="755"/>
      <c r="Z489" s="755"/>
      <c r="AA489" s="716"/>
      <c r="AB489" s="755"/>
      <c r="AC489" s="717"/>
      <c r="AD489" s="718">
        <f t="shared" si="129"/>
        <v>-310537.5</v>
      </c>
      <c r="AE489" s="717"/>
      <c r="AF489" s="753">
        <f t="shared" si="116"/>
        <v>0</v>
      </c>
    </row>
    <row r="490" spans="1:32">
      <c r="A490" s="677">
        <v>478</v>
      </c>
      <c r="B490" s="379" t="s">
        <v>981</v>
      </c>
      <c r="C490" s="379" t="s">
        <v>615</v>
      </c>
      <c r="D490" s="379" t="s">
        <v>477</v>
      </c>
      <c r="E490" s="662" t="s">
        <v>1706</v>
      </c>
      <c r="F490" s="676">
        <v>-213158.76</v>
      </c>
      <c r="G490" s="676">
        <v>-319738.13</v>
      </c>
      <c r="H490" s="676">
        <v>-106491.88</v>
      </c>
      <c r="I490" s="676">
        <v>-212983.76</v>
      </c>
      <c r="J490" s="676">
        <v>-319475.63</v>
      </c>
      <c r="K490" s="676">
        <v>-106089.38</v>
      </c>
      <c r="L490" s="676">
        <v>-212178.76</v>
      </c>
      <c r="M490" s="676">
        <v>-318268.13</v>
      </c>
      <c r="N490" s="676">
        <v>-106045.63</v>
      </c>
      <c r="O490" s="676">
        <v>-212091.26</v>
      </c>
      <c r="P490" s="676">
        <v>-318136.88</v>
      </c>
      <c r="Q490" s="676">
        <v>-105936.25</v>
      </c>
      <c r="R490" s="676">
        <v>-211872.5</v>
      </c>
      <c r="S490" s="551">
        <f t="shared" si="124"/>
        <v>-212495.94333333333</v>
      </c>
      <c r="T490" s="677"/>
      <c r="U490" s="716"/>
      <c r="V490" s="755">
        <f t="shared" si="128"/>
        <v>-212495.94333333333</v>
      </c>
      <c r="W490" s="755"/>
      <c r="X490" s="778"/>
      <c r="Y490" s="755"/>
      <c r="Z490" s="755"/>
      <c r="AA490" s="716"/>
      <c r="AB490" s="755"/>
      <c r="AC490" s="717"/>
      <c r="AD490" s="718">
        <f t="shared" si="129"/>
        <v>-212495.94333333333</v>
      </c>
      <c r="AE490" s="717"/>
      <c r="AF490" s="753">
        <f t="shared" si="116"/>
        <v>0</v>
      </c>
    </row>
    <row r="491" spans="1:32">
      <c r="A491" s="677">
        <v>479</v>
      </c>
      <c r="B491" s="379" t="s">
        <v>981</v>
      </c>
      <c r="C491" s="379" t="s">
        <v>615</v>
      </c>
      <c r="D491" s="379" t="s">
        <v>479</v>
      </c>
      <c r="E491" s="662" t="s">
        <v>1707</v>
      </c>
      <c r="F491" s="676">
        <v>-260500</v>
      </c>
      <c r="G491" s="676">
        <v>-325625</v>
      </c>
      <c r="H491" s="676">
        <v>-390750</v>
      </c>
      <c r="I491" s="676">
        <v>-65125</v>
      </c>
      <c r="J491" s="676">
        <v>-130250</v>
      </c>
      <c r="K491" s="676">
        <v>-195375</v>
      </c>
      <c r="L491" s="676">
        <v>-260500</v>
      </c>
      <c r="M491" s="676">
        <v>-325625</v>
      </c>
      <c r="N491" s="676">
        <v>-390750</v>
      </c>
      <c r="O491" s="676">
        <v>-65125</v>
      </c>
      <c r="P491" s="676">
        <v>-130250</v>
      </c>
      <c r="Q491" s="676">
        <v>-195375</v>
      </c>
      <c r="R491" s="676">
        <v>-260500</v>
      </c>
      <c r="S491" s="551">
        <f t="shared" si="124"/>
        <v>-227937.5</v>
      </c>
      <c r="T491" s="677"/>
      <c r="U491" s="716"/>
      <c r="V491" s="755">
        <f t="shared" si="128"/>
        <v>-227937.5</v>
      </c>
      <c r="W491" s="755"/>
      <c r="X491" s="778"/>
      <c r="Y491" s="755"/>
      <c r="Z491" s="755"/>
      <c r="AA491" s="716"/>
      <c r="AB491" s="755"/>
      <c r="AC491" s="717"/>
      <c r="AD491" s="718">
        <f t="shared" si="129"/>
        <v>-227937.5</v>
      </c>
      <c r="AE491" s="717"/>
      <c r="AF491" s="753">
        <f t="shared" si="116"/>
        <v>0</v>
      </c>
    </row>
    <row r="492" spans="1:32">
      <c r="A492" s="677">
        <v>480</v>
      </c>
      <c r="B492" s="379" t="s">
        <v>981</v>
      </c>
      <c r="C492" s="379" t="s">
        <v>615</v>
      </c>
      <c r="D492" s="379" t="s">
        <v>481</v>
      </c>
      <c r="E492" s="662" t="s">
        <v>1708</v>
      </c>
      <c r="F492" s="676">
        <v>-772000</v>
      </c>
      <c r="G492" s="676">
        <v>-965000</v>
      </c>
      <c r="H492" s="676">
        <v>-1158000</v>
      </c>
      <c r="I492" s="676">
        <v>-193000</v>
      </c>
      <c r="J492" s="676">
        <v>-386000</v>
      </c>
      <c r="K492" s="676">
        <v>-579000</v>
      </c>
      <c r="L492" s="676">
        <v>-772000</v>
      </c>
      <c r="M492" s="676">
        <v>-965000</v>
      </c>
      <c r="N492" s="676">
        <v>-1158000</v>
      </c>
      <c r="O492" s="676">
        <v>-193000</v>
      </c>
      <c r="P492" s="676">
        <v>-386000</v>
      </c>
      <c r="Q492" s="676">
        <v>-579000</v>
      </c>
      <c r="R492" s="676">
        <v>-772000</v>
      </c>
      <c r="S492" s="551">
        <f t="shared" si="124"/>
        <v>-675500</v>
      </c>
      <c r="T492" s="677"/>
      <c r="U492" s="716"/>
      <c r="V492" s="755">
        <f t="shared" si="128"/>
        <v>-675500</v>
      </c>
      <c r="W492" s="755"/>
      <c r="X492" s="778"/>
      <c r="Y492" s="755"/>
      <c r="Z492" s="755"/>
      <c r="AA492" s="716"/>
      <c r="AB492" s="755"/>
      <c r="AC492" s="717"/>
      <c r="AD492" s="718">
        <f t="shared" si="129"/>
        <v>-675500</v>
      </c>
      <c r="AE492" s="717"/>
      <c r="AF492" s="753">
        <f t="shared" si="116"/>
        <v>0</v>
      </c>
    </row>
    <row r="493" spans="1:32">
      <c r="A493" s="677">
        <v>481</v>
      </c>
      <c r="B493" s="379" t="s">
        <v>981</v>
      </c>
      <c r="C493" s="379" t="s">
        <v>615</v>
      </c>
      <c r="D493" s="379" t="s">
        <v>483</v>
      </c>
      <c r="E493" s="662" t="s">
        <v>1709</v>
      </c>
      <c r="F493" s="676">
        <v>-342500</v>
      </c>
      <c r="G493" s="676">
        <v>-428125</v>
      </c>
      <c r="H493" s="676">
        <v>0</v>
      </c>
      <c r="I493" s="676">
        <v>-85625</v>
      </c>
      <c r="J493" s="676">
        <v>-171250</v>
      </c>
      <c r="K493" s="676">
        <v>-256875</v>
      </c>
      <c r="L493" s="676">
        <v>-342500</v>
      </c>
      <c r="M493" s="676">
        <v>-428125</v>
      </c>
      <c r="N493" s="676">
        <v>0</v>
      </c>
      <c r="O493" s="676">
        <v>-85625</v>
      </c>
      <c r="P493" s="676">
        <v>-171250</v>
      </c>
      <c r="Q493" s="676">
        <v>-256875</v>
      </c>
      <c r="R493" s="676">
        <v>-342500</v>
      </c>
      <c r="S493" s="551">
        <f t="shared" si="124"/>
        <v>-214062.5</v>
      </c>
      <c r="T493" s="677"/>
      <c r="U493" s="716"/>
      <c r="V493" s="755">
        <f t="shared" si="128"/>
        <v>-214062.5</v>
      </c>
      <c r="W493" s="755"/>
      <c r="X493" s="778"/>
      <c r="Y493" s="755"/>
      <c r="Z493" s="755"/>
      <c r="AA493" s="716"/>
      <c r="AB493" s="755"/>
      <c r="AC493" s="717"/>
      <c r="AD493" s="718">
        <f t="shared" si="129"/>
        <v>-214062.5</v>
      </c>
      <c r="AE493" s="717"/>
      <c r="AF493" s="753">
        <f t="shared" si="116"/>
        <v>0</v>
      </c>
    </row>
    <row r="494" spans="1:32">
      <c r="A494" s="677">
        <v>482</v>
      </c>
      <c r="B494" s="379" t="s">
        <v>981</v>
      </c>
      <c r="C494" s="379" t="s">
        <v>615</v>
      </c>
      <c r="D494" s="379" t="s">
        <v>485</v>
      </c>
      <c r="E494" s="662" t="s">
        <v>1710</v>
      </c>
      <c r="F494" s="676">
        <v>-363333.33</v>
      </c>
      <c r="G494" s="676">
        <v>-454166.66</v>
      </c>
      <c r="H494" s="676">
        <v>-5.8207660913467401E-11</v>
      </c>
      <c r="I494" s="676">
        <v>-90833.330000000104</v>
      </c>
      <c r="J494" s="676">
        <v>-181666.66</v>
      </c>
      <c r="K494" s="676">
        <v>-272500</v>
      </c>
      <c r="L494" s="676">
        <v>-363333.33</v>
      </c>
      <c r="M494" s="676">
        <v>-454166.66</v>
      </c>
      <c r="N494" s="676">
        <v>-1.16415321826935E-10</v>
      </c>
      <c r="O494" s="676">
        <v>-90833.330000000104</v>
      </c>
      <c r="P494" s="676">
        <v>-181666.66</v>
      </c>
      <c r="Q494" s="676">
        <v>-272500</v>
      </c>
      <c r="R494" s="676">
        <v>-363333.33</v>
      </c>
      <c r="S494" s="551">
        <f t="shared" si="124"/>
        <v>-227083.33</v>
      </c>
      <c r="T494" s="677"/>
      <c r="U494" s="716"/>
      <c r="V494" s="755">
        <f t="shared" si="128"/>
        <v>-227083.33</v>
      </c>
      <c r="W494" s="755"/>
      <c r="X494" s="778"/>
      <c r="Y494" s="755"/>
      <c r="Z494" s="755"/>
      <c r="AA494" s="716"/>
      <c r="AB494" s="755"/>
      <c r="AC494" s="717"/>
      <c r="AD494" s="718">
        <f t="shared" si="129"/>
        <v>-227083.33</v>
      </c>
      <c r="AE494" s="717"/>
      <c r="AF494" s="753">
        <f t="shared" si="116"/>
        <v>0</v>
      </c>
    </row>
    <row r="495" spans="1:32">
      <c r="A495" s="677">
        <v>483</v>
      </c>
      <c r="B495" s="379" t="s">
        <v>981</v>
      </c>
      <c r="C495" s="379" t="s">
        <v>615</v>
      </c>
      <c r="D495" s="379" t="s">
        <v>488</v>
      </c>
      <c r="E495" s="662" t="s">
        <v>1711</v>
      </c>
      <c r="F495" s="676">
        <v>-42604.17</v>
      </c>
      <c r="G495" s="676">
        <v>-85208.34</v>
      </c>
      <c r="H495" s="676">
        <v>-127812.5</v>
      </c>
      <c r="I495" s="676">
        <v>-170416.67</v>
      </c>
      <c r="J495" s="676">
        <v>-213020.84</v>
      </c>
      <c r="K495" s="676">
        <v>2.91038304567337E-11</v>
      </c>
      <c r="L495" s="676">
        <v>-42604.17</v>
      </c>
      <c r="M495" s="676">
        <v>-85208.34</v>
      </c>
      <c r="N495" s="676">
        <v>-127812.5</v>
      </c>
      <c r="O495" s="676">
        <v>-170416.67</v>
      </c>
      <c r="P495" s="676">
        <v>-213020.84</v>
      </c>
      <c r="Q495" s="676">
        <v>2.91038304567337E-11</v>
      </c>
      <c r="R495" s="676">
        <v>-42604.17</v>
      </c>
      <c r="S495" s="551">
        <f t="shared" si="124"/>
        <v>-106510.42</v>
      </c>
      <c r="T495" s="677"/>
      <c r="U495" s="716"/>
      <c r="V495" s="755">
        <f t="shared" si="128"/>
        <v>-106510.42</v>
      </c>
      <c r="W495" s="755"/>
      <c r="X495" s="778"/>
      <c r="Y495" s="755"/>
      <c r="Z495" s="755"/>
      <c r="AA495" s="716"/>
      <c r="AB495" s="755"/>
      <c r="AC495" s="717"/>
      <c r="AD495" s="718">
        <f t="shared" si="129"/>
        <v>-106510.42</v>
      </c>
      <c r="AE495" s="717"/>
      <c r="AF495" s="753">
        <f t="shared" si="116"/>
        <v>0</v>
      </c>
    </row>
    <row r="496" spans="1:32">
      <c r="A496" s="677">
        <v>484</v>
      </c>
      <c r="B496" s="379" t="s">
        <v>981</v>
      </c>
      <c r="C496" s="379" t="s">
        <v>615</v>
      </c>
      <c r="D496" s="379" t="s">
        <v>489</v>
      </c>
      <c r="E496" s="662" t="s">
        <v>1712</v>
      </c>
      <c r="F496" s="676">
        <v>-44166.67</v>
      </c>
      <c r="G496" s="676">
        <v>-88333.34</v>
      </c>
      <c r="H496" s="676">
        <v>-132500</v>
      </c>
      <c r="I496" s="676">
        <v>-176666.67</v>
      </c>
      <c r="J496" s="676">
        <v>-220833.34</v>
      </c>
      <c r="K496" s="676">
        <v>2.91038304567337E-11</v>
      </c>
      <c r="L496" s="676">
        <v>-44166.67</v>
      </c>
      <c r="M496" s="676">
        <v>-88333.34</v>
      </c>
      <c r="N496" s="676">
        <v>-132500</v>
      </c>
      <c r="O496" s="676">
        <v>-176666.67</v>
      </c>
      <c r="P496" s="676">
        <v>-220833.34</v>
      </c>
      <c r="Q496" s="676">
        <v>2.91038304567337E-11</v>
      </c>
      <c r="R496" s="676">
        <v>-44166.67</v>
      </c>
      <c r="S496" s="551">
        <f t="shared" si="124"/>
        <v>-110416.67</v>
      </c>
      <c r="T496" s="677"/>
      <c r="U496" s="716"/>
      <c r="V496" s="755">
        <f t="shared" si="128"/>
        <v>-110416.67</v>
      </c>
      <c r="W496" s="755"/>
      <c r="X496" s="778"/>
      <c r="Y496" s="755"/>
      <c r="Z496" s="755"/>
      <c r="AA496" s="716"/>
      <c r="AB496" s="755"/>
      <c r="AC496" s="717"/>
      <c r="AD496" s="718">
        <f t="shared" si="129"/>
        <v>-110416.67</v>
      </c>
      <c r="AE496" s="717"/>
      <c r="AF496" s="753">
        <f t="shared" si="116"/>
        <v>0</v>
      </c>
    </row>
    <row r="497" spans="1:32">
      <c r="A497" s="677">
        <v>485</v>
      </c>
      <c r="B497" s="379" t="s">
        <v>981</v>
      </c>
      <c r="C497" s="379" t="s">
        <v>615</v>
      </c>
      <c r="D497" s="379" t="s">
        <v>490</v>
      </c>
      <c r="E497" s="662" t="s">
        <v>1713</v>
      </c>
      <c r="F497" s="676">
        <v>-213020.83</v>
      </c>
      <c r="G497" s="676">
        <v>0</v>
      </c>
      <c r="H497" s="676">
        <v>-42604.17</v>
      </c>
      <c r="I497" s="676">
        <v>-85208.34</v>
      </c>
      <c r="J497" s="676">
        <v>-127812.5</v>
      </c>
      <c r="K497" s="676">
        <v>-170416.67</v>
      </c>
      <c r="L497" s="676">
        <v>-213020.84</v>
      </c>
      <c r="M497" s="676">
        <v>2.91038304567337E-11</v>
      </c>
      <c r="N497" s="676">
        <v>-42604.17</v>
      </c>
      <c r="O497" s="676">
        <v>-85208.34</v>
      </c>
      <c r="P497" s="676">
        <v>-127812.5</v>
      </c>
      <c r="Q497" s="676">
        <v>-170416.67</v>
      </c>
      <c r="R497" s="676">
        <v>-213020.84</v>
      </c>
      <c r="S497" s="551">
        <f t="shared" si="124"/>
        <v>-106510.41958333332</v>
      </c>
      <c r="T497" s="677"/>
      <c r="U497" s="716"/>
      <c r="V497" s="755">
        <f t="shared" si="128"/>
        <v>-106510.41958333332</v>
      </c>
      <c r="W497" s="755"/>
      <c r="X497" s="778"/>
      <c r="Y497" s="755"/>
      <c r="Z497" s="755"/>
      <c r="AA497" s="716"/>
      <c r="AB497" s="755"/>
      <c r="AC497" s="717"/>
      <c r="AD497" s="718">
        <f t="shared" si="129"/>
        <v>-106510.41958333332</v>
      </c>
      <c r="AE497" s="717"/>
      <c r="AF497" s="753">
        <f t="shared" si="116"/>
        <v>0</v>
      </c>
    </row>
    <row r="498" spans="1:32">
      <c r="A498" s="677">
        <v>486</v>
      </c>
      <c r="B498" s="379" t="s">
        <v>981</v>
      </c>
      <c r="C498" s="379" t="s">
        <v>615</v>
      </c>
      <c r="D498" s="379" t="s">
        <v>491</v>
      </c>
      <c r="E498" s="662" t="s">
        <v>1714</v>
      </c>
      <c r="F498" s="676">
        <v>-220833.33</v>
      </c>
      <c r="G498" s="676">
        <v>0</v>
      </c>
      <c r="H498" s="676">
        <v>-44166.67</v>
      </c>
      <c r="I498" s="676">
        <v>-88333.34</v>
      </c>
      <c r="J498" s="676">
        <v>-132500</v>
      </c>
      <c r="K498" s="676">
        <v>-176666.67</v>
      </c>
      <c r="L498" s="676">
        <v>-220833.34</v>
      </c>
      <c r="M498" s="676">
        <v>2.91038304567337E-11</v>
      </c>
      <c r="N498" s="676">
        <v>-44166.67</v>
      </c>
      <c r="O498" s="676">
        <v>-88333.34</v>
      </c>
      <c r="P498" s="676">
        <v>-132500</v>
      </c>
      <c r="Q498" s="676">
        <v>-176666.67</v>
      </c>
      <c r="R498" s="676">
        <v>-220833.34</v>
      </c>
      <c r="S498" s="551">
        <f t="shared" si="124"/>
        <v>-110416.66958333332</v>
      </c>
      <c r="T498" s="677"/>
      <c r="U498" s="716"/>
      <c r="V498" s="755">
        <f t="shared" si="128"/>
        <v>-110416.66958333332</v>
      </c>
      <c r="W498" s="755"/>
      <c r="X498" s="778"/>
      <c r="Y498" s="755"/>
      <c r="Z498" s="755"/>
      <c r="AA498" s="716"/>
      <c r="AB498" s="755"/>
      <c r="AC498" s="717"/>
      <c r="AD498" s="718">
        <f t="shared" si="129"/>
        <v>-110416.66958333332</v>
      </c>
      <c r="AE498" s="717"/>
      <c r="AF498" s="753">
        <f t="shared" si="116"/>
        <v>0</v>
      </c>
    </row>
    <row r="499" spans="1:32">
      <c r="A499" s="677">
        <v>487</v>
      </c>
      <c r="B499" s="379" t="s">
        <v>981</v>
      </c>
      <c r="C499" s="379" t="s">
        <v>615</v>
      </c>
      <c r="D499" s="379" t="s">
        <v>1900</v>
      </c>
      <c r="E499" s="662" t="s">
        <v>1941</v>
      </c>
      <c r="F499" s="676">
        <v>0</v>
      </c>
      <c r="G499" s="676">
        <v>0</v>
      </c>
      <c r="H499" s="676">
        <v>0</v>
      </c>
      <c r="I499" s="676">
        <v>0</v>
      </c>
      <c r="J499" s="676">
        <v>0</v>
      </c>
      <c r="K499" s="676">
        <v>0</v>
      </c>
      <c r="L499" s="676">
        <v>-75416.67</v>
      </c>
      <c r="M499" s="676">
        <v>-150833.34</v>
      </c>
      <c r="N499" s="676">
        <v>-226250</v>
      </c>
      <c r="O499" s="676">
        <v>-301666.67</v>
      </c>
      <c r="P499" s="676">
        <v>-377083.34</v>
      </c>
      <c r="Q499" s="676">
        <v>-452500</v>
      </c>
      <c r="R499" s="676">
        <v>-75416.67</v>
      </c>
      <c r="S499" s="551">
        <f t="shared" si="124"/>
        <v>-135121.52958333332</v>
      </c>
      <c r="T499" s="677"/>
      <c r="U499" s="716"/>
      <c r="V499" s="755">
        <f>+S499</f>
        <v>-135121.52958333332</v>
      </c>
      <c r="W499" s="755"/>
      <c r="X499" s="778"/>
      <c r="Y499" s="755"/>
      <c r="Z499" s="755"/>
      <c r="AA499" s="716"/>
      <c r="AB499" s="755"/>
      <c r="AC499" s="717"/>
      <c r="AD499" s="718">
        <f t="shared" si="129"/>
        <v>-135121.52958333332</v>
      </c>
      <c r="AE499" s="717"/>
      <c r="AF499" s="753">
        <f t="shared" si="116"/>
        <v>0</v>
      </c>
    </row>
    <row r="500" spans="1:32">
      <c r="A500" s="677">
        <v>488</v>
      </c>
      <c r="B500" s="379" t="s">
        <v>981</v>
      </c>
      <c r="C500" s="379" t="s">
        <v>615</v>
      </c>
      <c r="D500" s="379" t="s">
        <v>1902</v>
      </c>
      <c r="E500" s="662" t="s">
        <v>1942</v>
      </c>
      <c r="F500" s="676">
        <v>0</v>
      </c>
      <c r="G500" s="676">
        <v>0</v>
      </c>
      <c r="H500" s="676">
        <v>0</v>
      </c>
      <c r="I500" s="676">
        <v>0</v>
      </c>
      <c r="J500" s="676">
        <v>0</v>
      </c>
      <c r="K500" s="676">
        <v>0</v>
      </c>
      <c r="L500" s="676">
        <v>-63666.67</v>
      </c>
      <c r="M500" s="676">
        <v>-127333.34</v>
      </c>
      <c r="N500" s="676">
        <v>-191000</v>
      </c>
      <c r="O500" s="676">
        <v>-254666.67</v>
      </c>
      <c r="P500" s="676">
        <v>-318333.34000000003</v>
      </c>
      <c r="Q500" s="676">
        <v>-382000</v>
      </c>
      <c r="R500" s="676">
        <v>-63666.67</v>
      </c>
      <c r="S500" s="551">
        <f t="shared" si="124"/>
        <v>-114069.44624999999</v>
      </c>
      <c r="T500" s="677"/>
      <c r="U500" s="716"/>
      <c r="V500" s="755">
        <f>+S500</f>
        <v>-114069.44624999999</v>
      </c>
      <c r="W500" s="755"/>
      <c r="X500" s="778"/>
      <c r="Y500" s="755"/>
      <c r="Z500" s="755"/>
      <c r="AA500" s="716"/>
      <c r="AB500" s="755"/>
      <c r="AC500" s="717"/>
      <c r="AD500" s="718">
        <f t="shared" si="129"/>
        <v>-114069.44624999999</v>
      </c>
      <c r="AE500" s="717"/>
      <c r="AF500" s="753">
        <f t="shared" si="116"/>
        <v>0</v>
      </c>
    </row>
    <row r="501" spans="1:32">
      <c r="A501" s="677">
        <v>489</v>
      </c>
      <c r="B501" s="379" t="s">
        <v>981</v>
      </c>
      <c r="C501" s="379" t="s">
        <v>615</v>
      </c>
      <c r="D501" s="379" t="s">
        <v>1904</v>
      </c>
      <c r="E501" s="662" t="s">
        <v>1943</v>
      </c>
      <c r="F501" s="676">
        <v>0</v>
      </c>
      <c r="G501" s="676">
        <v>0</v>
      </c>
      <c r="H501" s="676">
        <v>0</v>
      </c>
      <c r="I501" s="676">
        <v>0</v>
      </c>
      <c r="J501" s="676">
        <v>0</v>
      </c>
      <c r="K501" s="676">
        <v>0</v>
      </c>
      <c r="L501" s="676">
        <v>-106500</v>
      </c>
      <c r="M501" s="676">
        <v>-213000</v>
      </c>
      <c r="N501" s="676">
        <v>-319500</v>
      </c>
      <c r="O501" s="676">
        <v>-426000</v>
      </c>
      <c r="P501" s="676">
        <v>-532500</v>
      </c>
      <c r="Q501" s="676">
        <v>-639000</v>
      </c>
      <c r="R501" s="676">
        <v>-106500</v>
      </c>
      <c r="S501" s="551">
        <f t="shared" si="124"/>
        <v>-190812.5</v>
      </c>
      <c r="T501" s="677"/>
      <c r="U501" s="716"/>
      <c r="V501" s="755">
        <f>+S501</f>
        <v>-190812.5</v>
      </c>
      <c r="W501" s="755"/>
      <c r="X501" s="778"/>
      <c r="Y501" s="755"/>
      <c r="Z501" s="755"/>
      <c r="AA501" s="716"/>
      <c r="AB501" s="755"/>
      <c r="AC501" s="717"/>
      <c r="AD501" s="718">
        <f t="shared" si="129"/>
        <v>-190812.5</v>
      </c>
      <c r="AE501" s="717"/>
      <c r="AF501" s="753">
        <f t="shared" si="116"/>
        <v>0</v>
      </c>
    </row>
    <row r="502" spans="1:32">
      <c r="A502" s="677">
        <v>490</v>
      </c>
      <c r="B502" s="379" t="s">
        <v>981</v>
      </c>
      <c r="C502" s="379" t="s">
        <v>1944</v>
      </c>
      <c r="D502" s="379" t="s">
        <v>382</v>
      </c>
      <c r="E502" s="662" t="s">
        <v>1945</v>
      </c>
      <c r="F502" s="676">
        <v>0</v>
      </c>
      <c r="G502" s="676">
        <v>-34533.33</v>
      </c>
      <c r="H502" s="676">
        <v>-103337.65</v>
      </c>
      <c r="I502" s="676">
        <v>-31325.55</v>
      </c>
      <c r="J502" s="676">
        <v>-127122.09</v>
      </c>
      <c r="K502" s="676">
        <v>-55447.77</v>
      </c>
      <c r="L502" s="676">
        <v>-18947.86</v>
      </c>
      <c r="M502" s="676">
        <v>-21537.69</v>
      </c>
      <c r="N502" s="676">
        <v>-23703.39</v>
      </c>
      <c r="O502" s="676">
        <v>-19801.3</v>
      </c>
      <c r="P502" s="676">
        <v>-20648.900000000001</v>
      </c>
      <c r="Q502" s="676">
        <v>-12266.68</v>
      </c>
      <c r="R502" s="676">
        <v>-9.9999999874853494E-3</v>
      </c>
      <c r="S502" s="551">
        <f t="shared" si="124"/>
        <v>-39056.017916666671</v>
      </c>
      <c r="T502" s="677"/>
      <c r="U502" s="716"/>
      <c r="V502" s="755">
        <f>+S502</f>
        <v>-39056.017916666671</v>
      </c>
      <c r="W502" s="755"/>
      <c r="X502" s="778"/>
      <c r="Y502" s="755"/>
      <c r="Z502" s="755"/>
      <c r="AA502" s="716"/>
      <c r="AB502" s="755"/>
      <c r="AC502" s="717"/>
      <c r="AD502" s="718">
        <f>+S502</f>
        <v>-39056.017916666671</v>
      </c>
      <c r="AE502" s="717"/>
      <c r="AF502" s="753">
        <f t="shared" si="116"/>
        <v>0</v>
      </c>
    </row>
    <row r="503" spans="1:32">
      <c r="A503" s="677">
        <v>491</v>
      </c>
      <c r="B503" s="379" t="s">
        <v>981</v>
      </c>
      <c r="C503" s="379" t="s">
        <v>615</v>
      </c>
      <c r="D503" s="379" t="s">
        <v>1142</v>
      </c>
      <c r="E503" s="662" t="s">
        <v>1439</v>
      </c>
      <c r="F503" s="676">
        <v>-3.6379788070917101E-12</v>
      </c>
      <c r="G503" s="676">
        <v>-8072.92</v>
      </c>
      <c r="H503" s="676">
        <v>-15364.59</v>
      </c>
      <c r="I503" s="676">
        <v>-520.84</v>
      </c>
      <c r="J503" s="676">
        <v>-8333.34</v>
      </c>
      <c r="K503" s="676">
        <v>-16406.259999999998</v>
      </c>
      <c r="L503" s="676">
        <v>-520.85000000000196</v>
      </c>
      <c r="M503" s="676">
        <v>-11284.74</v>
      </c>
      <c r="N503" s="676">
        <v>-22048.63</v>
      </c>
      <c r="O503" s="676">
        <v>0</v>
      </c>
      <c r="P503" s="676">
        <v>-10763.89</v>
      </c>
      <c r="Q503" s="676">
        <v>-21180.560000000001</v>
      </c>
      <c r="R503" s="676">
        <v>3.6379788070917101E-12</v>
      </c>
      <c r="S503" s="551">
        <f t="shared" si="124"/>
        <v>-9541.3850000000002</v>
      </c>
      <c r="T503" s="677"/>
      <c r="U503" s="716"/>
      <c r="V503" s="755">
        <f t="shared" si="128"/>
        <v>-9541.3850000000002</v>
      </c>
      <c r="W503" s="755"/>
      <c r="X503" s="778"/>
      <c r="Y503" s="755"/>
      <c r="Z503" s="755"/>
      <c r="AA503" s="716"/>
      <c r="AB503" s="755"/>
      <c r="AC503" s="717"/>
      <c r="AD503" s="718">
        <f t="shared" si="129"/>
        <v>-9541.3850000000002</v>
      </c>
      <c r="AE503" s="717"/>
      <c r="AF503" s="753">
        <f t="shared" si="116"/>
        <v>0</v>
      </c>
    </row>
    <row r="504" spans="1:32">
      <c r="A504" s="677">
        <v>492</v>
      </c>
      <c r="B504" s="379" t="s">
        <v>981</v>
      </c>
      <c r="C504" s="379" t="s">
        <v>615</v>
      </c>
      <c r="D504" s="379" t="s">
        <v>1216</v>
      </c>
      <c r="E504" s="662" t="s">
        <v>1440</v>
      </c>
      <c r="F504" s="676">
        <v>-43049.35</v>
      </c>
      <c r="G504" s="676">
        <v>-164373.76000000001</v>
      </c>
      <c r="H504" s="676">
        <v>-258762.12</v>
      </c>
      <c r="I504" s="676">
        <v>-59583.81</v>
      </c>
      <c r="J504" s="676">
        <v>-101923.77</v>
      </c>
      <c r="K504" s="676">
        <v>-278228.28000000003</v>
      </c>
      <c r="L504" s="676">
        <v>-5006.5</v>
      </c>
      <c r="M504" s="676">
        <v>-49420.89</v>
      </c>
      <c r="N504" s="676">
        <v>-125360.98</v>
      </c>
      <c r="O504" s="676">
        <v>-6581.11</v>
      </c>
      <c r="P504" s="676">
        <v>-22372.26</v>
      </c>
      <c r="Q504" s="676">
        <v>-73841.429999999993</v>
      </c>
      <c r="R504" s="676">
        <v>-16790.72</v>
      </c>
      <c r="S504" s="551">
        <f t="shared" si="124"/>
        <v>-97947.912083333315</v>
      </c>
      <c r="T504" s="677"/>
      <c r="U504" s="716"/>
      <c r="V504" s="755">
        <f t="shared" si="128"/>
        <v>-97947.912083333315</v>
      </c>
      <c r="W504" s="755"/>
      <c r="X504" s="778"/>
      <c r="Y504" s="755"/>
      <c r="Z504" s="755"/>
      <c r="AA504" s="716"/>
      <c r="AB504" s="755"/>
      <c r="AC504" s="717"/>
      <c r="AD504" s="718">
        <f t="shared" si="129"/>
        <v>-97947.912083333315</v>
      </c>
      <c r="AE504" s="717"/>
      <c r="AF504" s="753">
        <f t="shared" si="116"/>
        <v>0</v>
      </c>
    </row>
    <row r="505" spans="1:32">
      <c r="A505" s="677">
        <v>493</v>
      </c>
      <c r="B505" s="379" t="s">
        <v>981</v>
      </c>
      <c r="C505" s="379" t="s">
        <v>616</v>
      </c>
      <c r="D505" s="379" t="s">
        <v>528</v>
      </c>
      <c r="E505" s="662" t="s">
        <v>1718</v>
      </c>
      <c r="F505" s="676">
        <v>-1772825.1</v>
      </c>
      <c r="G505" s="676">
        <v>-2115086.0499999998</v>
      </c>
      <c r="H505" s="676">
        <v>-2114803.94</v>
      </c>
      <c r="I505" s="676">
        <v>-1186420.8400000001</v>
      </c>
      <c r="J505" s="676">
        <v>-1422780.04</v>
      </c>
      <c r="K505" s="676">
        <v>-1743994.17</v>
      </c>
      <c r="L505" s="676">
        <v>-1795389.35</v>
      </c>
      <c r="M505" s="676">
        <v>-2076333.56</v>
      </c>
      <c r="N505" s="676">
        <v>-1157908.2</v>
      </c>
      <c r="O505" s="676">
        <v>-1273699.3500000001</v>
      </c>
      <c r="P505" s="676">
        <v>-1610170.17</v>
      </c>
      <c r="Q505" s="676">
        <v>-1699953.15</v>
      </c>
      <c r="R505" s="676">
        <v>-1925850.86</v>
      </c>
      <c r="S505" s="551">
        <f t="shared" si="124"/>
        <v>-1670489.7333333332</v>
      </c>
      <c r="T505" s="677"/>
      <c r="U505" s="716"/>
      <c r="V505" s="755">
        <f t="shared" si="128"/>
        <v>-1670489.7333333332</v>
      </c>
      <c r="W505" s="755"/>
      <c r="X505" s="778"/>
      <c r="Y505" s="755"/>
      <c r="Z505" s="755"/>
      <c r="AA505" s="716"/>
      <c r="AB505" s="755"/>
      <c r="AC505" s="717"/>
      <c r="AD505" s="718">
        <f t="shared" si="129"/>
        <v>-1670489.7333333332</v>
      </c>
      <c r="AE505" s="717"/>
      <c r="AF505" s="753">
        <f t="shared" si="116"/>
        <v>0</v>
      </c>
    </row>
    <row r="506" spans="1:32">
      <c r="A506" s="677">
        <v>494</v>
      </c>
      <c r="B506" s="379" t="s">
        <v>981</v>
      </c>
      <c r="C506" s="379" t="s">
        <v>616</v>
      </c>
      <c r="D506" s="379" t="s">
        <v>563</v>
      </c>
      <c r="E506" s="662" t="s">
        <v>1719</v>
      </c>
      <c r="F506" s="676">
        <v>-982534</v>
      </c>
      <c r="G506" s="676">
        <v>-1089641.1399999999</v>
      </c>
      <c r="H506" s="676">
        <v>-222918.25</v>
      </c>
      <c r="I506" s="676">
        <v>-319418.82</v>
      </c>
      <c r="J506" s="676">
        <v>-418641.64</v>
      </c>
      <c r="K506" s="676">
        <v>-587312.63</v>
      </c>
      <c r="L506" s="676">
        <v>-716302.53</v>
      </c>
      <c r="M506" s="676">
        <v>-855958.61</v>
      </c>
      <c r="N506" s="676">
        <v>-985702.15</v>
      </c>
      <c r="O506" s="676">
        <v>-1110814.1299999999</v>
      </c>
      <c r="P506" s="676">
        <v>-1351211.96</v>
      </c>
      <c r="Q506" s="676">
        <v>-1798248.89</v>
      </c>
      <c r="R506" s="676">
        <v>-1697134.42</v>
      </c>
      <c r="S506" s="551">
        <f t="shared" si="124"/>
        <v>-899667.08000000007</v>
      </c>
      <c r="T506" s="677"/>
      <c r="U506" s="716"/>
      <c r="V506" s="755">
        <f t="shared" si="128"/>
        <v>-899667.08000000007</v>
      </c>
      <c r="W506" s="755"/>
      <c r="X506" s="778"/>
      <c r="Y506" s="755"/>
      <c r="Z506" s="755"/>
      <c r="AA506" s="716"/>
      <c r="AB506" s="755"/>
      <c r="AC506" s="717"/>
      <c r="AD506" s="718">
        <f t="shared" si="129"/>
        <v>-899667.08000000007</v>
      </c>
      <c r="AE506" s="717"/>
      <c r="AF506" s="753">
        <f t="shared" si="116"/>
        <v>0</v>
      </c>
    </row>
    <row r="507" spans="1:32">
      <c r="A507" s="677">
        <v>495</v>
      </c>
      <c r="B507" s="379" t="s">
        <v>981</v>
      </c>
      <c r="C507" s="379" t="s">
        <v>617</v>
      </c>
      <c r="D507" s="379" t="s">
        <v>1186</v>
      </c>
      <c r="E507" s="662" t="s">
        <v>1715</v>
      </c>
      <c r="F507" s="676">
        <v>-6948083.4400000004</v>
      </c>
      <c r="G507" s="676">
        <v>-99160</v>
      </c>
      <c r="H507" s="676">
        <v>-99160</v>
      </c>
      <c r="I507" s="676">
        <v>0</v>
      </c>
      <c r="J507" s="676">
        <v>0</v>
      </c>
      <c r="K507" s="676">
        <v>0</v>
      </c>
      <c r="L507" s="676">
        <v>-156910</v>
      </c>
      <c r="M507" s="676">
        <v>-130758.33</v>
      </c>
      <c r="N507" s="676">
        <v>-104606.66</v>
      </c>
      <c r="O507" s="676">
        <v>-121320</v>
      </c>
      <c r="P507" s="676">
        <v>-121320</v>
      </c>
      <c r="Q507" s="676">
        <v>0</v>
      </c>
      <c r="R507" s="676">
        <v>-219560</v>
      </c>
      <c r="S507" s="551">
        <f t="shared" si="124"/>
        <v>-368088.05916666664</v>
      </c>
      <c r="T507" s="677"/>
      <c r="U507" s="716"/>
      <c r="V507" s="755">
        <f t="shared" si="128"/>
        <v>-368088.05916666664</v>
      </c>
      <c r="W507" s="755"/>
      <c r="X507" s="778"/>
      <c r="Y507" s="755"/>
      <c r="Z507" s="755"/>
      <c r="AA507" s="716"/>
      <c r="AB507" s="755"/>
      <c r="AC507" s="717"/>
      <c r="AD507" s="718">
        <f t="shared" si="129"/>
        <v>-368088.05916666664</v>
      </c>
      <c r="AE507" s="717"/>
      <c r="AF507" s="753">
        <f t="shared" si="116"/>
        <v>0</v>
      </c>
    </row>
    <row r="508" spans="1:32">
      <c r="A508" s="677">
        <v>496</v>
      </c>
      <c r="B508" s="379" t="s">
        <v>1885</v>
      </c>
      <c r="C508" s="379" t="s">
        <v>617</v>
      </c>
      <c r="D508" s="379" t="s">
        <v>1142</v>
      </c>
      <c r="E508" s="662" t="s">
        <v>1715</v>
      </c>
      <c r="F508" s="676">
        <v>0</v>
      </c>
      <c r="G508" s="676">
        <v>-713994.61</v>
      </c>
      <c r="H508" s="676">
        <v>0</v>
      </c>
      <c r="I508" s="676">
        <v>0</v>
      </c>
      <c r="J508" s="676">
        <v>0</v>
      </c>
      <c r="K508" s="676">
        <v>0</v>
      </c>
      <c r="L508" s="676">
        <v>0</v>
      </c>
      <c r="M508" s="676">
        <v>0</v>
      </c>
      <c r="N508" s="676">
        <v>-72840.87</v>
      </c>
      <c r="O508" s="676">
        <v>0</v>
      </c>
      <c r="P508" s="676">
        <v>-125578.49</v>
      </c>
      <c r="Q508" s="676">
        <v>-525780</v>
      </c>
      <c r="R508" s="676">
        <v>0</v>
      </c>
      <c r="S508" s="551">
        <f t="shared" si="124"/>
        <v>-119849.4975</v>
      </c>
      <c r="T508" s="677"/>
      <c r="U508" s="716"/>
      <c r="V508" s="755">
        <f>+S508</f>
        <v>-119849.4975</v>
      </c>
      <c r="W508" s="755"/>
      <c r="X508" s="778"/>
      <c r="Y508" s="755"/>
      <c r="Z508" s="755"/>
      <c r="AA508" s="716"/>
      <c r="AB508" s="755"/>
      <c r="AC508" s="717"/>
      <c r="AD508" s="718">
        <f t="shared" si="129"/>
        <v>-119849.4975</v>
      </c>
      <c r="AE508" s="717"/>
      <c r="AF508" s="753">
        <f t="shared" si="116"/>
        <v>0</v>
      </c>
    </row>
    <row r="509" spans="1:32">
      <c r="A509" s="677">
        <v>497</v>
      </c>
      <c r="B509" s="379" t="s">
        <v>1885</v>
      </c>
      <c r="C509" s="379" t="s">
        <v>617</v>
      </c>
      <c r="D509" s="379" t="s">
        <v>1892</v>
      </c>
      <c r="E509" s="662" t="s">
        <v>1715</v>
      </c>
      <c r="F509" s="676">
        <v>0</v>
      </c>
      <c r="G509" s="676">
        <v>-1894417.12</v>
      </c>
      <c r="H509" s="676">
        <v>-997396.76</v>
      </c>
      <c r="I509" s="676">
        <v>-2760740.36</v>
      </c>
      <c r="J509" s="676">
        <v>-3565589.79</v>
      </c>
      <c r="K509" s="676">
        <v>-3293283.16</v>
      </c>
      <c r="L509" s="676">
        <v>-3491847.81</v>
      </c>
      <c r="M509" s="676">
        <v>-3678346.64</v>
      </c>
      <c r="N509" s="676">
        <v>-3668579.89</v>
      </c>
      <c r="O509" s="676">
        <v>-3989647.66</v>
      </c>
      <c r="P509" s="676">
        <v>-4882069.3600000003</v>
      </c>
      <c r="Q509" s="676">
        <v>-5803500.46</v>
      </c>
      <c r="R509" s="676">
        <v>-4864687.42</v>
      </c>
      <c r="S509" s="551">
        <f t="shared" si="124"/>
        <v>-3371480.2266666666</v>
      </c>
      <c r="T509" s="677"/>
      <c r="U509" s="716"/>
      <c r="V509" s="755">
        <f t="shared" ref="V509:V510" si="130">+S509</f>
        <v>-3371480.2266666666</v>
      </c>
      <c r="W509" s="755"/>
      <c r="X509" s="778"/>
      <c r="Y509" s="755"/>
      <c r="Z509" s="755"/>
      <c r="AA509" s="716"/>
      <c r="AB509" s="755"/>
      <c r="AC509" s="717"/>
      <c r="AD509" s="718">
        <f t="shared" si="129"/>
        <v>-3371480.2266666666</v>
      </c>
      <c r="AE509" s="717"/>
      <c r="AF509" s="753"/>
    </row>
    <row r="510" spans="1:32">
      <c r="A510" s="677">
        <v>498</v>
      </c>
      <c r="B510" s="379" t="s">
        <v>1885</v>
      </c>
      <c r="C510" s="379" t="s">
        <v>617</v>
      </c>
      <c r="D510" s="379" t="s">
        <v>1894</v>
      </c>
      <c r="E510" s="662" t="s">
        <v>1715</v>
      </c>
      <c r="F510" s="676">
        <v>0</v>
      </c>
      <c r="G510" s="676">
        <v>-8157943.2599999998</v>
      </c>
      <c r="H510" s="676">
        <v>-3636088.48</v>
      </c>
      <c r="I510" s="676">
        <v>-8684567.4199999999</v>
      </c>
      <c r="J510" s="676">
        <v>-7979296.3799999999</v>
      </c>
      <c r="K510" s="676">
        <v>-8166425.1600000001</v>
      </c>
      <c r="L510" s="676">
        <v>-8625732.5</v>
      </c>
      <c r="M510" s="676">
        <v>-9476818.3599999994</v>
      </c>
      <c r="N510" s="676">
        <v>-9878731.6199999992</v>
      </c>
      <c r="O510" s="676">
        <v>-10734957.460000001</v>
      </c>
      <c r="P510" s="676">
        <v>-11316705.210000001</v>
      </c>
      <c r="Q510" s="676">
        <v>-11092668.49</v>
      </c>
      <c r="R510" s="676">
        <v>-9808230.1500000004</v>
      </c>
      <c r="S510" s="551">
        <f t="shared" si="124"/>
        <v>-8554504.117916666</v>
      </c>
      <c r="T510" s="677"/>
      <c r="U510" s="716"/>
      <c r="V510" s="755">
        <f t="shared" si="130"/>
        <v>-8554504.117916666</v>
      </c>
      <c r="W510" s="755"/>
      <c r="X510" s="778"/>
      <c r="Y510" s="755"/>
      <c r="Z510" s="755"/>
      <c r="AA510" s="716"/>
      <c r="AB510" s="755"/>
      <c r="AC510" s="717"/>
      <c r="AD510" s="718">
        <f t="shared" si="129"/>
        <v>-8554504.117916666</v>
      </c>
      <c r="AE510" s="717"/>
      <c r="AF510" s="753"/>
    </row>
    <row r="511" spans="1:32">
      <c r="A511" s="677">
        <v>499</v>
      </c>
      <c r="B511" s="379" t="s">
        <v>981</v>
      </c>
      <c r="C511" s="379" t="s">
        <v>617</v>
      </c>
      <c r="D511" s="379" t="s">
        <v>1229</v>
      </c>
      <c r="E511" s="662" t="s">
        <v>1716</v>
      </c>
      <c r="F511" s="676">
        <v>-69203.53</v>
      </c>
      <c r="G511" s="676">
        <v>-28362.46</v>
      </c>
      <c r="H511" s="676">
        <v>-56724.92</v>
      </c>
      <c r="I511" s="676">
        <v>-79779.47</v>
      </c>
      <c r="J511" s="676">
        <v>-34180.089999999997</v>
      </c>
      <c r="K511" s="676">
        <v>-57234.64</v>
      </c>
      <c r="L511" s="676">
        <v>-80289.19</v>
      </c>
      <c r="M511" s="676">
        <v>-34689.81</v>
      </c>
      <c r="N511" s="676">
        <v>-57744.36</v>
      </c>
      <c r="O511" s="676">
        <v>-80798.91</v>
      </c>
      <c r="P511" s="676">
        <v>-35199.53</v>
      </c>
      <c r="Q511" s="676">
        <v>-58254.080000000002</v>
      </c>
      <c r="R511" s="676">
        <v>0</v>
      </c>
      <c r="S511" s="551">
        <f t="shared" si="124"/>
        <v>-53154.935416666667</v>
      </c>
      <c r="T511" s="677"/>
      <c r="U511" s="716"/>
      <c r="V511" s="755">
        <f t="shared" si="128"/>
        <v>-53154.935416666667</v>
      </c>
      <c r="W511" s="755"/>
      <c r="X511" s="778"/>
      <c r="Y511" s="755"/>
      <c r="Z511" s="755"/>
      <c r="AA511" s="716"/>
      <c r="AB511" s="755"/>
      <c r="AC511" s="717"/>
      <c r="AD511" s="718">
        <f t="shared" si="129"/>
        <v>-53154.935416666667</v>
      </c>
      <c r="AE511" s="717"/>
      <c r="AF511" s="753">
        <f t="shared" si="116"/>
        <v>0</v>
      </c>
    </row>
    <row r="512" spans="1:32">
      <c r="A512" s="677">
        <v>500</v>
      </c>
      <c r="B512" s="379" t="s">
        <v>981</v>
      </c>
      <c r="C512" s="379" t="s">
        <v>617</v>
      </c>
      <c r="D512" s="379" t="s">
        <v>1230</v>
      </c>
      <c r="E512" s="662" t="s">
        <v>1717</v>
      </c>
      <c r="F512" s="676">
        <v>-577471</v>
      </c>
      <c r="G512" s="676">
        <v>-577471</v>
      </c>
      <c r="H512" s="676">
        <v>-577471</v>
      </c>
      <c r="I512" s="676">
        <v>-577471</v>
      </c>
      <c r="J512" s="676">
        <v>-577471</v>
      </c>
      <c r="K512" s="676">
        <v>-577471</v>
      </c>
      <c r="L512" s="676">
        <v>-577471</v>
      </c>
      <c r="M512" s="676">
        <v>-577471</v>
      </c>
      <c r="N512" s="676">
        <v>-577471</v>
      </c>
      <c r="O512" s="676">
        <v>-577471</v>
      </c>
      <c r="P512" s="676">
        <v>-577471</v>
      </c>
      <c r="Q512" s="676">
        <v>-577471</v>
      </c>
      <c r="R512" s="676">
        <v>-554325</v>
      </c>
      <c r="S512" s="551">
        <f t="shared" si="124"/>
        <v>-576506.58333333337</v>
      </c>
      <c r="T512" s="677"/>
      <c r="U512" s="716"/>
      <c r="V512" s="755">
        <f t="shared" si="128"/>
        <v>-576506.58333333337</v>
      </c>
      <c r="W512" s="755"/>
      <c r="X512" s="778"/>
      <c r="Y512" s="755"/>
      <c r="Z512" s="755"/>
      <c r="AA512" s="716"/>
      <c r="AB512" s="755"/>
      <c r="AC512" s="717"/>
      <c r="AD512" s="718">
        <f t="shared" si="129"/>
        <v>-576506.58333333337</v>
      </c>
      <c r="AE512" s="717"/>
      <c r="AF512" s="753">
        <f t="shared" si="116"/>
        <v>0</v>
      </c>
    </row>
    <row r="513" spans="1:32">
      <c r="A513" s="677">
        <v>502</v>
      </c>
      <c r="B513" s="379" t="s">
        <v>981</v>
      </c>
      <c r="C513" s="379" t="s">
        <v>618</v>
      </c>
      <c r="D513" s="379" t="s">
        <v>528</v>
      </c>
      <c r="E513" s="662" t="s">
        <v>619</v>
      </c>
      <c r="F513" s="676">
        <v>-2189962.41</v>
      </c>
      <c r="G513" s="676">
        <v>-2198277.29</v>
      </c>
      <c r="H513" s="676">
        <v>-2204143.64</v>
      </c>
      <c r="I513" s="676">
        <v>-2095013.38</v>
      </c>
      <c r="J513" s="676">
        <v>-2101426.5499999998</v>
      </c>
      <c r="K513" s="676">
        <v>-2108128.67</v>
      </c>
      <c r="L513" s="676">
        <v>-2020123.2</v>
      </c>
      <c r="M513" s="676">
        <v>-1998084.12</v>
      </c>
      <c r="N513" s="676">
        <v>-2003884.61</v>
      </c>
      <c r="O513" s="676">
        <v>-2008086.09</v>
      </c>
      <c r="P513" s="676">
        <v>-1996777.14</v>
      </c>
      <c r="Q513" s="676">
        <v>-1994703.23</v>
      </c>
      <c r="R513" s="676">
        <v>-2137261.0299999998</v>
      </c>
      <c r="S513" s="551">
        <f t="shared" si="124"/>
        <v>-2074354.9699999997</v>
      </c>
      <c r="T513" s="677"/>
      <c r="U513" s="716"/>
      <c r="V513" s="755">
        <f t="shared" si="128"/>
        <v>-2074354.9699999997</v>
      </c>
      <c r="W513" s="755"/>
      <c r="X513" s="778"/>
      <c r="Y513" s="755"/>
      <c r="Z513" s="755"/>
      <c r="AA513" s="716"/>
      <c r="AB513" s="755"/>
      <c r="AC513" s="717"/>
      <c r="AD513" s="718">
        <f t="shared" si="129"/>
        <v>-2074354.9699999997</v>
      </c>
      <c r="AE513" s="717"/>
      <c r="AF513" s="753">
        <f t="shared" si="116"/>
        <v>0</v>
      </c>
    </row>
    <row r="514" spans="1:32">
      <c r="A514" s="677">
        <v>503</v>
      </c>
      <c r="B514" s="379" t="s">
        <v>981</v>
      </c>
      <c r="C514" s="379" t="s">
        <v>1441</v>
      </c>
      <c r="D514" s="379" t="s">
        <v>382</v>
      </c>
      <c r="E514" s="662" t="s">
        <v>451</v>
      </c>
      <c r="F514" s="676">
        <v>-727822.38</v>
      </c>
      <c r="G514" s="676">
        <v>-306376.63</v>
      </c>
      <c r="H514" s="676">
        <v>-2912373.68</v>
      </c>
      <c r="I514" s="676">
        <v>4.65661287307739E-10</v>
      </c>
      <c r="J514" s="676">
        <v>-38913.8299999995</v>
      </c>
      <c r="K514" s="676">
        <v>-316739.25</v>
      </c>
      <c r="L514" s="676">
        <v>-21728.059999999499</v>
      </c>
      <c r="M514" s="676">
        <v>-317082.17</v>
      </c>
      <c r="N514" s="676">
        <v>-397858.57999999903</v>
      </c>
      <c r="O514" s="676">
        <v>-392578.57999999903</v>
      </c>
      <c r="P514" s="676">
        <v>-521056.76999999903</v>
      </c>
      <c r="Q514" s="676">
        <v>-556557.049999999</v>
      </c>
      <c r="R514" s="676">
        <v>5.8207660913467397E-10</v>
      </c>
      <c r="S514" s="551">
        <f t="shared" si="124"/>
        <v>-512097.98249999946</v>
      </c>
      <c r="T514" s="677"/>
      <c r="U514" s="716"/>
      <c r="V514" s="755">
        <f t="shared" si="128"/>
        <v>-512097.98249999946</v>
      </c>
      <c r="W514" s="755"/>
      <c r="X514" s="778"/>
      <c r="Y514" s="755"/>
      <c r="Z514" s="755"/>
      <c r="AA514" s="716"/>
      <c r="AB514" s="755"/>
      <c r="AC514" s="717"/>
      <c r="AD514" s="718">
        <f t="shared" si="129"/>
        <v>-512097.98249999946</v>
      </c>
      <c r="AE514" s="717"/>
      <c r="AF514" s="753">
        <f t="shared" ref="AF514:AF579" si="131">+U514+V514-AD514</f>
        <v>0</v>
      </c>
    </row>
    <row r="515" spans="1:32">
      <c r="A515" s="677">
        <v>504</v>
      </c>
      <c r="B515" s="379" t="s">
        <v>981</v>
      </c>
      <c r="C515" s="379" t="s">
        <v>620</v>
      </c>
      <c r="D515" s="379" t="s">
        <v>1231</v>
      </c>
      <c r="E515" s="662" t="s">
        <v>1723</v>
      </c>
      <c r="F515" s="676">
        <v>-106849.59</v>
      </c>
      <c r="G515" s="676">
        <v>-117137.12</v>
      </c>
      <c r="H515" s="676">
        <v>-125259.76</v>
      </c>
      <c r="I515" s="676">
        <v>-131876.07</v>
      </c>
      <c r="J515" s="676">
        <v>-126017.66</v>
      </c>
      <c r="K515" s="676">
        <v>-120338.22</v>
      </c>
      <c r="L515" s="676">
        <v>-116433.17</v>
      </c>
      <c r="M515" s="676">
        <v>-113259.31</v>
      </c>
      <c r="N515" s="676">
        <v>-111859.15</v>
      </c>
      <c r="O515" s="676">
        <v>-112447.41</v>
      </c>
      <c r="P515" s="676">
        <v>-110389.27</v>
      </c>
      <c r="Q515" s="676">
        <v>-106869.38</v>
      </c>
      <c r="R515" s="676">
        <v>-115735.99</v>
      </c>
      <c r="S515" s="551">
        <f t="shared" si="124"/>
        <v>-116931.60916666668</v>
      </c>
      <c r="T515" s="677"/>
      <c r="U515" s="716"/>
      <c r="V515" s="755">
        <f t="shared" si="128"/>
        <v>-116931.60916666668</v>
      </c>
      <c r="W515" s="755"/>
      <c r="X515" s="778"/>
      <c r="Y515" s="755"/>
      <c r="Z515" s="755"/>
      <c r="AA515" s="716"/>
      <c r="AB515" s="755"/>
      <c r="AC515" s="717"/>
      <c r="AD515" s="718">
        <f t="shared" si="129"/>
        <v>-116931.60916666668</v>
      </c>
      <c r="AE515" s="717"/>
      <c r="AF515" s="753">
        <f t="shared" si="131"/>
        <v>0</v>
      </c>
    </row>
    <row r="516" spans="1:32">
      <c r="A516" s="677">
        <v>505</v>
      </c>
      <c r="B516" s="379" t="s">
        <v>1009</v>
      </c>
      <c r="C516" s="379" t="s">
        <v>620</v>
      </c>
      <c r="D516" s="677" t="s">
        <v>1141</v>
      </c>
      <c r="E516" s="662" t="s">
        <v>1726</v>
      </c>
      <c r="F516" s="676">
        <v>-346866.55</v>
      </c>
      <c r="G516" s="676">
        <v>-504643.62</v>
      </c>
      <c r="H516" s="676">
        <v>-510785.33</v>
      </c>
      <c r="I516" s="676">
        <v>-408184.18</v>
      </c>
      <c r="J516" s="676">
        <v>-281055.83</v>
      </c>
      <c r="K516" s="676">
        <v>-131075.26999999999</v>
      </c>
      <c r="L516" s="676">
        <v>-135004.74</v>
      </c>
      <c r="M516" s="676">
        <v>-108731.64</v>
      </c>
      <c r="N516" s="676">
        <v>-80171.510000000097</v>
      </c>
      <c r="O516" s="676">
        <v>-142810.07</v>
      </c>
      <c r="P516" s="676">
        <v>-339741.63</v>
      </c>
      <c r="Q516" s="676">
        <v>-435241.12</v>
      </c>
      <c r="R516" s="676">
        <v>-532108.17000000004</v>
      </c>
      <c r="S516" s="551">
        <f t="shared" si="124"/>
        <v>-293077.69166666665</v>
      </c>
      <c r="T516" s="677"/>
      <c r="U516" s="716"/>
      <c r="V516" s="755">
        <f t="shared" si="128"/>
        <v>-293077.69166666665</v>
      </c>
      <c r="W516" s="755"/>
      <c r="X516" s="778"/>
      <c r="Y516" s="755"/>
      <c r="Z516" s="755"/>
      <c r="AA516" s="716"/>
      <c r="AB516" s="755"/>
      <c r="AC516" s="717"/>
      <c r="AD516" s="718">
        <f t="shared" si="129"/>
        <v>-293077.69166666665</v>
      </c>
      <c r="AE516" s="717"/>
      <c r="AF516" s="753">
        <f t="shared" si="131"/>
        <v>0</v>
      </c>
    </row>
    <row r="517" spans="1:32">
      <c r="A517" s="677">
        <v>506</v>
      </c>
      <c r="B517" s="379" t="s">
        <v>1009</v>
      </c>
      <c r="C517" s="379" t="s">
        <v>620</v>
      </c>
      <c r="D517" s="677" t="s">
        <v>463</v>
      </c>
      <c r="E517" s="662" t="s">
        <v>1727</v>
      </c>
      <c r="F517" s="676">
        <v>-720197.02</v>
      </c>
      <c r="G517" s="676">
        <v>-763791.89</v>
      </c>
      <c r="H517" s="676">
        <v>-805999.39</v>
      </c>
      <c r="I517" s="676">
        <v>-838498.08</v>
      </c>
      <c r="J517" s="676">
        <v>-858868.55</v>
      </c>
      <c r="K517" s="676">
        <v>-870038.44</v>
      </c>
      <c r="L517" s="676">
        <v>-877963.83</v>
      </c>
      <c r="M517" s="676">
        <v>-887229.66</v>
      </c>
      <c r="N517" s="676">
        <v>-894061.67</v>
      </c>
      <c r="O517" s="676">
        <v>-906081.57</v>
      </c>
      <c r="P517" s="676">
        <v>-935033.47</v>
      </c>
      <c r="Q517" s="676">
        <v>-972123.58</v>
      </c>
      <c r="R517" s="676">
        <v>-1017468.45</v>
      </c>
      <c r="S517" s="551">
        <f t="shared" si="124"/>
        <v>-873210.23875000002</v>
      </c>
      <c r="T517" s="677"/>
      <c r="U517" s="716"/>
      <c r="V517" s="755">
        <f t="shared" si="128"/>
        <v>-873210.23875000002</v>
      </c>
      <c r="W517" s="755"/>
      <c r="X517" s="778"/>
      <c r="Y517" s="755"/>
      <c r="Z517" s="755"/>
      <c r="AA517" s="716"/>
      <c r="AB517" s="755"/>
      <c r="AC517" s="717"/>
      <c r="AD517" s="718">
        <f t="shared" si="129"/>
        <v>-873210.23875000002</v>
      </c>
      <c r="AE517" s="717"/>
      <c r="AF517" s="753">
        <f t="shared" si="131"/>
        <v>0</v>
      </c>
    </row>
    <row r="518" spans="1:32">
      <c r="A518" s="677">
        <v>507</v>
      </c>
      <c r="B518" s="379" t="s">
        <v>1009</v>
      </c>
      <c r="C518" s="379" t="s">
        <v>620</v>
      </c>
      <c r="D518" s="677" t="s">
        <v>450</v>
      </c>
      <c r="E518" s="662" t="s">
        <v>1728</v>
      </c>
      <c r="F518" s="676">
        <v>-48875.44</v>
      </c>
      <c r="G518" s="676">
        <v>-41584.04</v>
      </c>
      <c r="H518" s="676">
        <v>-36640.800000000003</v>
      </c>
      <c r="I518" s="676">
        <v>-34802.36</v>
      </c>
      <c r="J518" s="676">
        <v>-26206.15</v>
      </c>
      <c r="K518" s="676">
        <v>-22542.58</v>
      </c>
      <c r="L518" s="676">
        <v>-20209.169999999998</v>
      </c>
      <c r="M518" s="676">
        <v>-15481.77</v>
      </c>
      <c r="N518" s="676">
        <v>-9985.19</v>
      </c>
      <c r="O518" s="676">
        <v>-7048.96</v>
      </c>
      <c r="P518" s="676">
        <v>-5439.41</v>
      </c>
      <c r="Q518" s="676">
        <v>-3751.38</v>
      </c>
      <c r="R518" s="676">
        <v>-2164.79</v>
      </c>
      <c r="S518" s="551">
        <f t="shared" si="124"/>
        <v>-20767.660416666662</v>
      </c>
      <c r="T518" s="677"/>
      <c r="U518" s="716"/>
      <c r="V518" s="755">
        <f t="shared" si="128"/>
        <v>-20767.660416666662</v>
      </c>
      <c r="W518" s="755"/>
      <c r="X518" s="778"/>
      <c r="Y518" s="755"/>
      <c r="Z518" s="755"/>
      <c r="AA518" s="716"/>
      <c r="AB518" s="755"/>
      <c r="AC518" s="717"/>
      <c r="AD518" s="718">
        <f t="shared" si="129"/>
        <v>-20767.660416666662</v>
      </c>
      <c r="AE518" s="717"/>
      <c r="AF518" s="753">
        <f t="shared" si="131"/>
        <v>0</v>
      </c>
    </row>
    <row r="519" spans="1:32">
      <c r="A519" s="677">
        <v>508</v>
      </c>
      <c r="B519" s="379" t="s">
        <v>1009</v>
      </c>
      <c r="C519" s="379" t="s">
        <v>620</v>
      </c>
      <c r="D519" s="677" t="s">
        <v>494</v>
      </c>
      <c r="E519" s="662" t="s">
        <v>1729</v>
      </c>
      <c r="F519" s="676">
        <v>473546.58</v>
      </c>
      <c r="G519" s="676">
        <v>473546.58</v>
      </c>
      <c r="H519" s="676">
        <v>473546.58</v>
      </c>
      <c r="I519" s="676">
        <v>477618.35</v>
      </c>
      <c r="J519" s="676">
        <v>484868.35</v>
      </c>
      <c r="K519" s="676">
        <v>484868.35</v>
      </c>
      <c r="L519" s="676">
        <v>490971.99</v>
      </c>
      <c r="M519" s="676">
        <v>490971.99</v>
      </c>
      <c r="N519" s="676">
        <v>490971.99</v>
      </c>
      <c r="O519" s="676">
        <v>490971.99</v>
      </c>
      <c r="P519" s="676">
        <v>490971.99</v>
      </c>
      <c r="Q519" s="676">
        <v>490971.99</v>
      </c>
      <c r="R519" s="676">
        <v>490971.99</v>
      </c>
      <c r="S519" s="551">
        <f t="shared" si="124"/>
        <v>485211.61958333344</v>
      </c>
      <c r="T519" s="677"/>
      <c r="U519" s="716"/>
      <c r="V519" s="755">
        <f t="shared" si="128"/>
        <v>485211.61958333344</v>
      </c>
      <c r="W519" s="755"/>
      <c r="X519" s="778"/>
      <c r="Y519" s="755"/>
      <c r="Z519" s="755"/>
      <c r="AA519" s="716"/>
      <c r="AB519" s="755"/>
      <c r="AC519" s="717"/>
      <c r="AD519" s="718">
        <f t="shared" si="129"/>
        <v>485211.61958333344</v>
      </c>
      <c r="AE519" s="717"/>
      <c r="AF519" s="753">
        <f t="shared" si="131"/>
        <v>0</v>
      </c>
    </row>
    <row r="520" spans="1:32">
      <c r="A520" s="677">
        <v>509</v>
      </c>
      <c r="B520" s="379" t="s">
        <v>984</v>
      </c>
      <c r="C520" s="379" t="s">
        <v>620</v>
      </c>
      <c r="D520" s="677" t="s">
        <v>450</v>
      </c>
      <c r="E520" s="662" t="s">
        <v>1728</v>
      </c>
      <c r="F520" s="676">
        <v>-525935.19999999995</v>
      </c>
      <c r="G520" s="676">
        <v>-535814.96</v>
      </c>
      <c r="H520" s="676">
        <v>-589535.4</v>
      </c>
      <c r="I520" s="676">
        <v>-596096.14</v>
      </c>
      <c r="J520" s="676">
        <v>-543837.22</v>
      </c>
      <c r="K520" s="676">
        <v>-520139.56</v>
      </c>
      <c r="L520" s="676">
        <v>-517620.87</v>
      </c>
      <c r="M520" s="676">
        <v>-514170.53</v>
      </c>
      <c r="N520" s="676">
        <v>-561139.03</v>
      </c>
      <c r="O520" s="676">
        <v>-589802.21</v>
      </c>
      <c r="P520" s="676">
        <v>-588925.17000000004</v>
      </c>
      <c r="Q520" s="676">
        <v>-581862.54</v>
      </c>
      <c r="R520" s="676">
        <v>-617037.13</v>
      </c>
      <c r="S520" s="551">
        <f t="shared" si="124"/>
        <v>-559202.48291666666</v>
      </c>
      <c r="T520" s="677"/>
      <c r="U520" s="716"/>
      <c r="V520" s="755">
        <f t="shared" si="128"/>
        <v>-559202.48291666666</v>
      </c>
      <c r="W520" s="755"/>
      <c r="X520" s="778"/>
      <c r="Y520" s="755"/>
      <c r="Z520" s="755"/>
      <c r="AA520" s="716"/>
      <c r="AB520" s="755"/>
      <c r="AC520" s="717"/>
      <c r="AD520" s="718">
        <f t="shared" si="129"/>
        <v>-559202.48291666666</v>
      </c>
      <c r="AE520" s="717"/>
      <c r="AF520" s="753">
        <f t="shared" si="131"/>
        <v>0</v>
      </c>
    </row>
    <row r="521" spans="1:32">
      <c r="A521" s="677">
        <v>510</v>
      </c>
      <c r="B521" s="379" t="s">
        <v>981</v>
      </c>
      <c r="C521" s="379" t="s">
        <v>620</v>
      </c>
      <c r="D521" s="677" t="s">
        <v>1232</v>
      </c>
      <c r="E521" s="662" t="s">
        <v>1720</v>
      </c>
      <c r="F521" s="676">
        <v>-57073.15</v>
      </c>
      <c r="G521" s="676">
        <v>-50323.48</v>
      </c>
      <c r="H521" s="676">
        <v>-50387.77</v>
      </c>
      <c r="I521" s="676">
        <v>-52451.839999999997</v>
      </c>
      <c r="J521" s="676">
        <v>-58475.21</v>
      </c>
      <c r="K521" s="676">
        <v>-39554.39</v>
      </c>
      <c r="L521" s="676">
        <v>-40185.800000000003</v>
      </c>
      <c r="M521" s="676">
        <v>-76952.320000000007</v>
      </c>
      <c r="N521" s="676">
        <v>-54697.34</v>
      </c>
      <c r="O521" s="676">
        <v>-56604.83</v>
      </c>
      <c r="P521" s="676">
        <v>-63644.05</v>
      </c>
      <c r="Q521" s="676">
        <v>195.16999999999101</v>
      </c>
      <c r="R521" s="676">
        <v>-20872.259999999998</v>
      </c>
      <c r="S521" s="551">
        <f t="shared" si="124"/>
        <v>-48504.547083333331</v>
      </c>
      <c r="T521" s="677"/>
      <c r="U521" s="716"/>
      <c r="V521" s="755">
        <f t="shared" si="128"/>
        <v>-48504.547083333331</v>
      </c>
      <c r="W521" s="755"/>
      <c r="X521" s="778"/>
      <c r="Y521" s="755"/>
      <c r="Z521" s="755"/>
      <c r="AA521" s="716"/>
      <c r="AB521" s="755"/>
      <c r="AC521" s="717"/>
      <c r="AD521" s="718">
        <f t="shared" si="129"/>
        <v>-48504.547083333331</v>
      </c>
      <c r="AE521" s="717"/>
      <c r="AF521" s="753">
        <f t="shared" si="131"/>
        <v>0</v>
      </c>
    </row>
    <row r="522" spans="1:32">
      <c r="A522" s="677">
        <v>511</v>
      </c>
      <c r="B522" s="379" t="s">
        <v>981</v>
      </c>
      <c r="C522" s="379" t="s">
        <v>620</v>
      </c>
      <c r="D522" s="677" t="s">
        <v>1233</v>
      </c>
      <c r="E522" s="662" t="s">
        <v>1721</v>
      </c>
      <c r="F522" s="676">
        <v>-1208196.57</v>
      </c>
      <c r="G522" s="676">
        <v>-1375811</v>
      </c>
      <c r="H522" s="676">
        <v>-432011.05</v>
      </c>
      <c r="I522" s="676">
        <v>-585900.9</v>
      </c>
      <c r="J522" s="676">
        <v>-747596.28</v>
      </c>
      <c r="K522" s="676">
        <v>-914694.95</v>
      </c>
      <c r="L522" s="676">
        <v>-1063745.57</v>
      </c>
      <c r="M522" s="676">
        <v>-1232722.99</v>
      </c>
      <c r="N522" s="676">
        <v>-592221.98</v>
      </c>
      <c r="O522" s="676">
        <v>-744924.25</v>
      </c>
      <c r="P522" s="676">
        <v>-936452.18</v>
      </c>
      <c r="Q522" s="676">
        <v>-1087294.27</v>
      </c>
      <c r="R522" s="676">
        <v>-1244918.45</v>
      </c>
      <c r="S522" s="551">
        <f t="shared" si="124"/>
        <v>-911661.07750000001</v>
      </c>
      <c r="T522" s="677"/>
      <c r="U522" s="716"/>
      <c r="V522" s="755">
        <f t="shared" si="128"/>
        <v>-911661.07750000001</v>
      </c>
      <c r="W522" s="755"/>
      <c r="X522" s="778"/>
      <c r="Y522" s="755"/>
      <c r="Z522" s="755"/>
      <c r="AA522" s="716"/>
      <c r="AB522" s="755"/>
      <c r="AC522" s="717"/>
      <c r="AD522" s="718">
        <f t="shared" si="129"/>
        <v>-911661.07750000001</v>
      </c>
      <c r="AE522" s="717"/>
      <c r="AF522" s="753">
        <f t="shared" si="131"/>
        <v>0</v>
      </c>
    </row>
    <row r="523" spans="1:32">
      <c r="A523" s="677">
        <v>512</v>
      </c>
      <c r="B523" s="379" t="s">
        <v>981</v>
      </c>
      <c r="C523" s="379" t="s">
        <v>620</v>
      </c>
      <c r="D523" s="677" t="s">
        <v>1442</v>
      </c>
      <c r="E523" s="662" t="s">
        <v>1722</v>
      </c>
      <c r="F523" s="676">
        <v>628.39</v>
      </c>
      <c r="G523" s="676">
        <v>628.39</v>
      </c>
      <c r="H523" s="676">
        <v>628.39</v>
      </c>
      <c r="I523" s="676">
        <v>628.39</v>
      </c>
      <c r="J523" s="676">
        <v>628.39</v>
      </c>
      <c r="K523" s="676">
        <v>628.39</v>
      </c>
      <c r="L523" s="676">
        <v>628.39</v>
      </c>
      <c r="M523" s="676">
        <v>628.39</v>
      </c>
      <c r="N523" s="676">
        <v>628.39</v>
      </c>
      <c r="O523" s="676">
        <v>628.39</v>
      </c>
      <c r="P523" s="676">
        <v>628.39</v>
      </c>
      <c r="Q523" s="676">
        <v>628.39</v>
      </c>
      <c r="R523" s="676">
        <v>628.39</v>
      </c>
      <c r="S523" s="551">
        <f t="shared" si="124"/>
        <v>628.3900000000001</v>
      </c>
      <c r="T523" s="677"/>
      <c r="U523" s="716"/>
      <c r="V523" s="755">
        <f t="shared" si="128"/>
        <v>628.3900000000001</v>
      </c>
      <c r="W523" s="755"/>
      <c r="X523" s="778"/>
      <c r="Y523" s="755"/>
      <c r="Z523" s="755"/>
      <c r="AA523" s="716"/>
      <c r="AB523" s="755"/>
      <c r="AC523" s="717"/>
      <c r="AD523" s="718">
        <f t="shared" si="129"/>
        <v>628.3900000000001</v>
      </c>
      <c r="AE523" s="717"/>
      <c r="AF523" s="753">
        <f t="shared" si="131"/>
        <v>0</v>
      </c>
    </row>
    <row r="524" spans="1:32">
      <c r="A524" s="677">
        <v>513</v>
      </c>
      <c r="B524" s="379" t="s">
        <v>1009</v>
      </c>
      <c r="C524" s="379" t="s">
        <v>610</v>
      </c>
      <c r="D524" s="677" t="s">
        <v>1227</v>
      </c>
      <c r="E524" s="662" t="s">
        <v>1739</v>
      </c>
      <c r="F524" s="676">
        <v>0</v>
      </c>
      <c r="G524" s="676">
        <v>-16075.52</v>
      </c>
      <c r="H524" s="676">
        <v>-32151.040000000001</v>
      </c>
      <c r="I524" s="676">
        <v>0</v>
      </c>
      <c r="J524" s="676">
        <v>0</v>
      </c>
      <c r="K524" s="676">
        <v>0</v>
      </c>
      <c r="L524" s="676">
        <v>0</v>
      </c>
      <c r="M524" s="676">
        <v>0</v>
      </c>
      <c r="N524" s="676">
        <v>0</v>
      </c>
      <c r="O524" s="676">
        <v>0</v>
      </c>
      <c r="P524" s="676">
        <v>0</v>
      </c>
      <c r="Q524" s="676">
        <v>0</v>
      </c>
      <c r="R524" s="676">
        <v>0</v>
      </c>
      <c r="S524" s="551">
        <f t="shared" si="124"/>
        <v>-4018.8799999999997</v>
      </c>
      <c r="T524" s="677"/>
      <c r="U524" s="716"/>
      <c r="V524" s="755">
        <f>+S524</f>
        <v>-4018.8799999999997</v>
      </c>
      <c r="W524" s="755"/>
      <c r="X524" s="778"/>
      <c r="Y524" s="755"/>
      <c r="Z524" s="755"/>
      <c r="AA524" s="716"/>
      <c r="AB524" s="755"/>
      <c r="AC524" s="717"/>
      <c r="AD524" s="718">
        <f t="shared" si="129"/>
        <v>-4018.8799999999997</v>
      </c>
      <c r="AE524" s="717"/>
      <c r="AF524" s="753">
        <f t="shared" si="131"/>
        <v>0</v>
      </c>
    </row>
    <row r="525" spans="1:32">
      <c r="A525" s="677">
        <v>514</v>
      </c>
      <c r="B525" s="379" t="s">
        <v>1009</v>
      </c>
      <c r="C525" s="379" t="s">
        <v>610</v>
      </c>
      <c r="D525" s="677" t="s">
        <v>1932</v>
      </c>
      <c r="E525" s="662" t="s">
        <v>1946</v>
      </c>
      <c r="F525" s="676">
        <v>0</v>
      </c>
      <c r="G525" s="676">
        <v>0</v>
      </c>
      <c r="H525" s="676">
        <v>0</v>
      </c>
      <c r="I525" s="676">
        <v>0</v>
      </c>
      <c r="J525" s="676">
        <v>0</v>
      </c>
      <c r="K525" s="676">
        <v>0</v>
      </c>
      <c r="L525" s="676">
        <v>-6897.58</v>
      </c>
      <c r="M525" s="676">
        <v>-13795.16</v>
      </c>
      <c r="N525" s="676">
        <v>-19872.939999999999</v>
      </c>
      <c r="O525" s="676">
        <v>0</v>
      </c>
      <c r="P525" s="676">
        <v>0</v>
      </c>
      <c r="Q525" s="676">
        <v>0</v>
      </c>
      <c r="R525" s="676">
        <v>0</v>
      </c>
      <c r="S525" s="551">
        <f t="shared" si="124"/>
        <v>-3380.4733333333329</v>
      </c>
      <c r="T525" s="677"/>
      <c r="U525" s="716"/>
      <c r="V525" s="755">
        <f>+S525</f>
        <v>-3380.4733333333329</v>
      </c>
      <c r="W525" s="755"/>
      <c r="X525" s="778"/>
      <c r="Y525" s="755"/>
      <c r="Z525" s="755"/>
      <c r="AA525" s="716"/>
      <c r="AB525" s="755"/>
      <c r="AC525" s="717"/>
      <c r="AD525" s="718">
        <f t="shared" si="129"/>
        <v>-3380.4733333333329</v>
      </c>
      <c r="AE525" s="717"/>
      <c r="AF525" s="753"/>
    </row>
    <row r="526" spans="1:32">
      <c r="A526" s="677">
        <v>515</v>
      </c>
      <c r="B526" s="379" t="s">
        <v>1885</v>
      </c>
      <c r="C526" s="379" t="s">
        <v>625</v>
      </c>
      <c r="D526" s="677" t="s">
        <v>1892</v>
      </c>
      <c r="E526" s="662" t="s">
        <v>1950</v>
      </c>
      <c r="F526" s="676">
        <v>0</v>
      </c>
      <c r="G526" s="676">
        <v>0</v>
      </c>
      <c r="H526" s="676">
        <v>-2342139.6</v>
      </c>
      <c r="I526" s="676">
        <v>-3399048.29</v>
      </c>
      <c r="J526" s="676">
        <v>-4027988.3</v>
      </c>
      <c r="K526" s="676">
        <v>-4380204.8499999996</v>
      </c>
      <c r="L526" s="676">
        <v>-4728970.04</v>
      </c>
      <c r="M526" s="676">
        <v>-5196910.95</v>
      </c>
      <c r="N526" s="676">
        <v>-6194887.6500000004</v>
      </c>
      <c r="O526" s="676">
        <v>-4675781.1500000004</v>
      </c>
      <c r="P526" s="676">
        <v>-5056612.16</v>
      </c>
      <c r="Q526" s="676">
        <v>-4649236.16</v>
      </c>
      <c r="R526" s="676">
        <v>-5008566.5</v>
      </c>
      <c r="S526" s="551">
        <f t="shared" si="124"/>
        <v>-3929671.8666666658</v>
      </c>
      <c r="T526" s="677"/>
      <c r="U526" s="716"/>
      <c r="V526" s="755">
        <f t="shared" si="128"/>
        <v>-3929671.8666666658</v>
      </c>
      <c r="W526" s="755"/>
      <c r="X526" s="778"/>
      <c r="Y526" s="755"/>
      <c r="Z526" s="755"/>
      <c r="AA526" s="716"/>
      <c r="AB526" s="755"/>
      <c r="AC526" s="717"/>
      <c r="AD526" s="718">
        <f t="shared" si="129"/>
        <v>-3929671.8666666658</v>
      </c>
      <c r="AE526" s="717"/>
      <c r="AF526" s="753">
        <f t="shared" si="131"/>
        <v>0</v>
      </c>
    </row>
    <row r="527" spans="1:32">
      <c r="A527" s="677">
        <v>516</v>
      </c>
      <c r="B527" s="379" t="s">
        <v>1885</v>
      </c>
      <c r="C527" s="379" t="s">
        <v>625</v>
      </c>
      <c r="D527" s="677" t="s">
        <v>1894</v>
      </c>
      <c r="E527" s="662" t="s">
        <v>1950</v>
      </c>
      <c r="F527" s="676">
        <v>0</v>
      </c>
      <c r="G527" s="676">
        <v>-47946602.299999997</v>
      </c>
      <c r="H527" s="676">
        <v>-67505586.75</v>
      </c>
      <c r="I527" s="676">
        <v>-88051807.390000001</v>
      </c>
      <c r="J527" s="676">
        <v>-87171112.069999993</v>
      </c>
      <c r="K527" s="676">
        <v>-88013372.25</v>
      </c>
      <c r="L527" s="676">
        <v>-89814171.189999998</v>
      </c>
      <c r="M527" s="676">
        <v>-91693584.269999996</v>
      </c>
      <c r="N527" s="676">
        <v>-94471180.239999995</v>
      </c>
      <c r="O527" s="676">
        <v>-88325640.670000002</v>
      </c>
      <c r="P527" s="676">
        <v>-87907480.109999999</v>
      </c>
      <c r="Q527" s="676">
        <v>-84508849.859999999</v>
      </c>
      <c r="R527" s="676">
        <v>-84195663.5</v>
      </c>
      <c r="S527" s="551">
        <f t="shared" si="124"/>
        <v>-79792268.237499997</v>
      </c>
      <c r="T527" s="677"/>
      <c r="U527" s="716"/>
      <c r="V527" s="755">
        <f t="shared" si="128"/>
        <v>-79792268.237499997</v>
      </c>
      <c r="W527" s="755"/>
      <c r="X527" s="778"/>
      <c r="Y527" s="755"/>
      <c r="Z527" s="755"/>
      <c r="AA527" s="716"/>
      <c r="AB527" s="755"/>
      <c r="AC527" s="717"/>
      <c r="AD527" s="718">
        <f t="shared" si="129"/>
        <v>-79792268.237499997</v>
      </c>
      <c r="AE527" s="717"/>
      <c r="AF527" s="753">
        <f t="shared" si="131"/>
        <v>0</v>
      </c>
    </row>
    <row r="528" spans="1:32">
      <c r="A528" s="677">
        <v>517</v>
      </c>
      <c r="B528" s="379" t="s">
        <v>1885</v>
      </c>
      <c r="C528" s="379" t="s">
        <v>1951</v>
      </c>
      <c r="D528" s="379" t="s">
        <v>1932</v>
      </c>
      <c r="E528" s="662" t="s">
        <v>1952</v>
      </c>
      <c r="F528" s="676">
        <v>0</v>
      </c>
      <c r="G528" s="676">
        <v>0</v>
      </c>
      <c r="H528" s="676">
        <v>-83666</v>
      </c>
      <c r="I528" s="676">
        <v>-83993.95</v>
      </c>
      <c r="J528" s="676">
        <v>-84322.71</v>
      </c>
      <c r="K528" s="676">
        <v>-84652.28</v>
      </c>
      <c r="L528" s="676">
        <v>-82827.460000000006</v>
      </c>
      <c r="M528" s="676">
        <v>-80997.8</v>
      </c>
      <c r="N528" s="676">
        <v>-79160.53</v>
      </c>
      <c r="O528" s="676">
        <v>-77318.61</v>
      </c>
      <c r="P528" s="676">
        <v>-74998.490000000005</v>
      </c>
      <c r="Q528" s="676">
        <v>-72672.2</v>
      </c>
      <c r="R528" s="676">
        <v>-70339.81</v>
      </c>
      <c r="S528" s="551">
        <f t="shared" si="124"/>
        <v>-69981.661250000005</v>
      </c>
      <c r="T528" s="677"/>
      <c r="U528" s="716"/>
      <c r="V528" s="755">
        <f t="shared" si="128"/>
        <v>-69981.661250000005</v>
      </c>
      <c r="W528" s="755"/>
      <c r="X528" s="778"/>
      <c r="Y528" s="755"/>
      <c r="Z528" s="755"/>
      <c r="AA528" s="716"/>
      <c r="AB528" s="755"/>
      <c r="AC528" s="717"/>
      <c r="AD528" s="718">
        <f t="shared" si="129"/>
        <v>-69981.661250000005</v>
      </c>
      <c r="AE528" s="717"/>
      <c r="AF528" s="753">
        <f t="shared" si="131"/>
        <v>0</v>
      </c>
    </row>
    <row r="529" spans="1:32">
      <c r="A529" s="677">
        <v>518</v>
      </c>
      <c r="B529" s="379" t="s">
        <v>981</v>
      </c>
      <c r="C529" s="379" t="s">
        <v>628</v>
      </c>
      <c r="D529" s="379" t="s">
        <v>528</v>
      </c>
      <c r="E529" s="662" t="s">
        <v>464</v>
      </c>
      <c r="F529" s="676">
        <v>0</v>
      </c>
      <c r="G529" s="676">
        <v>0</v>
      </c>
      <c r="H529" s="676">
        <v>0</v>
      </c>
      <c r="I529" s="676">
        <v>0</v>
      </c>
      <c r="J529" s="676">
        <v>0</v>
      </c>
      <c r="K529" s="676">
        <v>0</v>
      </c>
      <c r="L529" s="676">
        <v>0</v>
      </c>
      <c r="M529" s="676">
        <v>0</v>
      </c>
      <c r="N529" s="676">
        <v>0</v>
      </c>
      <c r="O529" s="676">
        <v>0</v>
      </c>
      <c r="P529" s="676">
        <v>0</v>
      </c>
      <c r="Q529" s="676">
        <v>-830</v>
      </c>
      <c r="R529" s="676">
        <v>0</v>
      </c>
      <c r="S529" s="551">
        <f t="shared" si="124"/>
        <v>-69.166666666666671</v>
      </c>
      <c r="T529" s="677"/>
      <c r="U529" s="716"/>
      <c r="V529" s="755">
        <f t="shared" si="128"/>
        <v>-69.166666666666671</v>
      </c>
      <c r="W529" s="755"/>
      <c r="X529" s="778"/>
      <c r="Y529" s="755"/>
      <c r="Z529" s="755"/>
      <c r="AA529" s="716"/>
      <c r="AB529" s="755"/>
      <c r="AC529" s="717"/>
      <c r="AD529" s="718">
        <f t="shared" si="129"/>
        <v>-69.166666666666671</v>
      </c>
      <c r="AE529" s="717"/>
      <c r="AF529" s="753">
        <f t="shared" si="131"/>
        <v>0</v>
      </c>
    </row>
    <row r="530" spans="1:32">
      <c r="A530" s="677">
        <v>519</v>
      </c>
      <c r="B530" s="379" t="s">
        <v>1009</v>
      </c>
      <c r="C530" s="379" t="s">
        <v>624</v>
      </c>
      <c r="D530" s="379" t="s">
        <v>382</v>
      </c>
      <c r="E530" s="662" t="s">
        <v>1724</v>
      </c>
      <c r="F530" s="676">
        <v>-1558019.97</v>
      </c>
      <c r="G530" s="676">
        <v>-1807036.27</v>
      </c>
      <c r="H530" s="676">
        <v>-2008969.8</v>
      </c>
      <c r="I530" s="676">
        <v>-2179655.12</v>
      </c>
      <c r="J530" s="676">
        <v>-1427485.33</v>
      </c>
      <c r="K530" s="676">
        <v>-1427485.33</v>
      </c>
      <c r="L530" s="676">
        <v>-1427485.33</v>
      </c>
      <c r="M530" s="676">
        <v>-1427485.33</v>
      </c>
      <c r="N530" s="676">
        <v>-1427485.33</v>
      </c>
      <c r="O530" s="676">
        <v>-1400000</v>
      </c>
      <c r="P530" s="676">
        <v>-1400000</v>
      </c>
      <c r="Q530" s="676">
        <v>0</v>
      </c>
      <c r="R530" s="676">
        <v>0</v>
      </c>
      <c r="S530" s="551">
        <f t="shared" si="124"/>
        <v>-1392674.8187500001</v>
      </c>
      <c r="T530" s="677"/>
      <c r="U530" s="716"/>
      <c r="V530" s="755">
        <f t="shared" si="128"/>
        <v>-1392674.8187500001</v>
      </c>
      <c r="W530" s="755"/>
      <c r="X530" s="778"/>
      <c r="Y530" s="755"/>
      <c r="Z530" s="755"/>
      <c r="AA530" s="716"/>
      <c r="AB530" s="755"/>
      <c r="AC530" s="717"/>
      <c r="AD530" s="718">
        <f t="shared" si="129"/>
        <v>-1392674.8187500001</v>
      </c>
      <c r="AE530" s="717"/>
      <c r="AF530" s="753">
        <f t="shared" si="131"/>
        <v>0</v>
      </c>
    </row>
    <row r="531" spans="1:32">
      <c r="A531" s="677">
        <v>520</v>
      </c>
      <c r="B531" s="379" t="s">
        <v>984</v>
      </c>
      <c r="C531" s="379" t="s">
        <v>624</v>
      </c>
      <c r="D531" s="379" t="s">
        <v>382</v>
      </c>
      <c r="E531" s="662" t="s">
        <v>1724</v>
      </c>
      <c r="F531" s="676">
        <v>0</v>
      </c>
      <c r="G531" s="676">
        <v>0</v>
      </c>
      <c r="H531" s="676">
        <v>0</v>
      </c>
      <c r="I531" s="676">
        <v>0</v>
      </c>
      <c r="J531" s="676">
        <v>0</v>
      </c>
      <c r="K531" s="676">
        <v>0</v>
      </c>
      <c r="L531" s="676">
        <v>0</v>
      </c>
      <c r="M531" s="676">
        <v>0</v>
      </c>
      <c r="N531" s="676">
        <v>0</v>
      </c>
      <c r="O531" s="676">
        <v>0</v>
      </c>
      <c r="P531" s="676">
        <v>0</v>
      </c>
      <c r="Q531" s="676">
        <v>0</v>
      </c>
      <c r="R531" s="676">
        <v>0</v>
      </c>
      <c r="S531" s="551">
        <f t="shared" si="124"/>
        <v>0</v>
      </c>
      <c r="T531" s="677"/>
      <c r="U531" s="716"/>
      <c r="V531" s="755">
        <f t="shared" si="128"/>
        <v>0</v>
      </c>
      <c r="W531" s="755"/>
      <c r="X531" s="778"/>
      <c r="Y531" s="755"/>
      <c r="Z531" s="755"/>
      <c r="AA531" s="716"/>
      <c r="AB531" s="755"/>
      <c r="AC531" s="717"/>
      <c r="AD531" s="718">
        <f t="shared" si="129"/>
        <v>0</v>
      </c>
      <c r="AE531" s="717"/>
      <c r="AF531" s="753">
        <f t="shared" si="131"/>
        <v>0</v>
      </c>
    </row>
    <row r="532" spans="1:32">
      <c r="A532" s="677">
        <v>521</v>
      </c>
      <c r="B532" s="379" t="s">
        <v>1009</v>
      </c>
      <c r="C532" s="379" t="s">
        <v>625</v>
      </c>
      <c r="D532" s="677" t="s">
        <v>1234</v>
      </c>
      <c r="E532" s="662" t="s">
        <v>1730</v>
      </c>
      <c r="F532" s="676">
        <v>3704804.32</v>
      </c>
      <c r="G532" s="676">
        <v>3645229.88</v>
      </c>
      <c r="H532" s="676">
        <v>6655527.54</v>
      </c>
      <c r="I532" s="676">
        <v>7948816.1799999997</v>
      </c>
      <c r="J532" s="676">
        <v>8418704.3900000006</v>
      </c>
      <c r="K532" s="676">
        <v>8498491.9399999995</v>
      </c>
      <c r="L532" s="676">
        <v>8600713.7200000007</v>
      </c>
      <c r="M532" s="676">
        <v>8714543.7899999991</v>
      </c>
      <c r="N532" s="676">
        <v>8943481.4000000004</v>
      </c>
      <c r="O532" s="676">
        <v>9110444.2400000002</v>
      </c>
      <c r="P532" s="676">
        <v>9809801.8300000001</v>
      </c>
      <c r="Q532" s="676">
        <v>1631609.22</v>
      </c>
      <c r="R532" s="676">
        <v>3387386.16</v>
      </c>
      <c r="S532" s="551">
        <f t="shared" si="124"/>
        <v>7126954.9474999988</v>
      </c>
      <c r="T532" s="677"/>
      <c r="U532" s="716"/>
      <c r="V532" s="724"/>
      <c r="W532" s="755"/>
      <c r="X532" s="755">
        <f>+S532</f>
        <v>7126954.9474999988</v>
      </c>
      <c r="Y532" s="755"/>
      <c r="Z532" s="755"/>
      <c r="AA532" s="716"/>
      <c r="AB532" s="718">
        <f>+X532</f>
        <v>7126954.9474999988</v>
      </c>
      <c r="AC532" s="717"/>
      <c r="AD532" s="723"/>
      <c r="AE532" s="717"/>
      <c r="AF532" s="753">
        <f t="shared" si="131"/>
        <v>0</v>
      </c>
    </row>
    <row r="533" spans="1:32">
      <c r="A533" s="677">
        <v>522</v>
      </c>
      <c r="B533" s="379" t="s">
        <v>1009</v>
      </c>
      <c r="C533" s="379" t="s">
        <v>625</v>
      </c>
      <c r="D533" s="379" t="s">
        <v>1235</v>
      </c>
      <c r="E533" s="662" t="s">
        <v>1731</v>
      </c>
      <c r="F533" s="676">
        <v>-1108593.69</v>
      </c>
      <c r="G533" s="676">
        <v>-2156297.1</v>
      </c>
      <c r="H533" s="676">
        <v>-3288565.62</v>
      </c>
      <c r="I533" s="676">
        <v>-3918743.38</v>
      </c>
      <c r="J533" s="676">
        <v>-4023173.21</v>
      </c>
      <c r="K533" s="676">
        <v>-3859207.89</v>
      </c>
      <c r="L533" s="676">
        <v>-3724670.44</v>
      </c>
      <c r="M533" s="676">
        <v>-3457335.89</v>
      </c>
      <c r="N533" s="676">
        <v>-2746085.82</v>
      </c>
      <c r="O533" s="676">
        <v>-4553630.62</v>
      </c>
      <c r="P533" s="676">
        <v>-5199110.82</v>
      </c>
      <c r="Q533" s="676">
        <v>-1735827.07</v>
      </c>
      <c r="R533" s="676">
        <v>-2322389.21</v>
      </c>
      <c r="S533" s="551">
        <f t="shared" si="124"/>
        <v>-3364844.9425000008</v>
      </c>
      <c r="T533" s="677"/>
      <c r="U533" s="716"/>
      <c r="V533" s="755"/>
      <c r="W533" s="755"/>
      <c r="X533" s="778">
        <f>+S533</f>
        <v>-3364844.9425000008</v>
      </c>
      <c r="Y533" s="755"/>
      <c r="Z533" s="755"/>
      <c r="AA533" s="716"/>
      <c r="AB533" s="755">
        <f t="shared" ref="AB533:AB536" si="132">+X533</f>
        <v>-3364844.9425000008</v>
      </c>
      <c r="AC533" s="717"/>
      <c r="AD533" s="718">
        <f t="shared" si="129"/>
        <v>0</v>
      </c>
      <c r="AE533" s="717"/>
      <c r="AF533" s="753">
        <f t="shared" si="131"/>
        <v>0</v>
      </c>
    </row>
    <row r="534" spans="1:32">
      <c r="A534" s="677">
        <v>523</v>
      </c>
      <c r="B534" s="379" t="s">
        <v>1009</v>
      </c>
      <c r="C534" s="379" t="s">
        <v>625</v>
      </c>
      <c r="D534" s="379" t="s">
        <v>1236</v>
      </c>
      <c r="E534" s="662" t="s">
        <v>626</v>
      </c>
      <c r="F534" s="676">
        <v>-593186.79</v>
      </c>
      <c r="G534" s="676">
        <v>0</v>
      </c>
      <c r="H534" s="676">
        <v>0</v>
      </c>
      <c r="I534" s="676">
        <v>0</v>
      </c>
      <c r="J534" s="676">
        <v>0</v>
      </c>
      <c r="K534" s="676">
        <v>0</v>
      </c>
      <c r="L534" s="676">
        <v>0</v>
      </c>
      <c r="M534" s="676">
        <v>0</v>
      </c>
      <c r="N534" s="676">
        <v>0</v>
      </c>
      <c r="O534" s="676">
        <v>0</v>
      </c>
      <c r="P534" s="676">
        <v>0</v>
      </c>
      <c r="Q534" s="676">
        <v>0</v>
      </c>
      <c r="R534" s="676">
        <v>0</v>
      </c>
      <c r="S534" s="551">
        <f t="shared" si="124"/>
        <v>-24716.116250000003</v>
      </c>
      <c r="T534" s="677"/>
      <c r="U534" s="716"/>
      <c r="V534" s="755"/>
      <c r="W534" s="755"/>
      <c r="X534" s="778">
        <f t="shared" ref="X534:X543" si="133">+S534</f>
        <v>-24716.116250000003</v>
      </c>
      <c r="Y534" s="755"/>
      <c r="Z534" s="755"/>
      <c r="AA534" s="716"/>
      <c r="AB534" s="755">
        <f t="shared" si="132"/>
        <v>-24716.116250000003</v>
      </c>
      <c r="AC534" s="717"/>
      <c r="AD534" s="718">
        <f t="shared" si="129"/>
        <v>0</v>
      </c>
      <c r="AE534" s="717"/>
      <c r="AF534" s="753">
        <f t="shared" si="131"/>
        <v>0</v>
      </c>
    </row>
    <row r="535" spans="1:32">
      <c r="A535" s="677">
        <v>524</v>
      </c>
      <c r="B535" s="379" t="s">
        <v>1009</v>
      </c>
      <c r="C535" s="379" t="s">
        <v>625</v>
      </c>
      <c r="D535" s="379" t="s">
        <v>1237</v>
      </c>
      <c r="E535" s="662" t="s">
        <v>1732</v>
      </c>
      <c r="F535" s="676">
        <v>-2335027.88</v>
      </c>
      <c r="G535" s="676">
        <v>-1849878.03</v>
      </c>
      <c r="H535" s="676">
        <v>-1392031.55</v>
      </c>
      <c r="I535" s="676">
        <v>-876283.67</v>
      </c>
      <c r="J535" s="676">
        <v>-525555.71</v>
      </c>
      <c r="K535" s="676">
        <v>-338236.72</v>
      </c>
      <c r="L535" s="676">
        <v>-208753.22</v>
      </c>
      <c r="M535" s="676">
        <v>-111957.73</v>
      </c>
      <c r="N535" s="676">
        <v>-29672.6899999997</v>
      </c>
      <c r="O535" s="676">
        <v>52499.2600000003</v>
      </c>
      <c r="P535" s="676">
        <v>253772.23</v>
      </c>
      <c r="Q535" s="676">
        <v>5234050.04</v>
      </c>
      <c r="R535" s="676">
        <v>4487237.01</v>
      </c>
      <c r="S535" s="551">
        <f t="shared" si="124"/>
        <v>107004.73125000014</v>
      </c>
      <c r="T535" s="677"/>
      <c r="U535" s="716"/>
      <c r="V535" s="755"/>
      <c r="W535" s="755"/>
      <c r="X535" s="778">
        <f t="shared" si="133"/>
        <v>107004.73125000014</v>
      </c>
      <c r="Y535" s="755"/>
      <c r="Z535" s="755"/>
      <c r="AA535" s="716"/>
      <c r="AB535" s="755">
        <f t="shared" si="132"/>
        <v>107004.73125000014</v>
      </c>
      <c r="AC535" s="717"/>
      <c r="AD535" s="718">
        <f t="shared" si="129"/>
        <v>0</v>
      </c>
      <c r="AE535" s="717"/>
      <c r="AF535" s="753">
        <f t="shared" si="131"/>
        <v>0</v>
      </c>
    </row>
    <row r="536" spans="1:32">
      <c r="A536" s="677">
        <v>525</v>
      </c>
      <c r="B536" s="379" t="s">
        <v>1009</v>
      </c>
      <c r="C536" s="379" t="s">
        <v>625</v>
      </c>
      <c r="D536" s="379" t="s">
        <v>1238</v>
      </c>
      <c r="E536" s="662" t="s">
        <v>1733</v>
      </c>
      <c r="F536" s="676">
        <v>332004.03999999998</v>
      </c>
      <c r="G536" s="676">
        <v>333767.61</v>
      </c>
      <c r="H536" s="676">
        <v>367209.23</v>
      </c>
      <c r="I536" s="676">
        <v>245259.16</v>
      </c>
      <c r="J536" s="676">
        <v>158012.82999999999</v>
      </c>
      <c r="K536" s="676">
        <v>79157.52</v>
      </c>
      <c r="L536" s="676">
        <v>61679.98</v>
      </c>
      <c r="M536" s="676">
        <v>51660.78</v>
      </c>
      <c r="N536" s="676">
        <v>27164.76</v>
      </c>
      <c r="O536" s="676">
        <v>66468.27</v>
      </c>
      <c r="P536" s="676">
        <v>192148.92</v>
      </c>
      <c r="Q536" s="676">
        <v>-480596.03</v>
      </c>
      <c r="R536" s="676">
        <v>-543667.46</v>
      </c>
      <c r="S536" s="551">
        <f t="shared" si="124"/>
        <v>83008.443333333344</v>
      </c>
      <c r="T536" s="677"/>
      <c r="U536" s="716"/>
      <c r="V536" s="755"/>
      <c r="W536" s="755"/>
      <c r="X536" s="778">
        <f t="shared" si="133"/>
        <v>83008.443333333344</v>
      </c>
      <c r="Y536" s="755"/>
      <c r="Z536" s="755"/>
      <c r="AA536" s="716"/>
      <c r="AB536" s="755">
        <f t="shared" si="132"/>
        <v>83008.443333333344</v>
      </c>
      <c r="AC536" s="717"/>
      <c r="AD536" s="718">
        <f t="shared" si="129"/>
        <v>0</v>
      </c>
      <c r="AE536" s="717"/>
      <c r="AF536" s="753">
        <f t="shared" si="131"/>
        <v>0</v>
      </c>
    </row>
    <row r="537" spans="1:32">
      <c r="A537" s="677">
        <v>526</v>
      </c>
      <c r="B537" s="379" t="s">
        <v>984</v>
      </c>
      <c r="C537" s="379" t="s">
        <v>625</v>
      </c>
      <c r="D537" s="379" t="s">
        <v>463</v>
      </c>
      <c r="E537" s="662" t="s">
        <v>1741</v>
      </c>
      <c r="F537" s="676">
        <v>-40887966.869999997</v>
      </c>
      <c r="G537" s="676">
        <v>0</v>
      </c>
      <c r="H537" s="676">
        <v>0</v>
      </c>
      <c r="I537" s="676">
        <v>0</v>
      </c>
      <c r="J537" s="676">
        <v>0</v>
      </c>
      <c r="K537" s="676">
        <v>0</v>
      </c>
      <c r="L537" s="676">
        <v>0</v>
      </c>
      <c r="M537" s="676">
        <v>0</v>
      </c>
      <c r="N537" s="676">
        <v>0</v>
      </c>
      <c r="O537" s="676">
        <v>0</v>
      </c>
      <c r="P537" s="676">
        <v>0</v>
      </c>
      <c r="Q537" s="676">
        <v>0</v>
      </c>
      <c r="R537" s="676">
        <v>0</v>
      </c>
      <c r="S537" s="551">
        <f t="shared" si="124"/>
        <v>-1703665.2862499999</v>
      </c>
      <c r="T537" s="677"/>
      <c r="U537" s="716"/>
      <c r="V537" s="755"/>
      <c r="W537" s="755"/>
      <c r="X537" s="778">
        <f t="shared" si="133"/>
        <v>-1703665.2862499999</v>
      </c>
      <c r="Y537" s="755"/>
      <c r="Z537" s="755"/>
      <c r="AA537" s="716"/>
      <c r="AB537" s="755">
        <f>+X537</f>
        <v>-1703665.2862499999</v>
      </c>
      <c r="AC537" s="717"/>
      <c r="AD537" s="718">
        <f t="shared" si="129"/>
        <v>0</v>
      </c>
      <c r="AE537" s="717"/>
      <c r="AF537" s="753">
        <f t="shared" si="131"/>
        <v>0</v>
      </c>
    </row>
    <row r="538" spans="1:32">
      <c r="A538" s="677">
        <v>527</v>
      </c>
      <c r="B538" s="379" t="s">
        <v>984</v>
      </c>
      <c r="C538" s="379" t="s">
        <v>625</v>
      </c>
      <c r="D538" s="379" t="s">
        <v>1239</v>
      </c>
      <c r="E538" s="662" t="s">
        <v>1730</v>
      </c>
      <c r="F538" s="676">
        <v>38253031.32</v>
      </c>
      <c r="G538" s="676">
        <v>48162013.890000001</v>
      </c>
      <c r="H538" s="676">
        <v>72468980.939999998</v>
      </c>
      <c r="I538" s="676">
        <v>95192961.480000004</v>
      </c>
      <c r="J538" s="676">
        <v>46106698.380000003</v>
      </c>
      <c r="K538" s="676">
        <v>45847438.399999999</v>
      </c>
      <c r="L538" s="676">
        <v>45944483.780000001</v>
      </c>
      <c r="M538" s="676">
        <v>46085248.100000001</v>
      </c>
      <c r="N538" s="676">
        <v>46772054.539999999</v>
      </c>
      <c r="O538" s="676">
        <v>46706432.990000002</v>
      </c>
      <c r="P538" s="676">
        <v>48679295.020000003</v>
      </c>
      <c r="Q538" s="676">
        <v>4384409.1900000004</v>
      </c>
      <c r="R538" s="676">
        <v>11456753.52</v>
      </c>
      <c r="S538" s="551">
        <f t="shared" si="124"/>
        <v>47600409.094166674</v>
      </c>
      <c r="T538" s="677"/>
      <c r="U538" s="716"/>
      <c r="V538" s="755"/>
      <c r="W538" s="755"/>
      <c r="X538" s="778">
        <f t="shared" si="133"/>
        <v>47600409.094166674</v>
      </c>
      <c r="Y538" s="755"/>
      <c r="Z538" s="755"/>
      <c r="AA538" s="716"/>
      <c r="AB538" s="755">
        <f t="shared" ref="AB538:AB543" si="134">+X538</f>
        <v>47600409.094166674</v>
      </c>
      <c r="AC538" s="717"/>
      <c r="AD538" s="718">
        <f t="shared" si="129"/>
        <v>0</v>
      </c>
      <c r="AE538" s="717"/>
      <c r="AF538" s="753">
        <f t="shared" si="131"/>
        <v>0</v>
      </c>
    </row>
    <row r="539" spans="1:32">
      <c r="A539" s="677">
        <v>528</v>
      </c>
      <c r="B539" s="379" t="s">
        <v>984</v>
      </c>
      <c r="C539" s="379" t="s">
        <v>625</v>
      </c>
      <c r="D539" s="379" t="s">
        <v>1240</v>
      </c>
      <c r="E539" s="662" t="s">
        <v>1731</v>
      </c>
      <c r="F539" s="676">
        <v>1569192.42</v>
      </c>
      <c r="G539" s="676">
        <v>-1020148.36</v>
      </c>
      <c r="H539" s="676">
        <v>-5442810.3399999999</v>
      </c>
      <c r="I539" s="676">
        <v>-7385013.0099999998</v>
      </c>
      <c r="J539" s="676">
        <v>-6549067.3300000001</v>
      </c>
      <c r="K539" s="676">
        <v>-4922617.32</v>
      </c>
      <c r="L539" s="676">
        <v>-2853429.87</v>
      </c>
      <c r="M539" s="676">
        <v>-724893.84</v>
      </c>
      <c r="N539" s="676">
        <v>1555000.36</v>
      </c>
      <c r="O539" s="676">
        <v>-3923421.62</v>
      </c>
      <c r="P539" s="676">
        <v>-4657972.0999999996</v>
      </c>
      <c r="Q539" s="676">
        <v>946819.65999999898</v>
      </c>
      <c r="R539" s="676">
        <v>-1901460.25</v>
      </c>
      <c r="S539" s="551">
        <f t="shared" si="124"/>
        <v>-2928640.6404166669</v>
      </c>
      <c r="T539" s="677"/>
      <c r="U539" s="716"/>
      <c r="V539" s="755"/>
      <c r="W539" s="755"/>
      <c r="X539" s="778">
        <f t="shared" si="133"/>
        <v>-2928640.6404166669</v>
      </c>
      <c r="Y539" s="755"/>
      <c r="Z539" s="755"/>
      <c r="AA539" s="716"/>
      <c r="AB539" s="755">
        <f t="shared" si="134"/>
        <v>-2928640.6404166669</v>
      </c>
      <c r="AC539" s="717"/>
      <c r="AD539" s="718">
        <f t="shared" si="129"/>
        <v>0</v>
      </c>
      <c r="AE539" s="717"/>
      <c r="AF539" s="753">
        <f t="shared" si="131"/>
        <v>0</v>
      </c>
    </row>
    <row r="540" spans="1:32">
      <c r="A540" s="677">
        <v>529</v>
      </c>
      <c r="B540" s="379" t="s">
        <v>984</v>
      </c>
      <c r="C540" s="379" t="s">
        <v>625</v>
      </c>
      <c r="D540" s="379" t="s">
        <v>1241</v>
      </c>
      <c r="E540" s="662" t="s">
        <v>1732</v>
      </c>
      <c r="F540" s="676">
        <v>1242631.18</v>
      </c>
      <c r="G540" s="676">
        <v>981333.26</v>
      </c>
      <c r="H540" s="676">
        <v>699888.78</v>
      </c>
      <c r="I540" s="676">
        <v>389285.93</v>
      </c>
      <c r="J540" s="676">
        <v>211478.86</v>
      </c>
      <c r="K540" s="676">
        <v>103965.13</v>
      </c>
      <c r="L540" s="676">
        <v>38144.839999999902</v>
      </c>
      <c r="M540" s="676">
        <v>-18293.3500000001</v>
      </c>
      <c r="N540" s="676">
        <v>-70006.930000000095</v>
      </c>
      <c r="O540" s="676">
        <v>-120543.07</v>
      </c>
      <c r="P540" s="676">
        <v>-233366.03</v>
      </c>
      <c r="Q540" s="676">
        <v>-8.7311491370201098E-11</v>
      </c>
      <c r="R540" s="676">
        <v>-8.7311491370201098E-11</v>
      </c>
      <c r="S540" s="551">
        <f t="shared" si="124"/>
        <v>216933.58416666664</v>
      </c>
      <c r="T540" s="677"/>
      <c r="U540" s="716"/>
      <c r="V540" s="755"/>
      <c r="W540" s="755"/>
      <c r="X540" s="778">
        <f t="shared" si="133"/>
        <v>216933.58416666664</v>
      </c>
      <c r="Y540" s="755"/>
      <c r="Z540" s="755"/>
      <c r="AA540" s="716"/>
      <c r="AB540" s="755">
        <f t="shared" si="134"/>
        <v>216933.58416666664</v>
      </c>
      <c r="AC540" s="717"/>
      <c r="AD540" s="718">
        <f t="shared" si="129"/>
        <v>0</v>
      </c>
      <c r="AE540" s="717"/>
      <c r="AF540" s="753">
        <f t="shared" si="131"/>
        <v>0</v>
      </c>
    </row>
    <row r="541" spans="1:32">
      <c r="A541" s="677">
        <v>530</v>
      </c>
      <c r="B541" s="379" t="s">
        <v>984</v>
      </c>
      <c r="C541" s="379" t="s">
        <v>625</v>
      </c>
      <c r="D541" s="379" t="s">
        <v>1947</v>
      </c>
      <c r="E541" s="662" t="s">
        <v>1948</v>
      </c>
      <c r="F541" s="676">
        <v>0</v>
      </c>
      <c r="G541" s="676">
        <v>0</v>
      </c>
      <c r="H541" s="676">
        <v>0</v>
      </c>
      <c r="I541" s="676">
        <v>0</v>
      </c>
      <c r="J541" s="676">
        <v>48238516.170000002</v>
      </c>
      <c r="K541" s="676">
        <v>47467721.75</v>
      </c>
      <c r="L541" s="676">
        <v>47028598.560000002</v>
      </c>
      <c r="M541" s="676">
        <v>46691603.600000001</v>
      </c>
      <c r="N541" s="676">
        <v>46402080.859999999</v>
      </c>
      <c r="O541" s="676">
        <v>46118062.170000002</v>
      </c>
      <c r="P541" s="676">
        <v>45226488.729999997</v>
      </c>
      <c r="Q541" s="676">
        <v>43685242.840000004</v>
      </c>
      <c r="R541" s="676">
        <v>41366186.759999998</v>
      </c>
      <c r="S541" s="551">
        <f t="shared" si="124"/>
        <v>32628450.671666671</v>
      </c>
      <c r="T541" s="677"/>
      <c r="U541" s="716"/>
      <c r="V541" s="755"/>
      <c r="W541" s="755"/>
      <c r="X541" s="778">
        <f>+S541</f>
        <v>32628450.671666671</v>
      </c>
      <c r="Y541" s="755"/>
      <c r="Z541" s="755"/>
      <c r="AA541" s="716"/>
      <c r="AB541" s="755">
        <f t="shared" si="134"/>
        <v>32628450.671666671</v>
      </c>
      <c r="AC541" s="717"/>
      <c r="AD541" s="718"/>
      <c r="AE541" s="717"/>
      <c r="AF541" s="753"/>
    </row>
    <row r="542" spans="1:32">
      <c r="A542" s="677">
        <v>531</v>
      </c>
      <c r="B542" s="379" t="s">
        <v>984</v>
      </c>
      <c r="C542" s="379" t="s">
        <v>625</v>
      </c>
      <c r="D542" s="379" t="s">
        <v>1949</v>
      </c>
      <c r="E542" s="662" t="s">
        <v>1948</v>
      </c>
      <c r="F542" s="676">
        <v>0</v>
      </c>
      <c r="G542" s="676">
        <v>0</v>
      </c>
      <c r="H542" s="676">
        <v>0</v>
      </c>
      <c r="I542" s="676">
        <v>0</v>
      </c>
      <c r="J542" s="676">
        <v>0</v>
      </c>
      <c r="K542" s="676">
        <v>0</v>
      </c>
      <c r="L542" s="676">
        <v>0</v>
      </c>
      <c r="M542" s="676">
        <v>0</v>
      </c>
      <c r="N542" s="676">
        <v>0</v>
      </c>
      <c r="O542" s="676">
        <v>0</v>
      </c>
      <c r="P542" s="676">
        <v>0</v>
      </c>
      <c r="Q542" s="676">
        <v>38342676.920000002</v>
      </c>
      <c r="R542" s="676">
        <v>36554943.310000002</v>
      </c>
      <c r="S542" s="551">
        <f t="shared" si="124"/>
        <v>4718345.7145833336</v>
      </c>
      <c r="T542" s="677"/>
      <c r="U542" s="716"/>
      <c r="V542" s="755"/>
      <c r="W542" s="755"/>
      <c r="X542" s="778">
        <f>+S542</f>
        <v>4718345.7145833336</v>
      </c>
      <c r="Y542" s="755"/>
      <c r="Z542" s="755"/>
      <c r="AA542" s="716"/>
      <c r="AB542" s="755">
        <f t="shared" si="134"/>
        <v>4718345.7145833336</v>
      </c>
      <c r="AC542" s="717"/>
      <c r="AD542" s="718"/>
      <c r="AE542" s="717"/>
      <c r="AF542" s="753"/>
    </row>
    <row r="543" spans="1:32">
      <c r="A543" s="677">
        <v>532</v>
      </c>
      <c r="B543" s="379" t="s">
        <v>984</v>
      </c>
      <c r="C543" s="379" t="s">
        <v>625</v>
      </c>
      <c r="D543" s="379" t="s">
        <v>1238</v>
      </c>
      <c r="E543" s="662" t="s">
        <v>1733</v>
      </c>
      <c r="F543" s="676">
        <v>-176888.05</v>
      </c>
      <c r="G543" s="676">
        <v>-176596.49</v>
      </c>
      <c r="H543" s="676">
        <v>-220472.63</v>
      </c>
      <c r="I543" s="676">
        <v>-145427.01</v>
      </c>
      <c r="J543" s="676">
        <v>-836514.01</v>
      </c>
      <c r="K543" s="676">
        <v>-483135.71</v>
      </c>
      <c r="L543" s="676">
        <v>-343626.12</v>
      </c>
      <c r="M543" s="676">
        <v>-340080.24</v>
      </c>
      <c r="N543" s="676">
        <v>-187948.59</v>
      </c>
      <c r="O543" s="676">
        <v>-454889.8</v>
      </c>
      <c r="P543" s="676">
        <v>-1106965.51</v>
      </c>
      <c r="Q543" s="676">
        <v>-2850298.75</v>
      </c>
      <c r="R543" s="676">
        <v>-3280759.84</v>
      </c>
      <c r="S543" s="551">
        <f t="shared" si="124"/>
        <v>-739564.90041666664</v>
      </c>
      <c r="T543" s="677"/>
      <c r="U543" s="716"/>
      <c r="V543" s="755"/>
      <c r="W543" s="755"/>
      <c r="X543" s="778">
        <f t="shared" si="133"/>
        <v>-739564.90041666664</v>
      </c>
      <c r="Y543" s="755"/>
      <c r="Z543" s="755"/>
      <c r="AA543" s="716"/>
      <c r="AB543" s="755">
        <f t="shared" si="134"/>
        <v>-739564.90041666664</v>
      </c>
      <c r="AC543" s="717"/>
      <c r="AD543" s="718">
        <f t="shared" si="129"/>
        <v>0</v>
      </c>
      <c r="AE543" s="719"/>
      <c r="AF543" s="753">
        <f t="shared" si="131"/>
        <v>0</v>
      </c>
    </row>
    <row r="544" spans="1:32">
      <c r="A544" s="677">
        <v>533</v>
      </c>
      <c r="B544" s="379" t="s">
        <v>1009</v>
      </c>
      <c r="C544" s="379" t="s">
        <v>625</v>
      </c>
      <c r="D544" s="379" t="s">
        <v>1242</v>
      </c>
      <c r="E544" s="662" t="s">
        <v>627</v>
      </c>
      <c r="F544" s="676">
        <v>0</v>
      </c>
      <c r="G544" s="676">
        <v>0</v>
      </c>
      <c r="H544" s="676">
        <v>0</v>
      </c>
      <c r="I544" s="676">
        <v>0</v>
      </c>
      <c r="J544" s="676">
        <v>0</v>
      </c>
      <c r="K544" s="676">
        <v>0</v>
      </c>
      <c r="L544" s="676">
        <v>0</v>
      </c>
      <c r="M544" s="676">
        <v>0</v>
      </c>
      <c r="N544" s="676">
        <v>0</v>
      </c>
      <c r="O544" s="676">
        <v>0</v>
      </c>
      <c r="P544" s="676">
        <v>-224.3</v>
      </c>
      <c r="Q544" s="676">
        <v>0</v>
      </c>
      <c r="R544" s="676">
        <v>-29908.85</v>
      </c>
      <c r="S544" s="551">
        <f t="shared" si="124"/>
        <v>-1264.89375</v>
      </c>
      <c r="T544" s="677"/>
      <c r="U544" s="716"/>
      <c r="V544" s="755">
        <f>+S544</f>
        <v>-1264.89375</v>
      </c>
      <c r="W544" s="755"/>
      <c r="X544" s="778"/>
      <c r="Y544" s="755"/>
      <c r="Z544" s="755"/>
      <c r="AA544" s="716"/>
      <c r="AB544" s="755"/>
      <c r="AC544" s="717"/>
      <c r="AD544" s="718">
        <f t="shared" si="129"/>
        <v>-1264.89375</v>
      </c>
      <c r="AE544" s="725"/>
      <c r="AF544" s="753">
        <f t="shared" si="131"/>
        <v>0</v>
      </c>
    </row>
    <row r="545" spans="1:32">
      <c r="A545" s="677">
        <v>534</v>
      </c>
      <c r="B545" s="379" t="s">
        <v>984</v>
      </c>
      <c r="C545" s="379" t="s">
        <v>625</v>
      </c>
      <c r="D545" s="379" t="s">
        <v>1243</v>
      </c>
      <c r="E545" s="662" t="s">
        <v>627</v>
      </c>
      <c r="F545" s="676">
        <v>0</v>
      </c>
      <c r="G545" s="676">
        <v>0</v>
      </c>
      <c r="H545" s="676">
        <v>0</v>
      </c>
      <c r="I545" s="676">
        <v>0</v>
      </c>
      <c r="J545" s="676">
        <v>0</v>
      </c>
      <c r="K545" s="676">
        <v>0</v>
      </c>
      <c r="L545" s="676">
        <v>0</v>
      </c>
      <c r="M545" s="676">
        <v>0</v>
      </c>
      <c r="N545" s="676">
        <v>0</v>
      </c>
      <c r="O545" s="676">
        <v>0</v>
      </c>
      <c r="P545" s="676">
        <v>-745.7</v>
      </c>
      <c r="Q545" s="676">
        <v>0</v>
      </c>
      <c r="R545" s="676">
        <v>-108189.15</v>
      </c>
      <c r="S545" s="551">
        <f t="shared" si="124"/>
        <v>-4570.0229166666659</v>
      </c>
      <c r="T545" s="677"/>
      <c r="U545" s="716"/>
      <c r="V545" s="755">
        <f>+S545</f>
        <v>-4570.0229166666659</v>
      </c>
      <c r="W545" s="755"/>
      <c r="X545" s="778"/>
      <c r="Y545" s="755"/>
      <c r="Z545" s="755"/>
      <c r="AA545" s="716"/>
      <c r="AB545" s="755"/>
      <c r="AC545" s="717"/>
      <c r="AD545" s="718">
        <f t="shared" si="129"/>
        <v>-4570.0229166666659</v>
      </c>
      <c r="AE545" s="718"/>
      <c r="AF545" s="753">
        <f t="shared" si="131"/>
        <v>0</v>
      </c>
    </row>
    <row r="546" spans="1:32">
      <c r="A546" s="677">
        <v>536</v>
      </c>
      <c r="B546" s="677"/>
      <c r="C546" s="677"/>
      <c r="D546" s="677"/>
      <c r="E546" s="662" t="s">
        <v>629</v>
      </c>
      <c r="F546" s="358">
        <f t="shared" ref="F546" si="135">SUM(F462:F545)</f>
        <v>-32063005.899999995</v>
      </c>
      <c r="G546" s="358">
        <f t="shared" ref="G546" si="136">SUM(G462:G545)</f>
        <v>-34451350.739999995</v>
      </c>
      <c r="H546" s="358">
        <f t="shared" ref="H546" si="137">SUM(H462:H545)</f>
        <v>-33219999.679999996</v>
      </c>
      <c r="I546" s="358">
        <f t="shared" ref="I546" si="138">SUM(I462:I545)</f>
        <v>-36492609.619999997</v>
      </c>
      <c r="J546" s="358">
        <f t="shared" ref="J546" si="139">SUM(J462:J545)</f>
        <v>-28684516.499999966</v>
      </c>
      <c r="K546" s="358">
        <f t="shared" ref="K546" si="140">SUM(K462:K545)</f>
        <v>-31630282.010000013</v>
      </c>
      <c r="L546" s="358">
        <f t="shared" ref="L546" si="141">SUM(L462:L545)</f>
        <v>-33481269.949999969</v>
      </c>
      <c r="M546" s="358">
        <f t="shared" ref="M546" si="142">SUM(M462:M545)</f>
        <v>-33183083.010000002</v>
      </c>
      <c r="N546" s="358">
        <f t="shared" ref="N546" si="143">SUM(N462:N545)</f>
        <v>-34166519.859999985</v>
      </c>
      <c r="O546" s="358">
        <f t="shared" ref="O546" si="144">SUM(O462:O545)</f>
        <v>-35545662.090000004</v>
      </c>
      <c r="P546" s="358">
        <f t="shared" ref="P546" si="145">SUM(P462:P545)</f>
        <v>-36503371.73999998</v>
      </c>
      <c r="Q546" s="358">
        <f t="shared" ref="Q546" si="146">SUM(Q462:Q545)</f>
        <v>-40736828.329999983</v>
      </c>
      <c r="R546" s="358">
        <f t="shared" ref="R546" si="147">SUM(R462:R545)</f>
        <v>-39990550.930000007</v>
      </c>
      <c r="S546" s="358">
        <f>SUM(S462:S545)</f>
        <v>-34510189.32874994</v>
      </c>
      <c r="T546" s="677"/>
      <c r="U546" s="716"/>
      <c r="V546" s="755"/>
      <c r="W546" s="755"/>
      <c r="X546" s="778"/>
      <c r="Y546" s="755"/>
      <c r="Z546" s="755"/>
      <c r="AA546" s="716"/>
      <c r="AB546" s="755"/>
      <c r="AC546" s="717"/>
      <c r="AD546" s="717"/>
      <c r="AE546" s="717"/>
      <c r="AF546" s="753">
        <f t="shared" si="131"/>
        <v>0</v>
      </c>
    </row>
    <row r="547" spans="1:32">
      <c r="A547" s="677">
        <v>537</v>
      </c>
      <c r="B547" s="677"/>
      <c r="C547" s="677"/>
      <c r="D547" s="677"/>
      <c r="E547" s="662"/>
      <c r="F547" s="676"/>
      <c r="G547" s="377"/>
      <c r="H547" s="368"/>
      <c r="I547" s="368"/>
      <c r="J547" s="369"/>
      <c r="K547" s="370"/>
      <c r="L547" s="371"/>
      <c r="M547" s="372"/>
      <c r="N547" s="373"/>
      <c r="O547" s="663"/>
      <c r="P547" s="374"/>
      <c r="Q547" s="378"/>
      <c r="R547" s="676"/>
      <c r="S547" s="357"/>
      <c r="T547" s="677"/>
      <c r="U547" s="716"/>
      <c r="V547" s="755"/>
      <c r="W547" s="755"/>
      <c r="X547" s="778"/>
      <c r="Y547" s="755"/>
      <c r="Z547" s="755"/>
      <c r="AA547" s="716"/>
      <c r="AB547" s="755"/>
      <c r="AC547" s="717"/>
      <c r="AD547" s="717"/>
      <c r="AE547" s="717"/>
      <c r="AF547" s="753">
        <f t="shared" si="131"/>
        <v>0</v>
      </c>
    </row>
    <row r="548" spans="1:32">
      <c r="A548" s="677">
        <v>538</v>
      </c>
      <c r="B548" s="379" t="s">
        <v>984</v>
      </c>
      <c r="C548" s="379" t="s">
        <v>621</v>
      </c>
      <c r="D548" s="379" t="s">
        <v>450</v>
      </c>
      <c r="E548" s="662" t="s">
        <v>1757</v>
      </c>
      <c r="F548" s="676">
        <v>-10840395.23</v>
      </c>
      <c r="G548" s="676">
        <v>-10826655.050000001</v>
      </c>
      <c r="H548" s="676">
        <v>-10758174.800000001</v>
      </c>
      <c r="I548" s="676">
        <v>-10644347.890000001</v>
      </c>
      <c r="J548" s="676">
        <v>-10485572.74</v>
      </c>
      <c r="K548" s="676">
        <v>-10425552.9</v>
      </c>
      <c r="L548" s="676">
        <v>-10371495.15</v>
      </c>
      <c r="M548" s="676">
        <v>-10311475.369999999</v>
      </c>
      <c r="N548" s="676">
        <v>-10226825.369999999</v>
      </c>
      <c r="O548" s="676">
        <v>-10149476.9</v>
      </c>
      <c r="P548" s="676">
        <v>-9941631.1199999992</v>
      </c>
      <c r="Q548" s="676">
        <v>-9869455.4700000007</v>
      </c>
      <c r="R548" s="676">
        <v>-9591418.1799999997</v>
      </c>
      <c r="S548" s="551">
        <f t="shared" si="124"/>
        <v>-10352214.122083334</v>
      </c>
      <c r="T548" s="677"/>
      <c r="U548" s="716"/>
      <c r="V548" s="755">
        <f>+S548</f>
        <v>-10352214.122083334</v>
      </c>
      <c r="W548" s="755"/>
      <c r="X548" s="778"/>
      <c r="Y548" s="755"/>
      <c r="Z548" s="755"/>
      <c r="AA548" s="716"/>
      <c r="AB548" s="755"/>
      <c r="AC548" s="717"/>
      <c r="AD548" s="718">
        <f>+V548</f>
        <v>-10352214.122083334</v>
      </c>
      <c r="AE548" s="717"/>
      <c r="AF548" s="753">
        <f t="shared" si="131"/>
        <v>0</v>
      </c>
    </row>
    <row r="549" spans="1:32">
      <c r="A549" s="677">
        <v>539</v>
      </c>
      <c r="B549" s="379" t="s">
        <v>984</v>
      </c>
      <c r="C549" s="379" t="s">
        <v>621</v>
      </c>
      <c r="D549" s="379" t="s">
        <v>494</v>
      </c>
      <c r="E549" s="662" t="s">
        <v>1758</v>
      </c>
      <c r="F549" s="676">
        <v>-466500</v>
      </c>
      <c r="G549" s="676">
        <v>-466500</v>
      </c>
      <c r="H549" s="676">
        <v>-466500</v>
      </c>
      <c r="I549" s="676">
        <v>-466500</v>
      </c>
      <c r="J549" s="676">
        <v>-466500</v>
      </c>
      <c r="K549" s="676">
        <v>-466500</v>
      </c>
      <c r="L549" s="676">
        <v>-466500</v>
      </c>
      <c r="M549" s="676">
        <v>-466500</v>
      </c>
      <c r="N549" s="676">
        <v>-466500</v>
      </c>
      <c r="O549" s="676">
        <v>-466500</v>
      </c>
      <c r="P549" s="676">
        <v>-466500</v>
      </c>
      <c r="Q549" s="676">
        <v>-466500</v>
      </c>
      <c r="R549" s="676">
        <v>-466500</v>
      </c>
      <c r="S549" s="551">
        <f t="shared" si="124"/>
        <v>-466500</v>
      </c>
      <c r="T549" s="677"/>
      <c r="U549" s="716"/>
      <c r="V549" s="755">
        <f t="shared" ref="V549:V550" si="148">+S549</f>
        <v>-466500</v>
      </c>
      <c r="W549" s="755"/>
      <c r="X549" s="778"/>
      <c r="Y549" s="755"/>
      <c r="Z549" s="755"/>
      <c r="AA549" s="716"/>
      <c r="AB549" s="755"/>
      <c r="AC549" s="717"/>
      <c r="AD549" s="718">
        <f t="shared" ref="AD549:AD550" si="149">+V549</f>
        <v>-466500</v>
      </c>
      <c r="AE549" s="717"/>
      <c r="AF549" s="753">
        <f t="shared" si="131"/>
        <v>0</v>
      </c>
    </row>
    <row r="550" spans="1:32">
      <c r="A550" s="677">
        <v>540</v>
      </c>
      <c r="B550" s="379" t="s">
        <v>1009</v>
      </c>
      <c r="C550" s="379" t="s">
        <v>621</v>
      </c>
      <c r="D550" s="379" t="s">
        <v>494</v>
      </c>
      <c r="E550" s="662" t="s">
        <v>1755</v>
      </c>
      <c r="F550" s="676">
        <v>-1545967.84</v>
      </c>
      <c r="G550" s="676">
        <v>-1545967.84</v>
      </c>
      <c r="H550" s="676">
        <v>-1545967.84</v>
      </c>
      <c r="I550" s="676">
        <v>-1545967.84</v>
      </c>
      <c r="J550" s="676">
        <v>-1545967.84</v>
      </c>
      <c r="K550" s="676">
        <v>-1545967.84</v>
      </c>
      <c r="L550" s="676">
        <v>-1000000</v>
      </c>
      <c r="M550" s="676">
        <v>-1000000</v>
      </c>
      <c r="N550" s="676">
        <v>-976315.87</v>
      </c>
      <c r="O550" s="676">
        <v>-976315.87</v>
      </c>
      <c r="P550" s="676">
        <v>-976315.87</v>
      </c>
      <c r="Q550" s="676">
        <v>-976315.87</v>
      </c>
      <c r="R550" s="676">
        <v>-46000.000000000102</v>
      </c>
      <c r="S550" s="551">
        <f t="shared" si="124"/>
        <v>-1202590.5499999996</v>
      </c>
      <c r="T550" s="677"/>
      <c r="U550" s="716"/>
      <c r="V550" s="755">
        <f t="shared" si="148"/>
        <v>-1202590.5499999996</v>
      </c>
      <c r="W550" s="755"/>
      <c r="X550" s="778"/>
      <c r="Y550" s="755"/>
      <c r="Z550" s="755"/>
      <c r="AA550" s="716"/>
      <c r="AB550" s="755"/>
      <c r="AC550" s="717"/>
      <c r="AD550" s="718">
        <f t="shared" si="149"/>
        <v>-1202590.5499999996</v>
      </c>
      <c r="AE550" s="717"/>
      <c r="AF550" s="753">
        <f t="shared" si="131"/>
        <v>0</v>
      </c>
    </row>
    <row r="551" spans="1:32">
      <c r="A551" s="677">
        <v>541</v>
      </c>
      <c r="B551" s="379" t="s">
        <v>981</v>
      </c>
      <c r="C551" s="379" t="s">
        <v>630</v>
      </c>
      <c r="D551" s="379" t="s">
        <v>450</v>
      </c>
      <c r="E551" s="662" t="s">
        <v>1742</v>
      </c>
      <c r="F551" s="676">
        <v>-5590044.1200000001</v>
      </c>
      <c r="G551" s="676">
        <v>-5646294.1200000001</v>
      </c>
      <c r="H551" s="676">
        <v>-5702544.1200000001</v>
      </c>
      <c r="I551" s="676">
        <v>-5613707.8499999996</v>
      </c>
      <c r="J551" s="676">
        <v>-5669957.8499999996</v>
      </c>
      <c r="K551" s="676">
        <v>-5716844.5199999996</v>
      </c>
      <c r="L551" s="676">
        <v>-5771221.8499999996</v>
      </c>
      <c r="M551" s="676">
        <v>-5632150.8200000003</v>
      </c>
      <c r="N551" s="676">
        <v>-5638166.0599999996</v>
      </c>
      <c r="O551" s="676">
        <v>-5644181.2999999998</v>
      </c>
      <c r="P551" s="676">
        <v>-5650196.54</v>
      </c>
      <c r="Q551" s="676">
        <v>-5656211.7800000003</v>
      </c>
      <c r="R551" s="676">
        <v>-5552400.04</v>
      </c>
      <c r="S551" s="551">
        <f t="shared" si="124"/>
        <v>-5659391.5741666667</v>
      </c>
      <c r="T551" s="677"/>
      <c r="U551" s="716"/>
      <c r="W551" s="755"/>
      <c r="X551" s="755">
        <f>+S551</f>
        <v>-5659391.5741666667</v>
      </c>
      <c r="Y551" s="755"/>
      <c r="Z551" s="755"/>
      <c r="AA551" s="716"/>
      <c r="AB551" s="718">
        <f>+X551</f>
        <v>-5659391.5741666667</v>
      </c>
      <c r="AC551" s="717"/>
      <c r="AE551" s="717"/>
      <c r="AF551" s="753">
        <f>+U551+X551-AB551</f>
        <v>0</v>
      </c>
    </row>
    <row r="552" spans="1:32">
      <c r="A552" s="677">
        <v>542</v>
      </c>
      <c r="B552" s="379" t="s">
        <v>981</v>
      </c>
      <c r="C552" s="379" t="s">
        <v>630</v>
      </c>
      <c r="D552" s="379" t="s">
        <v>580</v>
      </c>
      <c r="E552" s="662" t="s">
        <v>1743</v>
      </c>
      <c r="F552" s="676">
        <v>-112904.15</v>
      </c>
      <c r="G552" s="676">
        <v>0</v>
      </c>
      <c r="H552" s="676">
        <v>0</v>
      </c>
      <c r="I552" s="676">
        <v>0</v>
      </c>
      <c r="J552" s="676">
        <v>0</v>
      </c>
      <c r="K552" s="676">
        <v>0</v>
      </c>
      <c r="L552" s="676">
        <v>0</v>
      </c>
      <c r="M552" s="676">
        <v>0</v>
      </c>
      <c r="N552" s="676">
        <v>0</v>
      </c>
      <c r="O552" s="676">
        <v>0</v>
      </c>
      <c r="P552" s="676">
        <v>0</v>
      </c>
      <c r="Q552" s="676">
        <v>0</v>
      </c>
      <c r="R552" s="676">
        <v>0</v>
      </c>
      <c r="S552" s="551">
        <f t="shared" si="124"/>
        <v>-4704.3395833333334</v>
      </c>
      <c r="T552" s="677"/>
      <c r="U552" s="716"/>
      <c r="W552" s="755"/>
      <c r="X552" s="755">
        <f>+S552</f>
        <v>-4704.3395833333334</v>
      </c>
      <c r="Y552" s="755"/>
      <c r="Z552" s="755"/>
      <c r="AA552" s="716"/>
      <c r="AB552" s="718">
        <f>+X552</f>
        <v>-4704.3395833333334</v>
      </c>
      <c r="AC552" s="717"/>
      <c r="AE552" s="717"/>
      <c r="AF552" s="753">
        <f>+U552+X552-AB552</f>
        <v>0</v>
      </c>
    </row>
    <row r="553" spans="1:32">
      <c r="A553" s="677">
        <v>543</v>
      </c>
      <c r="B553" s="379" t="s">
        <v>981</v>
      </c>
      <c r="C553" s="379" t="s">
        <v>630</v>
      </c>
      <c r="D553" s="379" t="s">
        <v>581</v>
      </c>
      <c r="E553" s="662" t="s">
        <v>1744</v>
      </c>
      <c r="F553" s="676">
        <v>-108832</v>
      </c>
      <c r="G553" s="676">
        <v>-108832</v>
      </c>
      <c r="H553" s="676">
        <v>-108832</v>
      </c>
      <c r="I553" s="676">
        <v>-108832</v>
      </c>
      <c r="J553" s="676">
        <v>-108832</v>
      </c>
      <c r="K553" s="676">
        <v>-108832</v>
      </c>
      <c r="L553" s="676">
        <v>-108832</v>
      </c>
      <c r="M553" s="676">
        <v>-108832</v>
      </c>
      <c r="N553" s="676">
        <v>-108832</v>
      </c>
      <c r="O553" s="676">
        <v>-108832</v>
      </c>
      <c r="P553" s="676">
        <v>-108832</v>
      </c>
      <c r="Q553" s="676">
        <v>-108832</v>
      </c>
      <c r="R553" s="676">
        <v>-555072</v>
      </c>
      <c r="S553" s="551">
        <f t="shared" si="124"/>
        <v>-127425.33333333333</v>
      </c>
      <c r="T553" s="677"/>
      <c r="U553" s="716"/>
      <c r="W553" s="755"/>
      <c r="X553" s="755">
        <f>+S553</f>
        <v>-127425.33333333333</v>
      </c>
      <c r="Y553" s="755"/>
      <c r="Z553" s="755"/>
      <c r="AA553" s="716"/>
      <c r="AB553" s="718">
        <f>+X553</f>
        <v>-127425.33333333333</v>
      </c>
      <c r="AC553" s="717"/>
      <c r="AE553" s="717"/>
      <c r="AF553" s="753">
        <f>+U553+X553-AB553</f>
        <v>0</v>
      </c>
    </row>
    <row r="554" spans="1:32">
      <c r="A554" s="677">
        <v>544</v>
      </c>
      <c r="B554" s="379" t="s">
        <v>981</v>
      </c>
      <c r="C554" s="379" t="s">
        <v>631</v>
      </c>
      <c r="D554" s="379" t="s">
        <v>1244</v>
      </c>
      <c r="E554" s="662" t="s">
        <v>1745</v>
      </c>
      <c r="F554" s="676">
        <v>-66788045.990000002</v>
      </c>
      <c r="G554" s="676">
        <v>-67092875.520000003</v>
      </c>
      <c r="H554" s="676">
        <v>-67399102.519999996</v>
      </c>
      <c r="I554" s="676">
        <v>-67706733.280000001</v>
      </c>
      <c r="J554" s="676">
        <v>-68015774.299999997</v>
      </c>
      <c r="K554" s="676">
        <v>-68326232.219999999</v>
      </c>
      <c r="L554" s="676">
        <v>-68638113.450000003</v>
      </c>
      <c r="M554" s="676">
        <v>-68951424.409999996</v>
      </c>
      <c r="N554" s="676">
        <v>-69266171.700000003</v>
      </c>
      <c r="O554" s="676">
        <v>-69582362.049999997</v>
      </c>
      <c r="P554" s="676">
        <v>-69900002.090000004</v>
      </c>
      <c r="Q554" s="676">
        <v>-70219098.450000003</v>
      </c>
      <c r="R554" s="676">
        <v>-74293816.879999995</v>
      </c>
      <c r="S554" s="551">
        <f t="shared" si="124"/>
        <v>-68803235.118750021</v>
      </c>
      <c r="T554" s="677"/>
      <c r="U554" s="716"/>
      <c r="V554" s="755"/>
      <c r="W554" s="755"/>
      <c r="X554" s="778">
        <f>+S554</f>
        <v>-68803235.118750021</v>
      </c>
      <c r="Y554" s="755">
        <f>+X554*Z7</f>
        <v>-51719391.838764392</v>
      </c>
      <c r="Z554" s="755">
        <f>+X554*Z8</f>
        <v>-17083843.279985629</v>
      </c>
      <c r="AA554" s="716"/>
      <c r="AB554" s="755"/>
      <c r="AC554" s="717"/>
      <c r="AD554" s="718"/>
      <c r="AE554" s="717"/>
      <c r="AF554" s="753">
        <f t="shared" si="131"/>
        <v>0</v>
      </c>
    </row>
    <row r="555" spans="1:32">
      <c r="A555" s="677">
        <v>545</v>
      </c>
      <c r="B555" s="379" t="s">
        <v>981</v>
      </c>
      <c r="C555" s="379" t="s">
        <v>621</v>
      </c>
      <c r="D555" s="379" t="s">
        <v>450</v>
      </c>
      <c r="E555" s="662" t="s">
        <v>1953</v>
      </c>
      <c r="F555" s="676">
        <v>0</v>
      </c>
      <c r="G555" s="676">
        <v>0</v>
      </c>
      <c r="H555" s="676">
        <v>0</v>
      </c>
      <c r="I555" s="676">
        <v>0</v>
      </c>
      <c r="J555" s="676">
        <v>0</v>
      </c>
      <c r="K555" s="676">
        <v>0</v>
      </c>
      <c r="L555" s="676">
        <v>0</v>
      </c>
      <c r="M555" s="676">
        <v>0</v>
      </c>
      <c r="N555" s="676">
        <v>0</v>
      </c>
      <c r="O555" s="676">
        <v>-324000</v>
      </c>
      <c r="P555" s="676">
        <v>-324000</v>
      </c>
      <c r="Q555" s="676">
        <v>-324000</v>
      </c>
      <c r="R555" s="676">
        <v>-320100</v>
      </c>
      <c r="S555" s="551">
        <f t="shared" si="124"/>
        <v>-94337.5</v>
      </c>
      <c r="T555" s="677"/>
      <c r="U555" s="716"/>
      <c r="V555" s="755">
        <f>+S555</f>
        <v>-94337.5</v>
      </c>
      <c r="W555" s="755"/>
      <c r="X555" s="778"/>
      <c r="Y555" s="755"/>
      <c r="Z555" s="755"/>
      <c r="AA555" s="716"/>
      <c r="AB555" s="755"/>
      <c r="AC555" s="717"/>
      <c r="AD555" s="718">
        <f>+S555</f>
        <v>-94337.5</v>
      </c>
      <c r="AE555" s="717"/>
      <c r="AF555" s="753"/>
    </row>
    <row r="556" spans="1:32">
      <c r="A556" s="677">
        <v>546</v>
      </c>
      <c r="B556" s="379" t="s">
        <v>981</v>
      </c>
      <c r="C556" s="379" t="s">
        <v>628</v>
      </c>
      <c r="D556" s="379" t="s">
        <v>562</v>
      </c>
      <c r="E556" s="662" t="s">
        <v>497</v>
      </c>
      <c r="F556" s="676">
        <v>0</v>
      </c>
      <c r="G556" s="676">
        <v>0</v>
      </c>
      <c r="H556" s="676">
        <v>0</v>
      </c>
      <c r="I556" s="676">
        <v>0</v>
      </c>
      <c r="J556" s="676">
        <v>0</v>
      </c>
      <c r="K556" s="676">
        <v>0</v>
      </c>
      <c r="L556" s="676">
        <v>0</v>
      </c>
      <c r="M556" s="676">
        <v>0</v>
      </c>
      <c r="N556" s="676">
        <v>0</v>
      </c>
      <c r="O556" s="676">
        <v>0</v>
      </c>
      <c r="P556" s="676">
        <v>0</v>
      </c>
      <c r="Q556" s="676">
        <v>0</v>
      </c>
      <c r="R556" s="676">
        <v>0</v>
      </c>
      <c r="S556" s="551">
        <f t="shared" si="124"/>
        <v>0</v>
      </c>
      <c r="T556" s="677"/>
      <c r="U556" s="716"/>
      <c r="V556" s="755"/>
      <c r="W556" s="755"/>
      <c r="X556" s="778"/>
      <c r="Y556" s="755"/>
      <c r="Z556" s="755"/>
      <c r="AA556" s="716"/>
      <c r="AB556" s="755"/>
      <c r="AC556" s="717"/>
      <c r="AD556" s="718"/>
      <c r="AE556" s="717"/>
      <c r="AF556" s="753">
        <f t="shared" si="131"/>
        <v>0</v>
      </c>
    </row>
    <row r="557" spans="1:32">
      <c r="A557" s="677">
        <v>547</v>
      </c>
      <c r="B557" s="379" t="s">
        <v>981</v>
      </c>
      <c r="C557" s="379" t="s">
        <v>632</v>
      </c>
      <c r="D557" s="379" t="s">
        <v>731</v>
      </c>
      <c r="E557" s="662" t="s">
        <v>1746</v>
      </c>
      <c r="F557" s="676">
        <v>-3373786.93</v>
      </c>
      <c r="G557" s="676">
        <v>-3301647.39</v>
      </c>
      <c r="H557" s="676">
        <v>-3301647.39</v>
      </c>
      <c r="I557" s="676">
        <v>-3301647.39</v>
      </c>
      <c r="J557" s="676">
        <v>-3301647.39</v>
      </c>
      <c r="K557" s="676">
        <v>-3301647.39</v>
      </c>
      <c r="L557" s="676">
        <v>-3301647.39</v>
      </c>
      <c r="M557" s="676">
        <v>-3301647.39</v>
      </c>
      <c r="N557" s="676">
        <v>-3301647.39</v>
      </c>
      <c r="O557" s="676">
        <v>-3301647.39</v>
      </c>
      <c r="P557" s="676">
        <v>-3301647.39</v>
      </c>
      <c r="Q557" s="676">
        <v>-3301647.39</v>
      </c>
      <c r="R557" s="676">
        <v>-3301647.39</v>
      </c>
      <c r="S557" s="551">
        <f t="shared" si="124"/>
        <v>-3304653.2041666671</v>
      </c>
      <c r="T557" s="677"/>
      <c r="U557" s="716"/>
      <c r="V557" s="755"/>
      <c r="W557" s="755"/>
      <c r="X557" s="778">
        <f>+S557</f>
        <v>-3304653.2041666671</v>
      </c>
      <c r="Y557" s="755">
        <f>+X557*Z7</f>
        <v>-2484107.8135720836</v>
      </c>
      <c r="Z557" s="755">
        <f>+X557*Z8</f>
        <v>-820545.39059458335</v>
      </c>
      <c r="AA557" s="716"/>
      <c r="AB557" s="755"/>
      <c r="AC557" s="717"/>
      <c r="AD557" s="718"/>
      <c r="AE557" s="717" t="s">
        <v>1456</v>
      </c>
      <c r="AF557" s="753">
        <f t="shared" si="131"/>
        <v>0</v>
      </c>
    </row>
    <row r="558" spans="1:32">
      <c r="A558" s="677">
        <v>548</v>
      </c>
      <c r="B558" s="379" t="s">
        <v>981</v>
      </c>
      <c r="C558" s="379" t="s">
        <v>632</v>
      </c>
      <c r="D558" s="379" t="s">
        <v>1142</v>
      </c>
      <c r="E558" s="662" t="s">
        <v>1747</v>
      </c>
      <c r="F558" s="676">
        <v>-48360.090000000098</v>
      </c>
      <c r="G558" s="676">
        <v>-1101.4100000000001</v>
      </c>
      <c r="H558" s="676">
        <v>-9536.17</v>
      </c>
      <c r="I558" s="676">
        <v>-35531.65</v>
      </c>
      <c r="J558" s="676">
        <v>-35531.65</v>
      </c>
      <c r="K558" s="676">
        <v>-41190.03</v>
      </c>
      <c r="L558" s="676">
        <v>-41190.03</v>
      </c>
      <c r="M558" s="676">
        <v>-41220.18</v>
      </c>
      <c r="N558" s="676">
        <v>-45069.26</v>
      </c>
      <c r="O558" s="676">
        <v>-45465.53</v>
      </c>
      <c r="P558" s="676">
        <v>-48880.44</v>
      </c>
      <c r="Q558" s="676">
        <v>-55161.33</v>
      </c>
      <c r="R558" s="676">
        <v>-55161.33</v>
      </c>
      <c r="S558" s="551">
        <f t="shared" si="124"/>
        <v>-37636.532500000008</v>
      </c>
      <c r="T558" s="677"/>
      <c r="U558" s="716"/>
      <c r="V558" s="755"/>
      <c r="W558" s="755"/>
      <c r="X558" s="778">
        <f t="shared" ref="X558:X561" si="150">+S558</f>
        <v>-37636.532500000008</v>
      </c>
      <c r="Y558" s="755">
        <f>+X558*Z7</f>
        <v>-28291.381480250009</v>
      </c>
      <c r="Z558" s="755">
        <f>+X558*Z8</f>
        <v>-9345.1510197500011</v>
      </c>
      <c r="AA558" s="716"/>
      <c r="AB558" s="755"/>
      <c r="AC558" s="717"/>
      <c r="AD558" s="718"/>
      <c r="AE558" s="717"/>
      <c r="AF558" s="753">
        <f t="shared" si="131"/>
        <v>0</v>
      </c>
    </row>
    <row r="559" spans="1:32">
      <c r="A559" s="677">
        <v>549</v>
      </c>
      <c r="B559" s="379" t="s">
        <v>981</v>
      </c>
      <c r="C559" s="379" t="s">
        <v>632</v>
      </c>
      <c r="D559" s="379" t="s">
        <v>1245</v>
      </c>
      <c r="E559" s="662" t="s">
        <v>1748</v>
      </c>
      <c r="F559" s="676">
        <v>3199.78</v>
      </c>
      <c r="G559" s="676">
        <v>0</v>
      </c>
      <c r="H559" s="676">
        <v>0</v>
      </c>
      <c r="I559" s="676">
        <v>0</v>
      </c>
      <c r="J559" s="676">
        <v>4021.48</v>
      </c>
      <c r="K559" s="676">
        <v>4021.48</v>
      </c>
      <c r="L559" s="676">
        <v>4021.48</v>
      </c>
      <c r="M559" s="676">
        <v>6854.11</v>
      </c>
      <c r="N559" s="676">
        <v>6854.11</v>
      </c>
      <c r="O559" s="676">
        <v>6854.11</v>
      </c>
      <c r="P559" s="676">
        <v>6854.11</v>
      </c>
      <c r="Q559" s="676">
        <v>6854.11</v>
      </c>
      <c r="R559" s="676">
        <v>6854.11</v>
      </c>
      <c r="S559" s="551">
        <f t="shared" si="124"/>
        <v>4280.1612500000001</v>
      </c>
      <c r="T559" s="677"/>
      <c r="U559" s="716"/>
      <c r="V559" s="755"/>
      <c r="W559" s="755"/>
      <c r="X559" s="778">
        <f t="shared" si="150"/>
        <v>4280.1612500000001</v>
      </c>
      <c r="Y559" s="755">
        <f>+X559*Z7</f>
        <v>3217.3972116250002</v>
      </c>
      <c r="Z559" s="755">
        <f>+X559*Z8</f>
        <v>1062.7640383749999</v>
      </c>
      <c r="AA559" s="716"/>
      <c r="AB559" s="755"/>
      <c r="AC559" s="717"/>
      <c r="AD559" s="718"/>
      <c r="AE559" s="717"/>
      <c r="AF559" s="753">
        <f t="shared" si="131"/>
        <v>0</v>
      </c>
    </row>
    <row r="560" spans="1:32">
      <c r="A560" s="677">
        <v>550</v>
      </c>
      <c r="B560" s="379" t="s">
        <v>981</v>
      </c>
      <c r="C560" s="379" t="s">
        <v>632</v>
      </c>
      <c r="D560" s="379" t="s">
        <v>989</v>
      </c>
      <c r="E560" s="662" t="s">
        <v>1750</v>
      </c>
      <c r="F560" s="676">
        <v>117299.85</v>
      </c>
      <c r="G560" s="676">
        <v>0</v>
      </c>
      <c r="H560" s="676">
        <v>0</v>
      </c>
      <c r="I560" s="676">
        <v>77103.62</v>
      </c>
      <c r="J560" s="676">
        <v>77103.62</v>
      </c>
      <c r="K560" s="676">
        <v>77103.62</v>
      </c>
      <c r="L560" s="676">
        <v>77103.62</v>
      </c>
      <c r="M560" s="676">
        <v>77103.62</v>
      </c>
      <c r="N560" s="676">
        <v>77103.62</v>
      </c>
      <c r="O560" s="676">
        <v>140365.51999999999</v>
      </c>
      <c r="P560" s="676">
        <v>140365.51999999999</v>
      </c>
      <c r="Q560" s="676">
        <v>140365.51999999999</v>
      </c>
      <c r="R560" s="676">
        <v>140365.51999999999</v>
      </c>
      <c r="S560" s="551">
        <f t="shared" si="124"/>
        <v>84379.247083333335</v>
      </c>
      <c r="T560" s="677"/>
      <c r="U560" s="716"/>
      <c r="V560" s="755"/>
      <c r="W560" s="755"/>
      <c r="X560" s="778">
        <f t="shared" si="150"/>
        <v>84379.247083333335</v>
      </c>
      <c r="Y560" s="755">
        <f>+X560*Z7</f>
        <v>63427.880032541674</v>
      </c>
      <c r="Z560" s="755">
        <f>+X560*Z8</f>
        <v>20951.367050791665</v>
      </c>
      <c r="AA560" s="716"/>
      <c r="AB560" s="755"/>
      <c r="AC560" s="717"/>
      <c r="AD560" s="718"/>
      <c r="AE560" s="717" t="s">
        <v>1457</v>
      </c>
      <c r="AF560" s="753">
        <f t="shared" si="131"/>
        <v>0</v>
      </c>
    </row>
    <row r="561" spans="1:32">
      <c r="A561" s="677">
        <v>551</v>
      </c>
      <c r="B561" s="379" t="s">
        <v>981</v>
      </c>
      <c r="C561" s="379" t="s">
        <v>632</v>
      </c>
      <c r="D561" s="379" t="s">
        <v>993</v>
      </c>
      <c r="E561" s="662" t="s">
        <v>1749</v>
      </c>
      <c r="F561" s="676">
        <v>-1014253.48</v>
      </c>
      <c r="G561" s="676">
        <v>-1014253.48</v>
      </c>
      <c r="H561" s="676">
        <v>-1014253.48</v>
      </c>
      <c r="I561" s="676">
        <v>-998215.14</v>
      </c>
      <c r="J561" s="676">
        <v>-961008.7</v>
      </c>
      <c r="K561" s="676">
        <v>-961008.7</v>
      </c>
      <c r="L561" s="676">
        <v>-961008.7</v>
      </c>
      <c r="M561" s="676">
        <v>-961008.7</v>
      </c>
      <c r="N561" s="676">
        <v>-961008.7</v>
      </c>
      <c r="O561" s="676">
        <v>-940392.65</v>
      </c>
      <c r="P561" s="676">
        <v>-947948.91</v>
      </c>
      <c r="Q561" s="676">
        <v>-956826.3</v>
      </c>
      <c r="R561" s="676">
        <v>-985998.22</v>
      </c>
      <c r="S561" s="551">
        <f t="shared" si="124"/>
        <v>-973088.27583333338</v>
      </c>
      <c r="T561" s="677"/>
      <c r="U561" s="716"/>
      <c r="V561" s="755"/>
      <c r="W561" s="755"/>
      <c r="X561" s="778">
        <f t="shared" si="150"/>
        <v>-973088.27583333338</v>
      </c>
      <c r="Y561" s="755">
        <f>+X561*Z7</f>
        <v>-731470.45694391674</v>
      </c>
      <c r="Z561" s="755">
        <f>+X561*Z8</f>
        <v>-241617.81888941667</v>
      </c>
      <c r="AA561" s="716"/>
      <c r="AB561" s="755"/>
      <c r="AC561" s="717"/>
      <c r="AD561" s="718"/>
      <c r="AE561" s="717" t="s">
        <v>1458</v>
      </c>
      <c r="AF561" s="753">
        <f t="shared" si="131"/>
        <v>0</v>
      </c>
    </row>
    <row r="562" spans="1:32">
      <c r="A562" s="677">
        <v>552</v>
      </c>
      <c r="B562" s="379" t="s">
        <v>981</v>
      </c>
      <c r="C562" s="379" t="s">
        <v>633</v>
      </c>
      <c r="D562" s="379" t="s">
        <v>1246</v>
      </c>
      <c r="E562" s="662" t="s">
        <v>1751</v>
      </c>
      <c r="F562" s="676">
        <v>121.7</v>
      </c>
      <c r="G562" s="676">
        <v>116.27</v>
      </c>
      <c r="H562" s="676">
        <v>111.09</v>
      </c>
      <c r="I562" s="676">
        <v>105.87</v>
      </c>
      <c r="J562" s="676">
        <v>97.49</v>
      </c>
      <c r="K562" s="676">
        <v>-116.12</v>
      </c>
      <c r="L562" s="676">
        <v>79.25</v>
      </c>
      <c r="M562" s="676">
        <v>85.32</v>
      </c>
      <c r="N562" s="676">
        <v>70.510000000000005</v>
      </c>
      <c r="O562" s="676">
        <v>56.91</v>
      </c>
      <c r="P562" s="676">
        <v>49.5</v>
      </c>
      <c r="Q562" s="676">
        <v>47.11</v>
      </c>
      <c r="R562" s="676">
        <v>100684.96</v>
      </c>
      <c r="S562" s="551">
        <f t="shared" si="124"/>
        <v>4258.8774999999996</v>
      </c>
      <c r="T562" s="677"/>
      <c r="U562" s="716"/>
      <c r="V562" s="755">
        <f t="shared" ref="V562:V566" si="151">+S562</f>
        <v>4258.8774999999996</v>
      </c>
      <c r="W562" s="755"/>
      <c r="X562" s="778"/>
      <c r="Y562" s="755"/>
      <c r="Z562" s="755"/>
      <c r="AA562" s="716"/>
      <c r="AB562" s="755"/>
      <c r="AC562" s="717"/>
      <c r="AD562" s="718">
        <f t="shared" ref="AD562:AD564" si="152">+V562</f>
        <v>4258.8774999999996</v>
      </c>
      <c r="AE562" s="717"/>
      <c r="AF562" s="753">
        <f t="shared" si="131"/>
        <v>0</v>
      </c>
    </row>
    <row r="563" spans="1:32">
      <c r="A563" s="677">
        <v>553</v>
      </c>
      <c r="B563" s="379" t="s">
        <v>981</v>
      </c>
      <c r="C563" s="379" t="s">
        <v>633</v>
      </c>
      <c r="D563" s="379" t="s">
        <v>1247</v>
      </c>
      <c r="E563" s="662" t="s">
        <v>1753</v>
      </c>
      <c r="F563" s="676">
        <v>-48270</v>
      </c>
      <c r="G563" s="676">
        <v>-48270</v>
      </c>
      <c r="H563" s="676">
        <v>-48270</v>
      </c>
      <c r="I563" s="676">
        <v>-48270</v>
      </c>
      <c r="J563" s="676">
        <v>-48270</v>
      </c>
      <c r="K563" s="676">
        <v>-48270</v>
      </c>
      <c r="L563" s="676">
        <v>-48270</v>
      </c>
      <c r="M563" s="676">
        <v>-48270</v>
      </c>
      <c r="N563" s="676">
        <v>-48270</v>
      </c>
      <c r="O563" s="676">
        <v>-48270</v>
      </c>
      <c r="P563" s="676">
        <v>-24135</v>
      </c>
      <c r="Q563" s="676">
        <v>-24135</v>
      </c>
      <c r="R563" s="676">
        <v>-24135</v>
      </c>
      <c r="S563" s="551">
        <f t="shared" si="124"/>
        <v>-43241.875</v>
      </c>
      <c r="T563" s="677"/>
      <c r="U563" s="716"/>
      <c r="V563" s="755">
        <f t="shared" si="151"/>
        <v>-43241.875</v>
      </c>
      <c r="W563" s="755"/>
      <c r="X563" s="778"/>
      <c r="Y563" s="755"/>
      <c r="Z563" s="755"/>
      <c r="AA563" s="716"/>
      <c r="AB563" s="755"/>
      <c r="AC563" s="717"/>
      <c r="AD563" s="718">
        <f t="shared" si="152"/>
        <v>-43241.875</v>
      </c>
      <c r="AE563" s="717"/>
      <c r="AF563" s="753">
        <f t="shared" si="131"/>
        <v>0</v>
      </c>
    </row>
    <row r="564" spans="1:32">
      <c r="A564" s="677">
        <v>554</v>
      </c>
      <c r="B564" s="379" t="s">
        <v>981</v>
      </c>
      <c r="C564" s="379" t="s">
        <v>633</v>
      </c>
      <c r="D564" s="379" t="s">
        <v>1248</v>
      </c>
      <c r="E564" s="662" t="s">
        <v>1752</v>
      </c>
      <c r="F564" s="676">
        <v>-9444729.6899999995</v>
      </c>
      <c r="G564" s="676">
        <v>-9386229.6899999995</v>
      </c>
      <c r="H564" s="676">
        <v>-9327729.6899999995</v>
      </c>
      <c r="I564" s="676">
        <v>-9269229.6899999995</v>
      </c>
      <c r="J564" s="676">
        <v>-9210729.6899999995</v>
      </c>
      <c r="K564" s="676">
        <v>-9495724.6899999995</v>
      </c>
      <c r="L564" s="676">
        <v>-9505923.6899999995</v>
      </c>
      <c r="M564" s="676">
        <v>-9516122.6899999995</v>
      </c>
      <c r="N564" s="676">
        <v>-9526321.6899999995</v>
      </c>
      <c r="O564" s="676">
        <v>-9536520.6899999995</v>
      </c>
      <c r="P564" s="676">
        <v>-9546719.6899999995</v>
      </c>
      <c r="Q564" s="676">
        <v>-9556918.6899999995</v>
      </c>
      <c r="R564" s="676">
        <v>-6699766.6900000004</v>
      </c>
      <c r="S564" s="551">
        <f t="shared" si="124"/>
        <v>-9329201.5649999995</v>
      </c>
      <c r="T564" s="677"/>
      <c r="U564" s="716"/>
      <c r="V564" s="755">
        <f t="shared" si="151"/>
        <v>-9329201.5649999995</v>
      </c>
      <c r="W564" s="755"/>
      <c r="X564" s="778"/>
      <c r="Y564" s="755"/>
      <c r="Z564" s="755"/>
      <c r="AA564" s="716"/>
      <c r="AB564" s="755"/>
      <c r="AC564" s="717"/>
      <c r="AD564" s="718">
        <f t="shared" si="152"/>
        <v>-9329201.5649999995</v>
      </c>
      <c r="AE564" s="717"/>
      <c r="AF564" s="753">
        <f t="shared" si="131"/>
        <v>0</v>
      </c>
    </row>
    <row r="565" spans="1:32">
      <c r="A565" s="677">
        <v>555</v>
      </c>
      <c r="B565" s="379" t="s">
        <v>981</v>
      </c>
      <c r="C565" s="379" t="s">
        <v>633</v>
      </c>
      <c r="D565" s="379" t="s">
        <v>1249</v>
      </c>
      <c r="E565" s="662" t="s">
        <v>1954</v>
      </c>
      <c r="F565" s="676">
        <v>-974030</v>
      </c>
      <c r="G565" s="676">
        <v>-974030</v>
      </c>
      <c r="H565" s="676">
        <v>-974030</v>
      </c>
      <c r="I565" s="676">
        <v>-974030</v>
      </c>
      <c r="J565" s="676">
        <v>-974030</v>
      </c>
      <c r="K565" s="676">
        <v>-1088889</v>
      </c>
      <c r="L565" s="676">
        <v>-1088889</v>
      </c>
      <c r="M565" s="676">
        <v>-1088889</v>
      </c>
      <c r="N565" s="676">
        <v>-1088889</v>
      </c>
      <c r="O565" s="676">
        <v>-1088889</v>
      </c>
      <c r="P565" s="676">
        <v>-1088889</v>
      </c>
      <c r="Q565" s="676">
        <v>-1088889</v>
      </c>
      <c r="R565" s="676">
        <v>-1045610</v>
      </c>
      <c r="S565" s="551">
        <f t="shared" si="124"/>
        <v>-1044013.5833333334</v>
      </c>
      <c r="T565" s="677"/>
      <c r="U565" s="716"/>
      <c r="V565" s="755">
        <f t="shared" si="151"/>
        <v>-1044013.5833333334</v>
      </c>
      <c r="W565" s="755"/>
      <c r="X565" s="778"/>
      <c r="Y565" s="755"/>
      <c r="Z565" s="755"/>
      <c r="AA565" s="716"/>
      <c r="AB565" s="755"/>
      <c r="AC565" s="717"/>
      <c r="AD565" s="718">
        <f t="shared" ref="AD565:AD570" si="153">+V565</f>
        <v>-1044013.5833333334</v>
      </c>
      <c r="AE565" s="723"/>
      <c r="AF565" s="753">
        <f t="shared" si="131"/>
        <v>0</v>
      </c>
    </row>
    <row r="566" spans="1:32">
      <c r="A566" s="677">
        <v>556</v>
      </c>
      <c r="B566" s="379" t="s">
        <v>981</v>
      </c>
      <c r="C566" s="379" t="s">
        <v>633</v>
      </c>
      <c r="D566" s="379" t="s">
        <v>1955</v>
      </c>
      <c r="E566" s="662" t="s">
        <v>1956</v>
      </c>
      <c r="F566" s="676">
        <v>0</v>
      </c>
      <c r="G566" s="676">
        <v>0</v>
      </c>
      <c r="H566" s="676">
        <v>0</v>
      </c>
      <c r="I566" s="676">
        <v>0</v>
      </c>
      <c r="J566" s="676">
        <v>0</v>
      </c>
      <c r="K566" s="676">
        <v>114859</v>
      </c>
      <c r="L566" s="676">
        <v>114859</v>
      </c>
      <c r="M566" s="676">
        <v>114859</v>
      </c>
      <c r="N566" s="676">
        <v>114859</v>
      </c>
      <c r="O566" s="676">
        <v>114859</v>
      </c>
      <c r="P566" s="676">
        <v>114859</v>
      </c>
      <c r="Q566" s="676">
        <v>114859</v>
      </c>
      <c r="R566" s="676">
        <v>197919</v>
      </c>
      <c r="S566" s="551">
        <f t="shared" si="124"/>
        <v>75247.708333333328</v>
      </c>
      <c r="T566" s="677"/>
      <c r="U566" s="716"/>
      <c r="V566" s="755">
        <f t="shared" si="151"/>
        <v>75247.708333333328</v>
      </c>
      <c r="W566" s="755"/>
      <c r="X566" s="778"/>
      <c r="Y566" s="755"/>
      <c r="Z566" s="755"/>
      <c r="AA566" s="716"/>
      <c r="AB566" s="755"/>
      <c r="AC566" s="717"/>
      <c r="AD566" s="718">
        <f t="shared" si="153"/>
        <v>75247.708333333328</v>
      </c>
      <c r="AE566" s="717"/>
      <c r="AF566" s="753">
        <f t="shared" si="131"/>
        <v>0</v>
      </c>
    </row>
    <row r="567" spans="1:32">
      <c r="A567" s="677">
        <v>557</v>
      </c>
      <c r="B567" s="379" t="s">
        <v>984</v>
      </c>
      <c r="C567" s="379" t="s">
        <v>634</v>
      </c>
      <c r="D567" s="379" t="s">
        <v>1250</v>
      </c>
      <c r="E567" s="662" t="s">
        <v>637</v>
      </c>
      <c r="F567" s="676">
        <v>-49624464.960000001</v>
      </c>
      <c r="G567" s="676">
        <v>-49425126.969999999</v>
      </c>
      <c r="H567" s="676">
        <v>-49225788.950000003</v>
      </c>
      <c r="I567" s="676">
        <v>-49026450.969999999</v>
      </c>
      <c r="J567" s="676">
        <v>-48827112.979999997</v>
      </c>
      <c r="K567" s="676">
        <v>-48627775.049999997</v>
      </c>
      <c r="L567" s="676">
        <v>-48428437.009999998</v>
      </c>
      <c r="M567" s="676">
        <v>-48229103.939999998</v>
      </c>
      <c r="N567" s="676">
        <v>-48029765.960000001</v>
      </c>
      <c r="O567" s="676">
        <v>-47830427.950000003</v>
      </c>
      <c r="P567" s="676">
        <v>-47631089.960000001</v>
      </c>
      <c r="Q567" s="676">
        <v>-47408313.049999997</v>
      </c>
      <c r="R567" s="676">
        <v>-47103890.740000002</v>
      </c>
      <c r="S567" s="551">
        <f t="shared" si="124"/>
        <v>-48421130.886666656</v>
      </c>
      <c r="T567" s="677"/>
      <c r="U567" s="716"/>
      <c r="V567" s="755"/>
      <c r="W567" s="755"/>
      <c r="X567" s="778">
        <f>+S567</f>
        <v>-48421130.886666656</v>
      </c>
      <c r="Y567" s="755"/>
      <c r="Z567" s="755"/>
      <c r="AA567" s="716"/>
      <c r="AB567" s="755">
        <f>+S567</f>
        <v>-48421130.886666656</v>
      </c>
      <c r="AC567" s="717"/>
      <c r="AD567" s="718">
        <f t="shared" si="153"/>
        <v>0</v>
      </c>
      <c r="AE567" s="717"/>
      <c r="AF567" s="753">
        <f t="shared" si="131"/>
        <v>0</v>
      </c>
    </row>
    <row r="568" spans="1:32">
      <c r="A568" s="677">
        <v>558</v>
      </c>
      <c r="B568" s="379" t="s">
        <v>981</v>
      </c>
      <c r="C568" s="379" t="s">
        <v>634</v>
      </c>
      <c r="D568" s="379" t="s">
        <v>1251</v>
      </c>
      <c r="E568" s="662" t="s">
        <v>1754</v>
      </c>
      <c r="F568" s="676">
        <v>-9124558.2599999998</v>
      </c>
      <c r="G568" s="676">
        <v>-9027793.8900000006</v>
      </c>
      <c r="H568" s="676">
        <v>-8931029.4600000009</v>
      </c>
      <c r="I568" s="676">
        <v>-8834265.1099999994</v>
      </c>
      <c r="J568" s="676">
        <v>-8737500.7599999998</v>
      </c>
      <c r="K568" s="676">
        <v>-8640736.4199999999</v>
      </c>
      <c r="L568" s="676">
        <v>-8543971.9700000007</v>
      </c>
      <c r="M568" s="676">
        <v>-8447207.6099999994</v>
      </c>
      <c r="N568" s="676">
        <v>-8350443.2300000004</v>
      </c>
      <c r="O568" s="676">
        <v>-8253678.8300000001</v>
      </c>
      <c r="P568" s="676">
        <v>-8156914.3399999999</v>
      </c>
      <c r="Q568" s="676">
        <v>-8060150.0099999998</v>
      </c>
      <c r="R568" s="676">
        <v>-7963385.4400000004</v>
      </c>
      <c r="S568" s="551">
        <f t="shared" si="124"/>
        <v>-8543971.956666667</v>
      </c>
      <c r="T568" s="677"/>
      <c r="U568" s="716"/>
      <c r="V568" s="755"/>
      <c r="W568" s="755"/>
      <c r="X568" s="778">
        <f>+S568</f>
        <v>-8543971.956666667</v>
      </c>
      <c r="Y568" s="755"/>
      <c r="Z568" s="755"/>
      <c r="AA568" s="716"/>
      <c r="AB568" s="755">
        <f>+S568</f>
        <v>-8543971.956666667</v>
      </c>
      <c r="AC568" s="717"/>
      <c r="AD568" s="718">
        <f t="shared" si="153"/>
        <v>0</v>
      </c>
      <c r="AE568" s="723"/>
      <c r="AF568" s="753">
        <f t="shared" si="131"/>
        <v>0</v>
      </c>
    </row>
    <row r="569" spans="1:32">
      <c r="A569" s="677">
        <v>559</v>
      </c>
      <c r="B569" s="379" t="s">
        <v>1885</v>
      </c>
      <c r="C569" s="379" t="s">
        <v>634</v>
      </c>
      <c r="D569" s="379" t="s">
        <v>1892</v>
      </c>
      <c r="E569" s="662" t="s">
        <v>1950</v>
      </c>
      <c r="F569" s="676">
        <v>0</v>
      </c>
      <c r="G569" s="676">
        <v>0</v>
      </c>
      <c r="H569" s="676">
        <v>-1111122.68</v>
      </c>
      <c r="I569" s="676">
        <v>0</v>
      </c>
      <c r="J569" s="676">
        <v>619044.54</v>
      </c>
      <c r="K569" s="676">
        <v>698790.37</v>
      </c>
      <c r="L569" s="676">
        <v>736498.52</v>
      </c>
      <c r="M569" s="676">
        <v>775109.42</v>
      </c>
      <c r="N569" s="676">
        <v>814640.66</v>
      </c>
      <c r="O569" s="676">
        <v>852120.08</v>
      </c>
      <c r="P569" s="676">
        <v>848983.99</v>
      </c>
      <c r="Q569" s="676">
        <v>2064910.95</v>
      </c>
      <c r="R569" s="676">
        <v>1834765.01</v>
      </c>
      <c r="S569" s="551">
        <f t="shared" si="124"/>
        <v>601363.19625000004</v>
      </c>
      <c r="T569" s="677"/>
      <c r="U569" s="716"/>
      <c r="V569" s="755">
        <f>+S569</f>
        <v>601363.19625000004</v>
      </c>
      <c r="W569" s="755"/>
      <c r="X569" s="778"/>
      <c r="Y569" s="755"/>
      <c r="Z569" s="755"/>
      <c r="AA569" s="716"/>
      <c r="AB569" s="755"/>
      <c r="AC569" s="717"/>
      <c r="AD569" s="718">
        <f t="shared" si="153"/>
        <v>601363.19625000004</v>
      </c>
      <c r="AE569" s="723"/>
      <c r="AF569" s="753">
        <f t="shared" si="131"/>
        <v>0</v>
      </c>
    </row>
    <row r="570" spans="1:32">
      <c r="A570" s="677">
        <v>560</v>
      </c>
      <c r="B570" s="379" t="s">
        <v>1885</v>
      </c>
      <c r="C570" s="379" t="s">
        <v>634</v>
      </c>
      <c r="D570" s="379" t="s">
        <v>1894</v>
      </c>
      <c r="E570" s="662" t="s">
        <v>1950</v>
      </c>
      <c r="F570" s="676">
        <v>0</v>
      </c>
      <c r="G570" s="676">
        <v>1973760.03</v>
      </c>
      <c r="H570" s="676">
        <v>-4137153.52</v>
      </c>
      <c r="I570" s="676">
        <v>1207778.26</v>
      </c>
      <c r="J570" s="676">
        <v>1149487.81</v>
      </c>
      <c r="K570" s="676">
        <v>1174986.7</v>
      </c>
      <c r="L570" s="676">
        <v>1244328.33</v>
      </c>
      <c r="M570" s="676">
        <v>1289161.8799999999</v>
      </c>
      <c r="N570" s="676">
        <v>1350429.02</v>
      </c>
      <c r="O570" s="676">
        <v>1254856.2</v>
      </c>
      <c r="P570" s="676">
        <v>1132432.3400000001</v>
      </c>
      <c r="Q570" s="676">
        <v>1023920.7</v>
      </c>
      <c r="R570" s="676">
        <v>1603848.95</v>
      </c>
      <c r="S570" s="551">
        <f t="shared" si="124"/>
        <v>788826.01874999993</v>
      </c>
      <c r="T570" s="677"/>
      <c r="U570" s="716"/>
      <c r="V570" s="755">
        <f>+S570</f>
        <v>788826.01874999993</v>
      </c>
      <c r="W570" s="755"/>
      <c r="X570" s="778"/>
      <c r="Y570" s="755"/>
      <c r="Z570" s="755"/>
      <c r="AA570" s="716"/>
      <c r="AB570" s="755"/>
      <c r="AC570" s="717"/>
      <c r="AD570" s="718">
        <f t="shared" si="153"/>
        <v>788826.01874999993</v>
      </c>
      <c r="AE570" s="717"/>
      <c r="AF570" s="753">
        <f t="shared" si="131"/>
        <v>0</v>
      </c>
    </row>
    <row r="571" spans="1:32">
      <c r="A571" s="677">
        <v>561</v>
      </c>
      <c r="B571" s="379" t="s">
        <v>984</v>
      </c>
      <c r="C571" s="379" t="s">
        <v>634</v>
      </c>
      <c r="D571" s="379" t="s">
        <v>1428</v>
      </c>
      <c r="E571" s="675" t="s">
        <v>1760</v>
      </c>
      <c r="F571" s="676">
        <v>-1000748.3</v>
      </c>
      <c r="G571" s="676">
        <v>-935174.44</v>
      </c>
      <c r="H571" s="676">
        <v>-860934.91</v>
      </c>
      <c r="I571" s="676">
        <v>-769924.97</v>
      </c>
      <c r="J571" s="676">
        <v>-766991.69</v>
      </c>
      <c r="K571" s="676">
        <v>-809207.04</v>
      </c>
      <c r="L571" s="676">
        <v>-875218.56</v>
      </c>
      <c r="M571" s="676">
        <v>-939453.43999999994</v>
      </c>
      <c r="N571" s="676">
        <v>-1002397.3</v>
      </c>
      <c r="O571" s="676">
        <v>-1067697.32</v>
      </c>
      <c r="P571" s="676">
        <v>-1107757.76</v>
      </c>
      <c r="Q571" s="676">
        <v>-1097259.6100000001</v>
      </c>
      <c r="R571" s="676">
        <v>-1014491.1</v>
      </c>
      <c r="S571" s="551">
        <f t="shared" si="124"/>
        <v>-936636.39500000002</v>
      </c>
      <c r="T571" s="677"/>
      <c r="U571" s="716"/>
      <c r="V571" s="755"/>
      <c r="W571" s="755"/>
      <c r="X571" s="778">
        <f t="shared" ref="X571:X577" si="154">+S571</f>
        <v>-936636.39500000002</v>
      </c>
      <c r="Y571" s="755"/>
      <c r="Z571" s="755"/>
      <c r="AA571" s="716"/>
      <c r="AB571" s="755">
        <f t="shared" ref="AB571:AB577" si="155">+S571</f>
        <v>-936636.39500000002</v>
      </c>
      <c r="AC571" s="717"/>
      <c r="AD571" s="718"/>
      <c r="AE571" s="717"/>
      <c r="AF571" s="753">
        <f t="shared" si="131"/>
        <v>0</v>
      </c>
    </row>
    <row r="572" spans="1:32">
      <c r="A572" s="677">
        <v>562</v>
      </c>
      <c r="B572" s="379" t="s">
        <v>984</v>
      </c>
      <c r="C572" s="379" t="s">
        <v>634</v>
      </c>
      <c r="D572" s="379" t="s">
        <v>1443</v>
      </c>
      <c r="E572" s="662" t="s">
        <v>1761</v>
      </c>
      <c r="F572" s="676">
        <v>-274816.11</v>
      </c>
      <c r="G572" s="676">
        <v>-249265.99</v>
      </c>
      <c r="H572" s="676">
        <v>-220858.9</v>
      </c>
      <c r="I572" s="676">
        <v>-186993.76</v>
      </c>
      <c r="J572" s="676">
        <v>-181732.56</v>
      </c>
      <c r="K572" s="676">
        <v>-191134.66</v>
      </c>
      <c r="L572" s="676">
        <v>-208315.13</v>
      </c>
      <c r="M572" s="676">
        <v>-225020.79999999999</v>
      </c>
      <c r="N572" s="676">
        <v>-241365.35</v>
      </c>
      <c r="O572" s="676">
        <v>-258456.72</v>
      </c>
      <c r="P572" s="676">
        <v>-267227.15000000002</v>
      </c>
      <c r="Q572" s="676">
        <v>-259574.65</v>
      </c>
      <c r="R572" s="676">
        <v>-228610.16</v>
      </c>
      <c r="S572" s="551">
        <f t="shared" si="124"/>
        <v>-228471.5670833333</v>
      </c>
      <c r="T572" s="677"/>
      <c r="U572" s="716"/>
      <c r="V572" s="755"/>
      <c r="W572" s="755"/>
      <c r="X572" s="778">
        <f t="shared" si="154"/>
        <v>-228471.5670833333</v>
      </c>
      <c r="Y572" s="755"/>
      <c r="Z572" s="755"/>
      <c r="AA572" s="716"/>
      <c r="AB572" s="755">
        <f t="shared" si="155"/>
        <v>-228471.5670833333</v>
      </c>
      <c r="AC572" s="717"/>
      <c r="AD572" s="718"/>
      <c r="AE572" s="717"/>
      <c r="AF572" s="753">
        <f t="shared" si="131"/>
        <v>0</v>
      </c>
    </row>
    <row r="573" spans="1:32">
      <c r="A573" s="677">
        <v>563</v>
      </c>
      <c r="B573" s="379" t="s">
        <v>984</v>
      </c>
      <c r="C573" s="379" t="s">
        <v>634</v>
      </c>
      <c r="D573" s="379" t="s">
        <v>1444</v>
      </c>
      <c r="E573" s="662" t="s">
        <v>1762</v>
      </c>
      <c r="F573" s="676">
        <v>-463561.43</v>
      </c>
      <c r="G573" s="676">
        <v>-429335.22</v>
      </c>
      <c r="H573" s="676">
        <v>-391057.16</v>
      </c>
      <c r="I573" s="676">
        <v>-344979.34</v>
      </c>
      <c r="J573" s="676">
        <v>-339852.94</v>
      </c>
      <c r="K573" s="676">
        <v>-355714.93</v>
      </c>
      <c r="L573" s="676">
        <v>-382669.07</v>
      </c>
      <c r="M573" s="676">
        <v>-408852.96</v>
      </c>
      <c r="N573" s="676">
        <v>-434468.51</v>
      </c>
      <c r="O573" s="676">
        <v>-461169.74</v>
      </c>
      <c r="P573" s="676">
        <v>-476076.04</v>
      </c>
      <c r="Q573" s="676">
        <v>-473758.23</v>
      </c>
      <c r="R573" s="676">
        <v>-450758.74</v>
      </c>
      <c r="S573" s="551">
        <f t="shared" si="124"/>
        <v>-412924.51875000005</v>
      </c>
      <c r="T573" s="677"/>
      <c r="U573" s="716"/>
      <c r="V573" s="755"/>
      <c r="W573" s="755"/>
      <c r="X573" s="778">
        <f t="shared" si="154"/>
        <v>-412924.51875000005</v>
      </c>
      <c r="Y573" s="755"/>
      <c r="Z573" s="755"/>
      <c r="AA573" s="716"/>
      <c r="AB573" s="755">
        <f t="shared" si="155"/>
        <v>-412924.51875000005</v>
      </c>
      <c r="AC573" s="717"/>
      <c r="AD573" s="718"/>
      <c r="AE573" s="717"/>
      <c r="AF573" s="753">
        <f t="shared" si="131"/>
        <v>0</v>
      </c>
    </row>
    <row r="574" spans="1:32">
      <c r="A574" s="677">
        <v>564</v>
      </c>
      <c r="B574" s="379" t="s">
        <v>984</v>
      </c>
      <c r="C574" s="379" t="s">
        <v>634</v>
      </c>
      <c r="D574" s="379" t="s">
        <v>1445</v>
      </c>
      <c r="E574" s="662" t="s">
        <v>1763</v>
      </c>
      <c r="F574" s="676">
        <v>-126336.78</v>
      </c>
      <c r="G574" s="676">
        <v>-113252.81</v>
      </c>
      <c r="H574" s="676">
        <v>-98837.58</v>
      </c>
      <c r="I574" s="676">
        <v>-81877.09</v>
      </c>
      <c r="J574" s="676">
        <v>-78252.990000000005</v>
      </c>
      <c r="K574" s="676">
        <v>-81465.86</v>
      </c>
      <c r="L574" s="676">
        <v>-88304.51</v>
      </c>
      <c r="M574" s="676">
        <v>-94920.55</v>
      </c>
      <c r="N574" s="676">
        <v>-101367.35</v>
      </c>
      <c r="O574" s="676">
        <v>-108163.05</v>
      </c>
      <c r="P574" s="676">
        <v>-111075.57</v>
      </c>
      <c r="Q574" s="676">
        <v>-108527.96</v>
      </c>
      <c r="R574" s="676">
        <v>-99392.62</v>
      </c>
      <c r="S574" s="551">
        <f t="shared" si="124"/>
        <v>-98242.501666666663</v>
      </c>
      <c r="T574" s="677"/>
      <c r="U574" s="716"/>
      <c r="V574" s="755"/>
      <c r="W574" s="755"/>
      <c r="X574" s="778">
        <f t="shared" si="154"/>
        <v>-98242.501666666663</v>
      </c>
      <c r="Y574" s="755"/>
      <c r="Z574" s="755"/>
      <c r="AA574" s="716"/>
      <c r="AB574" s="755">
        <f t="shared" si="155"/>
        <v>-98242.501666666663</v>
      </c>
      <c r="AC574" s="717"/>
      <c r="AD574" s="718"/>
      <c r="AE574" s="717"/>
      <c r="AF574" s="753">
        <f t="shared" si="131"/>
        <v>0</v>
      </c>
    </row>
    <row r="575" spans="1:32">
      <c r="A575" s="677">
        <v>565</v>
      </c>
      <c r="B575" s="379" t="s">
        <v>984</v>
      </c>
      <c r="C575" s="379" t="s">
        <v>634</v>
      </c>
      <c r="D575" s="379" t="s">
        <v>1446</v>
      </c>
      <c r="E575" s="662" t="s">
        <v>1764</v>
      </c>
      <c r="F575" s="676">
        <v>-863199.97</v>
      </c>
      <c r="G575" s="676">
        <v>-699908.41</v>
      </c>
      <c r="H575" s="676">
        <v>-529243.91</v>
      </c>
      <c r="I575" s="676">
        <v>-344301.35</v>
      </c>
      <c r="J575" s="676">
        <v>-234375.07</v>
      </c>
      <c r="K575" s="676">
        <v>-162900.16</v>
      </c>
      <c r="L575" s="676">
        <v>-111684.07</v>
      </c>
      <c r="M575" s="676">
        <v>-58935.039999999899</v>
      </c>
      <c r="N575" s="676">
        <v>-5075.4299999999203</v>
      </c>
      <c r="O575" s="676">
        <v>46774.890000000101</v>
      </c>
      <c r="P575" s="676">
        <v>120083.18</v>
      </c>
      <c r="Q575" s="676">
        <v>177539.49</v>
      </c>
      <c r="R575" s="676">
        <v>8.7311491370201098E-11</v>
      </c>
      <c r="S575" s="551">
        <f t="shared" si="124"/>
        <v>-186135.48874999993</v>
      </c>
      <c r="T575" s="677"/>
      <c r="U575" s="716"/>
      <c r="V575" s="755"/>
      <c r="W575" s="755"/>
      <c r="X575" s="778">
        <f t="shared" si="154"/>
        <v>-186135.48874999993</v>
      </c>
      <c r="Y575" s="755"/>
      <c r="Z575" s="755"/>
      <c r="AA575" s="716"/>
      <c r="AB575" s="755">
        <f t="shared" si="155"/>
        <v>-186135.48874999993</v>
      </c>
      <c r="AC575" s="717"/>
      <c r="AD575" s="718"/>
      <c r="AE575" s="717"/>
      <c r="AF575" s="753">
        <f t="shared" si="131"/>
        <v>0</v>
      </c>
    </row>
    <row r="576" spans="1:32">
      <c r="A576" s="677">
        <v>566</v>
      </c>
      <c r="B576" s="379" t="s">
        <v>984</v>
      </c>
      <c r="C576" s="379" t="s">
        <v>634</v>
      </c>
      <c r="D576" s="379" t="s">
        <v>1447</v>
      </c>
      <c r="E576" s="662" t="s">
        <v>1765</v>
      </c>
      <c r="F576" s="676">
        <v>-236935.84</v>
      </c>
      <c r="G576" s="676">
        <v>-183989.76000000001</v>
      </c>
      <c r="H576" s="676">
        <v>-128623.71</v>
      </c>
      <c r="I576" s="676">
        <v>-68609.960000000006</v>
      </c>
      <c r="J576" s="676">
        <v>-32980.78</v>
      </c>
      <c r="K576" s="676">
        <v>-9851.0400000000009</v>
      </c>
      <c r="L576" s="676">
        <v>6665.54</v>
      </c>
      <c r="M576" s="676">
        <v>23623.64</v>
      </c>
      <c r="N576" s="676">
        <v>40910.720000000001</v>
      </c>
      <c r="O576" s="676">
        <v>57554.2</v>
      </c>
      <c r="P576" s="676">
        <v>81250.36</v>
      </c>
      <c r="Q576" s="676">
        <v>99940.78</v>
      </c>
      <c r="R576" s="676">
        <v>0</v>
      </c>
      <c r="S576" s="551">
        <f t="shared" si="124"/>
        <v>-19381.494166666675</v>
      </c>
      <c r="T576" s="677"/>
      <c r="U576" s="716"/>
      <c r="V576" s="755"/>
      <c r="W576" s="755"/>
      <c r="X576" s="778">
        <f t="shared" si="154"/>
        <v>-19381.494166666675</v>
      </c>
      <c r="Y576" s="755"/>
      <c r="Z576" s="755"/>
      <c r="AA576" s="716"/>
      <c r="AB576" s="755">
        <f t="shared" si="155"/>
        <v>-19381.494166666675</v>
      </c>
      <c r="AC576" s="717"/>
      <c r="AD576" s="718"/>
      <c r="AE576" s="717"/>
      <c r="AF576" s="753">
        <f t="shared" si="131"/>
        <v>0</v>
      </c>
    </row>
    <row r="577" spans="1:32">
      <c r="A577" s="677">
        <v>567</v>
      </c>
      <c r="B577" s="379" t="s">
        <v>984</v>
      </c>
      <c r="C577" s="379" t="s">
        <v>634</v>
      </c>
      <c r="D577" s="379" t="s">
        <v>1448</v>
      </c>
      <c r="E577" s="668" t="s">
        <v>1766</v>
      </c>
      <c r="F577" s="676">
        <v>367551.32</v>
      </c>
      <c r="G577" s="676">
        <v>367551.32</v>
      </c>
      <c r="H577" s="676">
        <v>367551.32</v>
      </c>
      <c r="I577" s="676">
        <v>367551.32</v>
      </c>
      <c r="J577" s="676">
        <v>367551.32</v>
      </c>
      <c r="K577" s="676">
        <v>367551.32</v>
      </c>
      <c r="L577" s="676">
        <v>367551.32</v>
      </c>
      <c r="M577" s="676">
        <v>367551.32</v>
      </c>
      <c r="N577" s="676">
        <v>367551.32</v>
      </c>
      <c r="O577" s="676">
        <v>473806.37</v>
      </c>
      <c r="P577" s="676">
        <v>473806.37</v>
      </c>
      <c r="Q577" s="676">
        <v>473806.37</v>
      </c>
      <c r="R577" s="676">
        <v>0</v>
      </c>
      <c r="S577" s="551">
        <f t="shared" si="124"/>
        <v>378800.44416666665</v>
      </c>
      <c r="T577" s="677"/>
      <c r="U577" s="716"/>
      <c r="V577" s="755"/>
      <c r="W577" s="755"/>
      <c r="X577" s="778">
        <f t="shared" si="154"/>
        <v>378800.44416666665</v>
      </c>
      <c r="Y577" s="755"/>
      <c r="Z577" s="755"/>
      <c r="AA577" s="716"/>
      <c r="AB577" s="755">
        <f t="shared" si="155"/>
        <v>378800.44416666665</v>
      </c>
      <c r="AC577" s="717"/>
      <c r="AD577" s="718"/>
      <c r="AE577" s="717"/>
      <c r="AF577" s="753">
        <f t="shared" si="131"/>
        <v>0</v>
      </c>
    </row>
    <row r="578" spans="1:32">
      <c r="A578" s="677">
        <v>568</v>
      </c>
      <c r="B578" s="379" t="s">
        <v>1009</v>
      </c>
      <c r="C578" s="379" t="s">
        <v>634</v>
      </c>
      <c r="D578" s="379" t="s">
        <v>1238</v>
      </c>
      <c r="E578" s="662" t="s">
        <v>1759</v>
      </c>
      <c r="F578" s="676">
        <v>151304.69</v>
      </c>
      <c r="G578" s="676">
        <v>0</v>
      </c>
      <c r="H578" s="676">
        <v>0</v>
      </c>
      <c r="I578" s="676">
        <v>0</v>
      </c>
      <c r="J578" s="676">
        <v>5267.35</v>
      </c>
      <c r="K578" s="676">
        <v>2626.02</v>
      </c>
      <c r="L578" s="676">
        <v>2032.81</v>
      </c>
      <c r="M578" s="676">
        <v>1667.79</v>
      </c>
      <c r="N578" s="676">
        <v>870.6</v>
      </c>
      <c r="O578" s="676">
        <v>2138.62</v>
      </c>
      <c r="P578" s="676">
        <v>31782.5</v>
      </c>
      <c r="Q578" s="676">
        <v>157413.66</v>
      </c>
      <c r="R578" s="676">
        <v>179237.64</v>
      </c>
      <c r="S578" s="551">
        <f t="shared" si="124"/>
        <v>30755.876250000001</v>
      </c>
      <c r="T578" s="677"/>
      <c r="U578" s="716"/>
      <c r="V578" s="755">
        <f t="shared" ref="V578:V579" si="156">+S578</f>
        <v>30755.876250000001</v>
      </c>
      <c r="W578" s="755"/>
      <c r="X578" s="778"/>
      <c r="Y578" s="755"/>
      <c r="Z578" s="755"/>
      <c r="AA578" s="716"/>
      <c r="AB578" s="755"/>
      <c r="AC578" s="717"/>
      <c r="AD578" s="718">
        <f t="shared" ref="AD578:AD579" si="157">+V578</f>
        <v>30755.876250000001</v>
      </c>
      <c r="AE578" s="717"/>
      <c r="AF578" s="753">
        <f t="shared" si="131"/>
        <v>0</v>
      </c>
    </row>
    <row r="579" spans="1:32">
      <c r="A579" s="677">
        <v>569</v>
      </c>
      <c r="B579" s="379" t="s">
        <v>984</v>
      </c>
      <c r="C579" s="379" t="s">
        <v>634</v>
      </c>
      <c r="D579" s="379" t="s">
        <v>1238</v>
      </c>
      <c r="E579" s="668" t="s">
        <v>1759</v>
      </c>
      <c r="F579" s="676">
        <v>934952.23</v>
      </c>
      <c r="G579" s="676">
        <v>269615.28000000003</v>
      </c>
      <c r="H579" s="676">
        <v>336752.89</v>
      </c>
      <c r="I579" s="676">
        <v>221356.89</v>
      </c>
      <c r="J579" s="676">
        <v>117146.9</v>
      </c>
      <c r="K579" s="676">
        <v>67735.67</v>
      </c>
      <c r="L579" s="676">
        <v>47646.15</v>
      </c>
      <c r="M579" s="676">
        <v>46845.95</v>
      </c>
      <c r="N579" s="676">
        <v>25782.880000000001</v>
      </c>
      <c r="O579" s="676">
        <v>62495.17</v>
      </c>
      <c r="P579" s="676">
        <v>154564.26999999999</v>
      </c>
      <c r="Q579" s="676">
        <v>163913.10999999999</v>
      </c>
      <c r="R579" s="676">
        <v>189403.67</v>
      </c>
      <c r="S579" s="551">
        <f t="shared" si="124"/>
        <v>173002.75916666663</v>
      </c>
      <c r="T579" s="677"/>
      <c r="U579" s="716"/>
      <c r="V579" s="755">
        <f t="shared" si="156"/>
        <v>173002.75916666663</v>
      </c>
      <c r="W579" s="755"/>
      <c r="X579" s="778"/>
      <c r="Y579" s="755"/>
      <c r="Z579" s="755"/>
      <c r="AA579" s="716"/>
      <c r="AB579" s="755"/>
      <c r="AC579" s="717"/>
      <c r="AD579" s="718">
        <f t="shared" si="157"/>
        <v>173002.75916666663</v>
      </c>
      <c r="AE579" s="717"/>
      <c r="AF579" s="753">
        <f t="shared" si="131"/>
        <v>0</v>
      </c>
    </row>
    <row r="580" spans="1:32">
      <c r="A580" s="677">
        <v>570</v>
      </c>
      <c r="B580" s="379" t="s">
        <v>981</v>
      </c>
      <c r="C580" s="379" t="s">
        <v>459</v>
      </c>
      <c r="D580" s="379" t="s">
        <v>732</v>
      </c>
      <c r="E580" s="675" t="s">
        <v>733</v>
      </c>
      <c r="F580" s="676">
        <v>49007788.119999997</v>
      </c>
      <c r="G580" s="676">
        <v>49338211.450000003</v>
      </c>
      <c r="H580" s="676">
        <v>49670032.240000002</v>
      </c>
      <c r="I580" s="676">
        <v>50003256.799999997</v>
      </c>
      <c r="J580" s="676">
        <v>50337891.619999997</v>
      </c>
      <c r="K580" s="676">
        <v>50673943.340000004</v>
      </c>
      <c r="L580" s="676">
        <v>51011418.359999999</v>
      </c>
      <c r="M580" s="676">
        <v>51350323.100000001</v>
      </c>
      <c r="N580" s="676">
        <v>51690664.189999998</v>
      </c>
      <c r="O580" s="676">
        <v>52032448.350000001</v>
      </c>
      <c r="P580" s="676">
        <v>52375682.159999996</v>
      </c>
      <c r="Q580" s="676">
        <v>52720372.310000002</v>
      </c>
      <c r="R580" s="676">
        <v>52645191.759999998</v>
      </c>
      <c r="S580" s="551">
        <f t="shared" si="124"/>
        <v>51002561.155000009</v>
      </c>
      <c r="T580" s="677"/>
      <c r="U580" s="716"/>
      <c r="V580" s="724"/>
      <c r="W580" s="755"/>
      <c r="X580" s="755">
        <f>+S580</f>
        <v>51002561.155000009</v>
      </c>
      <c r="Y580" s="783">
        <f>+X580*Z7</f>
        <v>38338625.22021351</v>
      </c>
      <c r="Z580" s="755">
        <f>+X580*Z8</f>
        <v>12663935.934786502</v>
      </c>
      <c r="AA580" s="716"/>
      <c r="AB580" s="755"/>
      <c r="AC580" s="717"/>
      <c r="AD580" s="718"/>
      <c r="AE580" s="717"/>
      <c r="AF580" s="753">
        <f t="shared" ref="AF580:AF656" si="158">+U580+V580-AD580</f>
        <v>0</v>
      </c>
    </row>
    <row r="581" spans="1:32">
      <c r="A581" s="677">
        <v>571</v>
      </c>
      <c r="B581" s="379" t="s">
        <v>981</v>
      </c>
      <c r="C581" s="379" t="s">
        <v>634</v>
      </c>
      <c r="D581" s="379" t="s">
        <v>635</v>
      </c>
      <c r="E581" s="675" t="s">
        <v>636</v>
      </c>
      <c r="F581" s="676">
        <v>-2706980</v>
      </c>
      <c r="G581" s="676">
        <v>-2706980</v>
      </c>
      <c r="H581" s="676">
        <v>-2706980</v>
      </c>
      <c r="I581" s="676">
        <v>-2706980</v>
      </c>
      <c r="J581" s="676">
        <v>-2706980</v>
      </c>
      <c r="K581" s="676">
        <v>-2706980</v>
      </c>
      <c r="L581" s="676">
        <v>-2706980</v>
      </c>
      <c r="M581" s="676">
        <v>-2706980</v>
      </c>
      <c r="N581" s="676">
        <v>-2706980</v>
      </c>
      <c r="O581" s="676">
        <v>-2706980</v>
      </c>
      <c r="P581" s="676">
        <v>-2706980</v>
      </c>
      <c r="Q581" s="676">
        <v>0</v>
      </c>
      <c r="R581" s="676">
        <v>0</v>
      </c>
      <c r="S581" s="551">
        <f t="shared" si="124"/>
        <v>-2368607.5</v>
      </c>
      <c r="T581" s="677"/>
      <c r="U581" s="716"/>
      <c r="V581" s="724">
        <f>+S581</f>
        <v>-2368607.5</v>
      </c>
      <c r="W581" s="755"/>
      <c r="X581" s="755"/>
      <c r="Y581" s="755"/>
      <c r="Z581" s="755"/>
      <c r="AA581" s="716"/>
      <c r="AB581" s="755"/>
      <c r="AC581" s="717"/>
      <c r="AD581" s="718">
        <f>+S581</f>
        <v>-2368607.5</v>
      </c>
      <c r="AE581" s="717"/>
      <c r="AF581" s="753"/>
    </row>
    <row r="582" spans="1:32">
      <c r="A582" s="677">
        <v>572</v>
      </c>
      <c r="B582" s="379" t="s">
        <v>1009</v>
      </c>
      <c r="C582" s="379" t="s">
        <v>625</v>
      </c>
      <c r="D582" s="379" t="s">
        <v>1957</v>
      </c>
      <c r="E582" s="675" t="s">
        <v>1958</v>
      </c>
      <c r="F582" s="676">
        <v>0</v>
      </c>
      <c r="G582" s="676">
        <v>0</v>
      </c>
      <c r="H582" s="676">
        <v>0</v>
      </c>
      <c r="I582" s="676">
        <v>0</v>
      </c>
      <c r="J582" s="676">
        <v>0</v>
      </c>
      <c r="K582" s="676">
        <v>0</v>
      </c>
      <c r="L582" s="676">
        <v>0</v>
      </c>
      <c r="M582" s="676">
        <v>0</v>
      </c>
      <c r="N582" s="676">
        <v>0</v>
      </c>
      <c r="O582" s="676">
        <v>0</v>
      </c>
      <c r="P582" s="676">
        <v>-2751</v>
      </c>
      <c r="Q582" s="676">
        <v>0</v>
      </c>
      <c r="R582" s="676">
        <v>0</v>
      </c>
      <c r="S582" s="551">
        <f t="shared" si="124"/>
        <v>-229.25</v>
      </c>
      <c r="T582" s="677"/>
      <c r="U582" s="716"/>
      <c r="V582" s="724">
        <f>+S582</f>
        <v>-229.25</v>
      </c>
      <c r="W582" s="755"/>
      <c r="X582" s="755"/>
      <c r="Y582" s="755"/>
      <c r="Z582" s="755"/>
      <c r="AA582" s="716"/>
      <c r="AB582" s="755"/>
      <c r="AC582" s="717"/>
      <c r="AD582" s="718">
        <f t="shared" ref="AD582:AD583" si="159">+S582</f>
        <v>-229.25</v>
      </c>
      <c r="AE582" s="717"/>
      <c r="AF582" s="753"/>
    </row>
    <row r="583" spans="1:32">
      <c r="A583" s="677">
        <v>573</v>
      </c>
      <c r="B583" s="379" t="s">
        <v>1009</v>
      </c>
      <c r="C583" s="379" t="s">
        <v>634</v>
      </c>
      <c r="D583" s="379" t="s">
        <v>1201</v>
      </c>
      <c r="E583" s="675" t="s">
        <v>1756</v>
      </c>
      <c r="F583" s="676">
        <v>-444461.68</v>
      </c>
      <c r="G583" s="676">
        <v>0</v>
      </c>
      <c r="H583" s="676">
        <v>0</v>
      </c>
      <c r="I583" s="676">
        <v>0</v>
      </c>
      <c r="J583" s="676">
        <v>0</v>
      </c>
      <c r="K583" s="676">
        <v>0</v>
      </c>
      <c r="L583" s="676">
        <v>0</v>
      </c>
      <c r="M583" s="676">
        <v>0</v>
      </c>
      <c r="N583" s="676">
        <v>0</v>
      </c>
      <c r="O583" s="676">
        <v>0</v>
      </c>
      <c r="P583" s="676">
        <v>0</v>
      </c>
      <c r="Q583" s="676">
        <v>0</v>
      </c>
      <c r="R583" s="676">
        <v>0</v>
      </c>
      <c r="S583" s="551">
        <f t="shared" si="124"/>
        <v>-18519.236666666668</v>
      </c>
      <c r="T583" s="677"/>
      <c r="U583" s="716"/>
      <c r="V583" s="724">
        <f>+S583</f>
        <v>-18519.236666666668</v>
      </c>
      <c r="W583" s="755"/>
      <c r="X583" s="755"/>
      <c r="Y583" s="755"/>
      <c r="Z583" s="755"/>
      <c r="AA583" s="716"/>
      <c r="AB583" s="755"/>
      <c r="AC583" s="717"/>
      <c r="AD583" s="718">
        <f t="shared" si="159"/>
        <v>-18519.236666666668</v>
      </c>
      <c r="AE583" s="717"/>
      <c r="AF583" s="753"/>
    </row>
    <row r="584" spans="1:32">
      <c r="A584" s="677">
        <v>574</v>
      </c>
      <c r="B584" s="379" t="s">
        <v>1009</v>
      </c>
      <c r="C584" s="379" t="s">
        <v>634</v>
      </c>
      <c r="D584" s="379" t="s">
        <v>1959</v>
      </c>
      <c r="E584" s="675" t="s">
        <v>1762</v>
      </c>
      <c r="F584" s="676">
        <v>0</v>
      </c>
      <c r="G584" s="676">
        <v>0</v>
      </c>
      <c r="H584" s="676">
        <v>0</v>
      </c>
      <c r="I584" s="676">
        <v>0</v>
      </c>
      <c r="J584" s="676">
        <v>-624311.89</v>
      </c>
      <c r="K584" s="676">
        <v>-701416.39</v>
      </c>
      <c r="L584" s="676">
        <v>-738531.33</v>
      </c>
      <c r="M584" s="676">
        <v>-776777.21</v>
      </c>
      <c r="N584" s="676">
        <v>-815511.26</v>
      </c>
      <c r="O584" s="676">
        <v>-854258.7</v>
      </c>
      <c r="P584" s="676">
        <v>-880766.49</v>
      </c>
      <c r="Q584" s="676">
        <v>-872379.15</v>
      </c>
      <c r="R584" s="676">
        <v>-842630.59</v>
      </c>
      <c r="S584" s="551">
        <f t="shared" si="124"/>
        <v>-557105.64291666669</v>
      </c>
      <c r="T584" s="677"/>
      <c r="U584" s="716"/>
      <c r="V584" s="724"/>
      <c r="W584" s="755"/>
      <c r="X584" s="755">
        <f>+S584</f>
        <v>-557105.64291666669</v>
      </c>
      <c r="Y584" s="755"/>
      <c r="Z584" s="755"/>
      <c r="AA584" s="716"/>
      <c r="AB584" s="755">
        <f>+S584</f>
        <v>-557105.64291666669</v>
      </c>
      <c r="AC584" s="717"/>
      <c r="AD584" s="718"/>
      <c r="AE584" s="717"/>
      <c r="AF584" s="753"/>
    </row>
    <row r="585" spans="1:32">
      <c r="A585" s="677">
        <v>575</v>
      </c>
      <c r="B585" s="379" t="s">
        <v>1009</v>
      </c>
      <c r="C585" s="379" t="s">
        <v>634</v>
      </c>
      <c r="D585" s="379" t="s">
        <v>1960</v>
      </c>
      <c r="E585" s="675" t="s">
        <v>1961</v>
      </c>
      <c r="F585" s="676">
        <v>0</v>
      </c>
      <c r="G585" s="676">
        <v>0</v>
      </c>
      <c r="H585" s="676">
        <v>0</v>
      </c>
      <c r="I585" s="676">
        <v>0</v>
      </c>
      <c r="J585" s="676">
        <v>0</v>
      </c>
      <c r="K585" s="676">
        <v>0</v>
      </c>
      <c r="L585" s="676">
        <v>0</v>
      </c>
      <c r="M585" s="676">
        <v>0</v>
      </c>
      <c r="N585" s="676">
        <v>0</v>
      </c>
      <c r="O585" s="676">
        <v>0</v>
      </c>
      <c r="P585" s="676">
        <v>0</v>
      </c>
      <c r="Q585" s="676">
        <v>-1349945.46</v>
      </c>
      <c r="R585" s="676">
        <v>-1171372.06</v>
      </c>
      <c r="S585" s="551">
        <f t="shared" si="124"/>
        <v>-161302.62416666668</v>
      </c>
      <c r="T585" s="677"/>
      <c r="U585" s="716"/>
      <c r="V585" s="724"/>
      <c r="W585" s="755"/>
      <c r="X585" s="755">
        <f>+S585</f>
        <v>-161302.62416666668</v>
      </c>
      <c r="Y585" s="755"/>
      <c r="Z585" s="755"/>
      <c r="AA585" s="716"/>
      <c r="AB585" s="755">
        <f>+S585</f>
        <v>-161302.62416666668</v>
      </c>
      <c r="AC585" s="717"/>
      <c r="AD585" s="718"/>
      <c r="AE585" s="717"/>
      <c r="AF585" s="753"/>
    </row>
    <row r="586" spans="1:32">
      <c r="A586" s="677">
        <v>576</v>
      </c>
      <c r="B586" s="379" t="s">
        <v>984</v>
      </c>
      <c r="C586" s="379" t="s">
        <v>625</v>
      </c>
      <c r="D586" s="379" t="s">
        <v>1962</v>
      </c>
      <c r="E586" s="675" t="s">
        <v>1958</v>
      </c>
      <c r="F586" s="676">
        <v>0</v>
      </c>
      <c r="G586" s="676">
        <v>0</v>
      </c>
      <c r="H586" s="676">
        <v>0</v>
      </c>
      <c r="I586" s="676">
        <v>0</v>
      </c>
      <c r="J586" s="676">
        <v>0</v>
      </c>
      <c r="K586" s="676">
        <v>0</v>
      </c>
      <c r="L586" s="676">
        <v>0</v>
      </c>
      <c r="M586" s="676">
        <v>0</v>
      </c>
      <c r="N586" s="676">
        <v>0</v>
      </c>
      <c r="O586" s="676">
        <v>0</v>
      </c>
      <c r="P586" s="676">
        <v>-9146</v>
      </c>
      <c r="Q586" s="676">
        <v>0</v>
      </c>
      <c r="R586" s="676">
        <v>0</v>
      </c>
      <c r="S586" s="551">
        <f t="shared" si="124"/>
        <v>-762.16666666666663</v>
      </c>
      <c r="T586" s="677"/>
      <c r="U586" s="716"/>
      <c r="V586" s="724">
        <f>+S586</f>
        <v>-762.16666666666663</v>
      </c>
      <c r="W586" s="755"/>
      <c r="X586" s="755"/>
      <c r="Y586" s="755"/>
      <c r="Z586" s="755"/>
      <c r="AA586" s="716"/>
      <c r="AB586" s="755"/>
      <c r="AC586" s="717"/>
      <c r="AD586" s="718">
        <f>+S586</f>
        <v>-762.16666666666663</v>
      </c>
      <c r="AE586" s="717"/>
      <c r="AF586" s="753"/>
    </row>
    <row r="587" spans="1:32">
      <c r="A587" s="677">
        <v>577</v>
      </c>
      <c r="B587" s="379" t="s">
        <v>984</v>
      </c>
      <c r="C587" s="379" t="s">
        <v>634</v>
      </c>
      <c r="D587" s="379" t="s">
        <v>1429</v>
      </c>
      <c r="E587" s="675" t="s">
        <v>1756</v>
      </c>
      <c r="F587" s="676">
        <v>-4075395.82</v>
      </c>
      <c r="G587" s="676">
        <v>0</v>
      </c>
      <c r="H587" s="676">
        <v>0</v>
      </c>
      <c r="I587" s="676">
        <v>0</v>
      </c>
      <c r="J587" s="676">
        <v>0</v>
      </c>
      <c r="K587" s="676">
        <v>0</v>
      </c>
      <c r="L587" s="676">
        <v>0</v>
      </c>
      <c r="M587" s="676">
        <v>0</v>
      </c>
      <c r="N587" s="676">
        <v>0</v>
      </c>
      <c r="O587" s="676">
        <v>0</v>
      </c>
      <c r="P587" s="676">
        <v>0</v>
      </c>
      <c r="Q587" s="676">
        <v>0</v>
      </c>
      <c r="R587" s="676">
        <v>0</v>
      </c>
      <c r="S587" s="551">
        <f t="shared" si="124"/>
        <v>-169808.15916666665</v>
      </c>
      <c r="T587" s="677"/>
      <c r="U587" s="716"/>
      <c r="V587" s="724">
        <f>+S587</f>
        <v>-169808.15916666665</v>
      </c>
      <c r="W587" s="755"/>
      <c r="X587" s="755"/>
      <c r="Y587" s="755"/>
      <c r="Z587" s="755"/>
      <c r="AA587" s="716"/>
      <c r="AB587" s="755"/>
      <c r="AC587" s="717"/>
      <c r="AD587" s="718">
        <f>+S587</f>
        <v>-169808.15916666665</v>
      </c>
      <c r="AE587" s="717"/>
      <c r="AF587" s="753"/>
    </row>
    <row r="588" spans="1:32">
      <c r="A588" s="677">
        <v>578</v>
      </c>
      <c r="B588" s="677"/>
      <c r="C588" s="677"/>
      <c r="D588" s="677"/>
      <c r="E588" s="667" t="s">
        <v>638</v>
      </c>
      <c r="F588" s="358">
        <f>SUM(F548:F587)</f>
        <v>-118715360.98000005</v>
      </c>
      <c r="G588" s="358">
        <f t="shared" ref="G588:R588" si="160">SUM(G548:G587)</f>
        <v>-112234229.63999997</v>
      </c>
      <c r="H588" s="358">
        <f t="shared" si="160"/>
        <v>-118623771.25000006</v>
      </c>
      <c r="I588" s="358">
        <f t="shared" si="160"/>
        <v>-111200242.52000003</v>
      </c>
      <c r="J588" s="358">
        <f t="shared" si="160"/>
        <v>-110676301.68999998</v>
      </c>
      <c r="K588" s="358">
        <f t="shared" si="160"/>
        <v>-110632339.43999998</v>
      </c>
      <c r="L588" s="358">
        <f t="shared" si="160"/>
        <v>-109774998.52999994</v>
      </c>
      <c r="M588" s="358">
        <f t="shared" si="160"/>
        <v>-109261606.96000008</v>
      </c>
      <c r="N588" s="358">
        <f t="shared" si="160"/>
        <v>-108851654.8</v>
      </c>
      <c r="O588" s="358">
        <f t="shared" si="160"/>
        <v>-108709356.27000009</v>
      </c>
      <c r="P588" s="358">
        <f t="shared" si="160"/>
        <v>-108194769.05999993</v>
      </c>
      <c r="Q588" s="358">
        <f t="shared" si="160"/>
        <v>-105089956.29000001</v>
      </c>
      <c r="R588" s="358">
        <f t="shared" si="160"/>
        <v>-104913886.56000006</v>
      </c>
      <c r="S588" s="358">
        <f>SUM(S548:S587)</f>
        <v>-110421987.51833339</v>
      </c>
      <c r="T588" s="677"/>
      <c r="U588" s="716"/>
      <c r="V588" s="755"/>
      <c r="W588" s="755"/>
      <c r="X588" s="778"/>
      <c r="Y588" s="755"/>
      <c r="Z588" s="755"/>
      <c r="AA588" s="716"/>
      <c r="AB588" s="755"/>
      <c r="AC588" s="717"/>
      <c r="AD588" s="717"/>
      <c r="AE588" s="717"/>
      <c r="AF588" s="753">
        <f t="shared" si="158"/>
        <v>0</v>
      </c>
    </row>
    <row r="589" spans="1:32">
      <c r="A589" s="677">
        <v>579</v>
      </c>
      <c r="B589" s="677"/>
      <c r="C589" s="677"/>
      <c r="D589" s="677"/>
      <c r="E589" s="662"/>
      <c r="F589" s="676"/>
      <c r="G589" s="377"/>
      <c r="H589" s="368"/>
      <c r="I589" s="368"/>
      <c r="J589" s="369"/>
      <c r="K589" s="370"/>
      <c r="L589" s="371"/>
      <c r="M589" s="372"/>
      <c r="N589" s="373"/>
      <c r="O589" s="663"/>
      <c r="P589" s="374"/>
      <c r="Q589" s="378"/>
      <c r="R589" s="676"/>
      <c r="S589" s="357"/>
      <c r="T589" s="677"/>
      <c r="U589" s="716"/>
      <c r="V589" s="755"/>
      <c r="W589" s="755"/>
      <c r="X589" s="778"/>
      <c r="Y589" s="755"/>
      <c r="Z589" s="755"/>
      <c r="AA589" s="716"/>
      <c r="AB589" s="755"/>
      <c r="AC589" s="717"/>
      <c r="AD589" s="717"/>
      <c r="AE589" s="717"/>
      <c r="AF589" s="753">
        <f t="shared" si="158"/>
        <v>0</v>
      </c>
    </row>
    <row r="590" spans="1:32">
      <c r="A590" s="677">
        <v>580</v>
      </c>
      <c r="B590" s="379" t="s">
        <v>981</v>
      </c>
      <c r="C590" s="379" t="s">
        <v>639</v>
      </c>
      <c r="D590" s="379" t="s">
        <v>528</v>
      </c>
      <c r="E590" s="662" t="s">
        <v>640</v>
      </c>
      <c r="F590" s="676">
        <v>-243929</v>
      </c>
      <c r="G590" s="676">
        <v>-240427.42</v>
      </c>
      <c r="H590" s="676">
        <v>-236925.83</v>
      </c>
      <c r="I590" s="676">
        <v>-233424.05</v>
      </c>
      <c r="J590" s="676">
        <v>-229922.67</v>
      </c>
      <c r="K590" s="676">
        <v>-226421.1</v>
      </c>
      <c r="L590" s="676">
        <v>-222919.52</v>
      </c>
      <c r="M590" s="676">
        <v>-219417.94</v>
      </c>
      <c r="N590" s="676">
        <v>-215916.36</v>
      </c>
      <c r="O590" s="676">
        <v>-212414.78</v>
      </c>
      <c r="P590" s="676">
        <v>-208913.2</v>
      </c>
      <c r="Q590" s="676">
        <v>-205411.62</v>
      </c>
      <c r="R590" s="676">
        <v>-201910.04</v>
      </c>
      <c r="S590" s="551">
        <f t="shared" si="124"/>
        <v>-222919.50083333335</v>
      </c>
      <c r="T590" s="677"/>
      <c r="U590" s="716"/>
      <c r="V590" s="755"/>
      <c r="W590" s="755"/>
      <c r="X590" s="778">
        <f>+S590</f>
        <v>-222919.50083333335</v>
      </c>
      <c r="Y590" s="755"/>
      <c r="Z590" s="755"/>
      <c r="AA590" s="716"/>
      <c r="AB590" s="755">
        <f>+X590</f>
        <v>-222919.50083333335</v>
      </c>
      <c r="AC590" s="717"/>
      <c r="AD590" s="717"/>
      <c r="AE590" s="717"/>
      <c r="AF590" s="753">
        <f t="shared" si="158"/>
        <v>0</v>
      </c>
    </row>
    <row r="591" spans="1:32">
      <c r="A591" s="677">
        <v>581</v>
      </c>
      <c r="B591" s="379" t="s">
        <v>981</v>
      </c>
      <c r="C591" s="379" t="s">
        <v>641</v>
      </c>
      <c r="D591" s="379" t="s">
        <v>1013</v>
      </c>
      <c r="E591" s="662" t="s">
        <v>1767</v>
      </c>
      <c r="F591" s="676">
        <v>10230519.77</v>
      </c>
      <c r="G591" s="676">
        <v>10189450.65</v>
      </c>
      <c r="H591" s="676">
        <v>10148381.529999999</v>
      </c>
      <c r="I591" s="676">
        <v>10107312.4</v>
      </c>
      <c r="J591" s="676">
        <v>10066243.27</v>
      </c>
      <c r="K591" s="676">
        <v>10025174.17</v>
      </c>
      <c r="L591" s="676">
        <v>9984105.0199999996</v>
      </c>
      <c r="M591" s="676">
        <v>9943036.9100000001</v>
      </c>
      <c r="N591" s="676">
        <v>9901967.7899999991</v>
      </c>
      <c r="O591" s="676">
        <v>9860898.6600000001</v>
      </c>
      <c r="P591" s="676">
        <v>9819829.5399999991</v>
      </c>
      <c r="Q591" s="676">
        <v>9774270.3900000006</v>
      </c>
      <c r="R591" s="676">
        <v>9711531.8900000006</v>
      </c>
      <c r="S591" s="551">
        <f t="shared" si="124"/>
        <v>9982641.3466666639</v>
      </c>
      <c r="T591" s="677"/>
      <c r="U591" s="716"/>
      <c r="V591" s="755"/>
      <c r="W591" s="755"/>
      <c r="X591" s="778">
        <f t="shared" ref="X591:X600" si="161">+S591</f>
        <v>9982641.3466666639</v>
      </c>
      <c r="Y591" s="755"/>
      <c r="Z591" s="755"/>
      <c r="AA591" s="716"/>
      <c r="AB591" s="755">
        <f>+S591</f>
        <v>9982641.3466666639</v>
      </c>
      <c r="AC591" s="717"/>
      <c r="AD591" s="717"/>
      <c r="AE591" s="717"/>
      <c r="AF591" s="753">
        <f t="shared" si="158"/>
        <v>0</v>
      </c>
    </row>
    <row r="592" spans="1:32">
      <c r="A592" s="677">
        <v>582</v>
      </c>
      <c r="B592" s="379" t="s">
        <v>981</v>
      </c>
      <c r="C592" s="379" t="s">
        <v>641</v>
      </c>
      <c r="D592" s="379" t="s">
        <v>1014</v>
      </c>
      <c r="E592" s="662" t="s">
        <v>1768</v>
      </c>
      <c r="F592" s="676">
        <v>39297042.920000002</v>
      </c>
      <c r="G592" s="676">
        <v>39137349.799999997</v>
      </c>
      <c r="H592" s="676">
        <v>38977656.649999999</v>
      </c>
      <c r="I592" s="676">
        <v>38817963.509999998</v>
      </c>
      <c r="J592" s="676">
        <v>38658270.439999998</v>
      </c>
      <c r="K592" s="676">
        <v>38498577.340000004</v>
      </c>
      <c r="L592" s="676">
        <v>38338884.200000003</v>
      </c>
      <c r="M592" s="676">
        <v>38179194.590000004</v>
      </c>
      <c r="N592" s="676">
        <v>38019501.460000001</v>
      </c>
      <c r="O592" s="676">
        <v>37859808.329999998</v>
      </c>
      <c r="P592" s="676">
        <v>37700115.229999997</v>
      </c>
      <c r="Q592" s="676">
        <v>37530125.719999999</v>
      </c>
      <c r="R592" s="676">
        <v>37290719.920000002</v>
      </c>
      <c r="S592" s="551">
        <f t="shared" si="124"/>
        <v>38334277.390833333</v>
      </c>
      <c r="T592" s="677"/>
      <c r="U592" s="716"/>
      <c r="V592" s="755"/>
      <c r="W592" s="755"/>
      <c r="X592" s="778">
        <f t="shared" si="161"/>
        <v>38334277.390833333</v>
      </c>
      <c r="Y592" s="755"/>
      <c r="Z592" s="755"/>
      <c r="AA592" s="716"/>
      <c r="AB592" s="755">
        <f>+S592</f>
        <v>38334277.390833333</v>
      </c>
      <c r="AC592" s="717"/>
      <c r="AD592" s="717"/>
      <c r="AE592" s="717"/>
      <c r="AF592" s="753">
        <f t="shared" si="158"/>
        <v>0</v>
      </c>
    </row>
    <row r="593" spans="1:32">
      <c r="A593" s="677">
        <v>583</v>
      </c>
      <c r="B593" s="379" t="s">
        <v>981</v>
      </c>
      <c r="C593" s="379" t="s">
        <v>641</v>
      </c>
      <c r="D593" s="379" t="s">
        <v>998</v>
      </c>
      <c r="E593" s="662" t="s">
        <v>1769</v>
      </c>
      <c r="F593" s="676">
        <v>-99638867.390000001</v>
      </c>
      <c r="G593" s="676">
        <v>-99562756.319999993</v>
      </c>
      <c r="H593" s="676">
        <v>-99486645.239999995</v>
      </c>
      <c r="I593" s="676">
        <v>-99410534.159999996</v>
      </c>
      <c r="J593" s="676">
        <v>-99334423.090000004</v>
      </c>
      <c r="K593" s="676">
        <v>-1.4901161193847699E-8</v>
      </c>
      <c r="L593" s="676">
        <v>-1.4901161193847699E-8</v>
      </c>
      <c r="M593" s="676">
        <v>-1.4901161193847699E-8</v>
      </c>
      <c r="N593" s="676">
        <v>-1.4901161193847699E-8</v>
      </c>
      <c r="O593" s="676">
        <v>-1.4901161193847699E-8</v>
      </c>
      <c r="P593" s="676">
        <v>-1.4901161193847699E-8</v>
      </c>
      <c r="Q593" s="676">
        <v>-1.4901161193847699E-8</v>
      </c>
      <c r="R593" s="676">
        <v>-1.4901161193847699E-8</v>
      </c>
      <c r="S593" s="551">
        <f t="shared" si="124"/>
        <v>-37301149.375416674</v>
      </c>
      <c r="T593" s="677"/>
      <c r="U593" s="716"/>
      <c r="V593" s="755"/>
      <c r="W593" s="755"/>
      <c r="X593" s="778">
        <f t="shared" si="161"/>
        <v>-37301149.375416674</v>
      </c>
      <c r="Y593" s="755">
        <f>+X593*Z7</f>
        <v>-28039273.985500716</v>
      </c>
      <c r="Z593" s="755">
        <f>+X593*Z8</f>
        <v>-9261875.3899159599</v>
      </c>
      <c r="AA593" s="716"/>
      <c r="AB593" s="755"/>
      <c r="AC593" s="717"/>
      <c r="AD593" s="717"/>
      <c r="AE593" s="717" t="s">
        <v>1459</v>
      </c>
      <c r="AF593" s="753">
        <f t="shared" si="158"/>
        <v>0</v>
      </c>
    </row>
    <row r="594" spans="1:32">
      <c r="A594" s="677">
        <v>584</v>
      </c>
      <c r="B594" s="379" t="s">
        <v>981</v>
      </c>
      <c r="C594" s="379" t="s">
        <v>641</v>
      </c>
      <c r="D594" s="379" t="s">
        <v>1015</v>
      </c>
      <c r="E594" s="662" t="s">
        <v>1770</v>
      </c>
      <c r="F594" s="676">
        <v>347877.73</v>
      </c>
      <c r="G594" s="676">
        <v>328898.68</v>
      </c>
      <c r="H594" s="676">
        <v>330302.68</v>
      </c>
      <c r="I594" s="676">
        <v>372396.35</v>
      </c>
      <c r="J594" s="676">
        <v>377559.63</v>
      </c>
      <c r="K594" s="676">
        <v>372596.72</v>
      </c>
      <c r="L594" s="676">
        <v>367161.58</v>
      </c>
      <c r="M594" s="676">
        <v>362934.5</v>
      </c>
      <c r="N594" s="676">
        <v>420633.06</v>
      </c>
      <c r="O594" s="676">
        <v>440461.47</v>
      </c>
      <c r="P594" s="676">
        <v>445104.75</v>
      </c>
      <c r="Q594" s="676">
        <v>-389294.49</v>
      </c>
      <c r="R594" s="676">
        <v>496455.14</v>
      </c>
      <c r="S594" s="551">
        <f t="shared" si="124"/>
        <v>320910.11374999996</v>
      </c>
      <c r="T594" s="677"/>
      <c r="U594" s="716"/>
      <c r="V594" s="755"/>
      <c r="W594" s="755"/>
      <c r="X594" s="778">
        <f t="shared" si="161"/>
        <v>320910.11374999996</v>
      </c>
      <c r="Y594" s="755"/>
      <c r="Z594" s="755"/>
      <c r="AA594" s="716"/>
      <c r="AB594" s="755">
        <f>+S594</f>
        <v>320910.11374999996</v>
      </c>
      <c r="AC594" s="717"/>
      <c r="AD594" s="717"/>
      <c r="AE594" s="717"/>
      <c r="AF594" s="753">
        <f t="shared" si="158"/>
        <v>0</v>
      </c>
    </row>
    <row r="595" spans="1:32">
      <c r="A595" s="677">
        <v>585</v>
      </c>
      <c r="B595" s="379" t="s">
        <v>984</v>
      </c>
      <c r="C595" s="379" t="s">
        <v>641</v>
      </c>
      <c r="D595" s="379" t="s">
        <v>1345</v>
      </c>
      <c r="E595" s="662" t="s">
        <v>1778</v>
      </c>
      <c r="F595" s="676">
        <v>0</v>
      </c>
      <c r="G595" s="676">
        <v>0</v>
      </c>
      <c r="H595" s="676">
        <v>0</v>
      </c>
      <c r="I595" s="676">
        <v>0</v>
      </c>
      <c r="J595" s="676">
        <v>0</v>
      </c>
      <c r="K595" s="676">
        <v>0</v>
      </c>
      <c r="L595" s="676">
        <v>0</v>
      </c>
      <c r="M595" s="676">
        <v>0</v>
      </c>
      <c r="N595" s="676">
        <v>0</v>
      </c>
      <c r="O595" s="676">
        <v>0</v>
      </c>
      <c r="P595" s="676">
        <v>0</v>
      </c>
      <c r="Q595" s="676">
        <v>0</v>
      </c>
      <c r="R595" s="676">
        <v>0</v>
      </c>
      <c r="S595" s="551">
        <f t="shared" si="124"/>
        <v>0</v>
      </c>
      <c r="T595" s="677"/>
      <c r="U595" s="716"/>
      <c r="V595" s="755"/>
      <c r="W595" s="755"/>
      <c r="X595" s="778">
        <f t="shared" si="161"/>
        <v>0</v>
      </c>
      <c r="Y595" s="755"/>
      <c r="Z595" s="755"/>
      <c r="AA595" s="716"/>
      <c r="AB595" s="755"/>
      <c r="AC595" s="717"/>
      <c r="AD595" s="717"/>
      <c r="AE595" s="717" t="s">
        <v>1460</v>
      </c>
      <c r="AF595" s="753">
        <f t="shared" si="158"/>
        <v>0</v>
      </c>
    </row>
    <row r="596" spans="1:32">
      <c r="A596" s="677">
        <v>586</v>
      </c>
      <c r="B596" s="379" t="s">
        <v>1009</v>
      </c>
      <c r="C596" s="379" t="s">
        <v>641</v>
      </c>
      <c r="D596" s="379" t="s">
        <v>1010</v>
      </c>
      <c r="E596" s="662" t="s">
        <v>1774</v>
      </c>
      <c r="F596" s="676">
        <v>895436.16</v>
      </c>
      <c r="G596" s="676">
        <v>891841.56</v>
      </c>
      <c r="H596" s="676">
        <v>888246.94</v>
      </c>
      <c r="I596" s="676">
        <v>884652.33</v>
      </c>
      <c r="J596" s="676">
        <v>881057.7</v>
      </c>
      <c r="K596" s="676">
        <v>877463.1</v>
      </c>
      <c r="L596" s="676">
        <v>873868.48</v>
      </c>
      <c r="M596" s="676">
        <v>870273.95</v>
      </c>
      <c r="N596" s="676">
        <v>866679.33</v>
      </c>
      <c r="O596" s="676">
        <v>863084.72</v>
      </c>
      <c r="P596" s="676">
        <v>859490.1</v>
      </c>
      <c r="Q596" s="676">
        <v>855502.51</v>
      </c>
      <c r="R596" s="676">
        <v>850011.25</v>
      </c>
      <c r="S596" s="551">
        <f t="shared" si="124"/>
        <v>873740.36874999991</v>
      </c>
      <c r="T596" s="677"/>
      <c r="U596" s="716"/>
      <c r="V596" s="755"/>
      <c r="W596" s="755"/>
      <c r="X596" s="778">
        <f t="shared" si="161"/>
        <v>873740.36874999991</v>
      </c>
      <c r="Y596" s="755"/>
      <c r="Z596" s="755"/>
      <c r="AA596" s="716"/>
      <c r="AB596" s="755">
        <f>+S596</f>
        <v>873740.36874999991</v>
      </c>
      <c r="AC596" s="717"/>
      <c r="AD596" s="717"/>
      <c r="AE596" s="717"/>
      <c r="AF596" s="753">
        <f t="shared" si="158"/>
        <v>0</v>
      </c>
    </row>
    <row r="597" spans="1:32">
      <c r="A597" s="677">
        <v>587</v>
      </c>
      <c r="B597" s="379" t="s">
        <v>1009</v>
      </c>
      <c r="C597" s="379" t="s">
        <v>641</v>
      </c>
      <c r="D597" s="379" t="s">
        <v>1011</v>
      </c>
      <c r="E597" s="662" t="s">
        <v>1775</v>
      </c>
      <c r="F597" s="676">
        <v>-798533.89</v>
      </c>
      <c r="G597" s="676">
        <v>-793515.04</v>
      </c>
      <c r="H597" s="676">
        <v>-788496.17</v>
      </c>
      <c r="I597" s="676">
        <v>-783477.27</v>
      </c>
      <c r="J597" s="676">
        <v>-778458.43</v>
      </c>
      <c r="K597" s="676">
        <v>-773439.56</v>
      </c>
      <c r="L597" s="676">
        <v>-768420.69</v>
      </c>
      <c r="M597" s="676">
        <v>-763401.51</v>
      </c>
      <c r="N597" s="676">
        <v>-758382.62</v>
      </c>
      <c r="O597" s="676">
        <v>-753363.76</v>
      </c>
      <c r="P597" s="676">
        <v>-748344.91</v>
      </c>
      <c r="Q597" s="676">
        <v>-751585.57</v>
      </c>
      <c r="R597" s="676">
        <v>-748372.32</v>
      </c>
      <c r="S597" s="551">
        <f t="shared" si="124"/>
        <v>-769528.21958333335</v>
      </c>
      <c r="T597" s="677"/>
      <c r="U597" s="716"/>
      <c r="V597" s="755"/>
      <c r="W597" s="755"/>
      <c r="X597" s="778">
        <f t="shared" si="161"/>
        <v>-769528.21958333335</v>
      </c>
      <c r="Y597" s="755"/>
      <c r="Z597" s="755"/>
      <c r="AA597" s="716"/>
      <c r="AB597" s="755">
        <f>+S597</f>
        <v>-769528.21958333335</v>
      </c>
      <c r="AC597" s="717"/>
      <c r="AD597" s="717"/>
      <c r="AE597" s="717"/>
      <c r="AF597" s="753">
        <f t="shared" si="158"/>
        <v>0</v>
      </c>
    </row>
    <row r="598" spans="1:32">
      <c r="A598" s="677">
        <v>588</v>
      </c>
      <c r="B598" s="379" t="s">
        <v>1009</v>
      </c>
      <c r="C598" s="379" t="s">
        <v>641</v>
      </c>
      <c r="D598" s="379" t="s">
        <v>1002</v>
      </c>
      <c r="E598" s="662" t="s">
        <v>1776</v>
      </c>
      <c r="F598" s="676">
        <v>-4420542.34</v>
      </c>
      <c r="G598" s="676">
        <v>-4433550.5599999996</v>
      </c>
      <c r="H598" s="676">
        <v>-4446558.79</v>
      </c>
      <c r="I598" s="676">
        <v>-4459567.03</v>
      </c>
      <c r="J598" s="676">
        <v>-4472575.25</v>
      </c>
      <c r="K598" s="676">
        <v>-4485583.4800000004</v>
      </c>
      <c r="L598" s="676">
        <v>-4498591.7</v>
      </c>
      <c r="M598" s="676">
        <v>-4511599.92</v>
      </c>
      <c r="N598" s="676">
        <v>-4524608.1500000004</v>
      </c>
      <c r="O598" s="676">
        <v>-4537616.3899999997</v>
      </c>
      <c r="P598" s="676">
        <v>-4550624.6100000003</v>
      </c>
      <c r="Q598" s="676">
        <v>-4641330.5999999996</v>
      </c>
      <c r="R598" s="676">
        <v>-4791249.5199999996</v>
      </c>
      <c r="S598" s="551">
        <f t="shared" si="124"/>
        <v>-4514008.5341666667</v>
      </c>
      <c r="T598" s="677"/>
      <c r="U598" s="716"/>
      <c r="V598" s="755"/>
      <c r="W598" s="755"/>
      <c r="X598" s="778">
        <f t="shared" si="161"/>
        <v>-4514008.5341666667</v>
      </c>
      <c r="Y598" s="755"/>
      <c r="Z598" s="755">
        <f>+X598</f>
        <v>-4514008.5341666667</v>
      </c>
      <c r="AA598" s="716"/>
      <c r="AB598" s="755"/>
      <c r="AC598" s="717"/>
      <c r="AD598" s="717"/>
      <c r="AE598" s="717" t="s">
        <v>1461</v>
      </c>
      <c r="AF598" s="753">
        <f t="shared" si="158"/>
        <v>0</v>
      </c>
    </row>
    <row r="599" spans="1:32">
      <c r="A599" s="677">
        <v>589</v>
      </c>
      <c r="B599" s="379" t="s">
        <v>1009</v>
      </c>
      <c r="C599" s="379" t="s">
        <v>641</v>
      </c>
      <c r="D599" s="379" t="s">
        <v>1012</v>
      </c>
      <c r="E599" s="662" t="s">
        <v>1777</v>
      </c>
      <c r="F599" s="676">
        <v>492728.47</v>
      </c>
      <c r="G599" s="676">
        <v>491067.3</v>
      </c>
      <c r="H599" s="676">
        <v>491190.19</v>
      </c>
      <c r="I599" s="676">
        <v>494874.48</v>
      </c>
      <c r="J599" s="676">
        <v>495326.42</v>
      </c>
      <c r="K599" s="676">
        <v>494892.02</v>
      </c>
      <c r="L599" s="676">
        <v>494416.3</v>
      </c>
      <c r="M599" s="676">
        <v>494046.33</v>
      </c>
      <c r="N599" s="676">
        <v>499096.44</v>
      </c>
      <c r="O599" s="676">
        <v>500831.95</v>
      </c>
      <c r="P599" s="676">
        <v>501238.35</v>
      </c>
      <c r="Q599" s="676">
        <v>428206.76</v>
      </c>
      <c r="R599" s="676">
        <v>505732.86</v>
      </c>
      <c r="S599" s="551">
        <f t="shared" si="124"/>
        <v>490368.1004166666</v>
      </c>
      <c r="T599" s="677"/>
      <c r="U599" s="716"/>
      <c r="V599" s="755"/>
      <c r="W599" s="755"/>
      <c r="X599" s="778">
        <f t="shared" si="161"/>
        <v>490368.1004166666</v>
      </c>
      <c r="Y599" s="755"/>
      <c r="Z599" s="755"/>
      <c r="AA599" s="716"/>
      <c r="AB599" s="755">
        <f>+S599</f>
        <v>490368.1004166666</v>
      </c>
      <c r="AC599" s="717"/>
      <c r="AD599" s="717"/>
      <c r="AE599" s="717"/>
      <c r="AF599" s="753">
        <f t="shared" si="158"/>
        <v>0</v>
      </c>
    </row>
    <row r="600" spans="1:32">
      <c r="A600" s="677">
        <v>590</v>
      </c>
      <c r="B600" s="379" t="s">
        <v>1009</v>
      </c>
      <c r="C600" s="379" t="s">
        <v>641</v>
      </c>
      <c r="D600" s="379" t="s">
        <v>1345</v>
      </c>
      <c r="E600" s="662" t="s">
        <v>1778</v>
      </c>
      <c r="F600" s="676">
        <v>0</v>
      </c>
      <c r="G600" s="676">
        <v>0</v>
      </c>
      <c r="H600" s="676">
        <v>0</v>
      </c>
      <c r="I600" s="676">
        <v>0</v>
      </c>
      <c r="J600" s="676">
        <v>0</v>
      </c>
      <c r="K600" s="676">
        <v>0</v>
      </c>
      <c r="L600" s="676">
        <v>0</v>
      </c>
      <c r="M600" s="676">
        <v>0</v>
      </c>
      <c r="N600" s="676">
        <v>0</v>
      </c>
      <c r="O600" s="676">
        <v>0</v>
      </c>
      <c r="P600" s="676">
        <v>0</v>
      </c>
      <c r="Q600" s="676">
        <v>0</v>
      </c>
      <c r="R600" s="676">
        <v>0</v>
      </c>
      <c r="S600" s="551">
        <f t="shared" si="124"/>
        <v>0</v>
      </c>
      <c r="T600" s="677"/>
      <c r="U600" s="716"/>
      <c r="V600" s="755"/>
      <c r="W600" s="755"/>
      <c r="X600" s="778">
        <f t="shared" si="161"/>
        <v>0</v>
      </c>
      <c r="Y600" s="755"/>
      <c r="Z600" s="755"/>
      <c r="AA600" s="716"/>
      <c r="AB600" s="755"/>
      <c r="AC600" s="717"/>
      <c r="AD600" s="717"/>
      <c r="AE600" s="717" t="s">
        <v>1462</v>
      </c>
      <c r="AF600" s="753">
        <f t="shared" si="158"/>
        <v>0</v>
      </c>
    </row>
    <row r="601" spans="1:32">
      <c r="A601" s="677">
        <v>591</v>
      </c>
      <c r="B601" s="379" t="s">
        <v>981</v>
      </c>
      <c r="C601" s="379" t="s">
        <v>642</v>
      </c>
      <c r="D601" s="379" t="s">
        <v>1013</v>
      </c>
      <c r="E601" s="662" t="s">
        <v>1767</v>
      </c>
      <c r="F601" s="676">
        <v>1913970.3</v>
      </c>
      <c r="G601" s="676">
        <v>1893054.62</v>
      </c>
      <c r="H601" s="676">
        <v>1872138.94</v>
      </c>
      <c r="I601" s="676">
        <v>1851223.29</v>
      </c>
      <c r="J601" s="676">
        <v>1830307.64</v>
      </c>
      <c r="K601" s="676">
        <v>1809391.99</v>
      </c>
      <c r="L601" s="676">
        <v>1788476.31</v>
      </c>
      <c r="M601" s="676">
        <v>1767560.66</v>
      </c>
      <c r="N601" s="676">
        <v>1746645</v>
      </c>
      <c r="O601" s="676">
        <v>1725729.32</v>
      </c>
      <c r="P601" s="676">
        <v>1704813.64</v>
      </c>
      <c r="Q601" s="676">
        <v>1683897.97</v>
      </c>
      <c r="R601" s="676">
        <v>1662982.3</v>
      </c>
      <c r="S601" s="551">
        <f t="shared" si="124"/>
        <v>1788476.3066666666</v>
      </c>
      <c r="T601" s="677"/>
      <c r="U601" s="716"/>
      <c r="V601" s="755"/>
      <c r="W601" s="755"/>
      <c r="X601" s="778">
        <f>+S601</f>
        <v>1788476.3066666666</v>
      </c>
      <c r="Y601" s="755"/>
      <c r="Z601" s="755"/>
      <c r="AA601" s="716"/>
      <c r="AB601" s="755">
        <f>+S601</f>
        <v>1788476.3066666666</v>
      </c>
      <c r="AC601" s="717"/>
      <c r="AD601" s="718"/>
      <c r="AE601" s="717"/>
      <c r="AF601" s="753">
        <f t="shared" si="158"/>
        <v>0</v>
      </c>
    </row>
    <row r="602" spans="1:32">
      <c r="A602" s="677">
        <v>592</v>
      </c>
      <c r="B602" s="379" t="s">
        <v>981</v>
      </c>
      <c r="C602" s="379" t="s">
        <v>642</v>
      </c>
      <c r="D602" s="379" t="s">
        <v>1014</v>
      </c>
      <c r="E602" s="662" t="s">
        <v>1768</v>
      </c>
      <c r="F602" s="676">
        <v>7294680.6500000004</v>
      </c>
      <c r="G602" s="676">
        <v>7214029.0300000003</v>
      </c>
      <c r="H602" s="676">
        <v>7133377.3700000001</v>
      </c>
      <c r="I602" s="676">
        <v>7052725.7300000004</v>
      </c>
      <c r="J602" s="676">
        <v>6972074.0999999996</v>
      </c>
      <c r="K602" s="676">
        <v>6891422.5099999998</v>
      </c>
      <c r="L602" s="676">
        <v>6810770.9199999999</v>
      </c>
      <c r="M602" s="676">
        <v>6730119.3099999996</v>
      </c>
      <c r="N602" s="676">
        <v>6649467.6600000001</v>
      </c>
      <c r="O602" s="676">
        <v>6568816.04</v>
      </c>
      <c r="P602" s="676">
        <v>6488164.3399999999</v>
      </c>
      <c r="Q602" s="676">
        <v>6407512.7000000002</v>
      </c>
      <c r="R602" s="676">
        <v>6326861.0300000003</v>
      </c>
      <c r="S602" s="551">
        <f t="shared" si="124"/>
        <v>6810770.8791666673</v>
      </c>
      <c r="T602" s="677"/>
      <c r="U602" s="716"/>
      <c r="V602" s="755"/>
      <c r="W602" s="755"/>
      <c r="X602" s="778">
        <f>+S602</f>
        <v>6810770.8791666673</v>
      </c>
      <c r="Y602" s="755"/>
      <c r="Z602" s="755"/>
      <c r="AA602" s="716"/>
      <c r="AB602" s="755">
        <f>+S602</f>
        <v>6810770.8791666673</v>
      </c>
      <c r="AC602" s="717"/>
      <c r="AD602" s="718"/>
      <c r="AE602" s="717"/>
      <c r="AF602" s="753">
        <f t="shared" si="158"/>
        <v>0</v>
      </c>
    </row>
    <row r="603" spans="1:32">
      <c r="A603" s="677">
        <v>593</v>
      </c>
      <c r="B603" s="379" t="s">
        <v>981</v>
      </c>
      <c r="C603" s="379" t="s">
        <v>642</v>
      </c>
      <c r="D603" s="379" t="s">
        <v>1000</v>
      </c>
      <c r="E603" s="662" t="s">
        <v>1771</v>
      </c>
      <c r="F603" s="676">
        <v>-153482.01</v>
      </c>
      <c r="G603" s="676">
        <v>-152777.97</v>
      </c>
      <c r="H603" s="676">
        <v>-152073.93</v>
      </c>
      <c r="I603" s="676">
        <v>-151369.9</v>
      </c>
      <c r="J603" s="676">
        <v>-150665.85999999999</v>
      </c>
      <c r="K603" s="676">
        <v>0</v>
      </c>
      <c r="L603" s="676">
        <v>0</v>
      </c>
      <c r="M603" s="676">
        <v>0</v>
      </c>
      <c r="N603" s="676">
        <v>0</v>
      </c>
      <c r="O603" s="676">
        <v>0</v>
      </c>
      <c r="P603" s="676">
        <v>0</v>
      </c>
      <c r="Q603" s="676">
        <v>0</v>
      </c>
      <c r="R603" s="676">
        <v>0</v>
      </c>
      <c r="S603" s="551">
        <f t="shared" si="124"/>
        <v>-56969.05541666667</v>
      </c>
      <c r="T603" s="677"/>
      <c r="U603" s="716"/>
      <c r="V603" s="724"/>
      <c r="W603" s="755"/>
      <c r="X603" s="755">
        <f>+S603</f>
        <v>-56969.05541666667</v>
      </c>
      <c r="Y603" s="755">
        <f>+X603*Z7</f>
        <v>-42823.638956708339</v>
      </c>
      <c r="Z603" s="755">
        <f>+X603*Z8</f>
        <v>-14145.416459958335</v>
      </c>
      <c r="AA603" s="716"/>
      <c r="AB603" s="755"/>
      <c r="AC603" s="717"/>
      <c r="AD603" s="717"/>
      <c r="AE603" s="717" t="s">
        <v>1463</v>
      </c>
      <c r="AF603" s="753">
        <f t="shared" si="158"/>
        <v>0</v>
      </c>
    </row>
    <row r="604" spans="1:32">
      <c r="A604" s="677">
        <v>594</v>
      </c>
      <c r="B604" s="379" t="s">
        <v>981</v>
      </c>
      <c r="C604" s="379" t="s">
        <v>642</v>
      </c>
      <c r="D604" s="379" t="s">
        <v>1408</v>
      </c>
      <c r="E604" s="662" t="s">
        <v>1772</v>
      </c>
      <c r="F604" s="676">
        <v>-638740.75</v>
      </c>
      <c r="G604" s="676">
        <v>-638740.75</v>
      </c>
      <c r="H604" s="676">
        <v>-638740.75</v>
      </c>
      <c r="I604" s="676">
        <v>-638740.75</v>
      </c>
      <c r="J604" s="676">
        <v>-638740.75</v>
      </c>
      <c r="K604" s="676">
        <v>-638740.75</v>
      </c>
      <c r="L604" s="676">
        <v>-638740.75</v>
      </c>
      <c r="M604" s="676">
        <v>-638740.75</v>
      </c>
      <c r="N604" s="676">
        <v>-638740.75</v>
      </c>
      <c r="O604" s="676">
        <v>-638740.75</v>
      </c>
      <c r="P604" s="676">
        <v>-638740.75</v>
      </c>
      <c r="Q604" s="676">
        <v>-638740.75</v>
      </c>
      <c r="R604" s="676">
        <v>-666160.88</v>
      </c>
      <c r="S604" s="551">
        <f t="shared" si="124"/>
        <v>-639883.25541666662</v>
      </c>
      <c r="T604" s="677"/>
      <c r="U604" s="716"/>
      <c r="W604" s="755"/>
      <c r="X604" s="755">
        <f>+S604</f>
        <v>-639883.25541666662</v>
      </c>
      <c r="Y604" s="755"/>
      <c r="Z604" s="755"/>
      <c r="AA604" s="716"/>
      <c r="AB604" s="755">
        <f>+S604</f>
        <v>-639883.25541666662</v>
      </c>
      <c r="AC604" s="717"/>
      <c r="AD604" s="718"/>
      <c r="AE604" s="717"/>
      <c r="AF604" s="753">
        <f>+U604+X604-AD604</f>
        <v>-639883.25541666662</v>
      </c>
    </row>
    <row r="605" spans="1:32">
      <c r="A605" s="677">
        <v>595</v>
      </c>
      <c r="B605" s="379" t="s">
        <v>981</v>
      </c>
      <c r="C605" s="379" t="s">
        <v>642</v>
      </c>
      <c r="D605" s="379" t="s">
        <v>1015</v>
      </c>
      <c r="E605" s="662" t="s">
        <v>1773</v>
      </c>
      <c r="F605" s="676">
        <v>-40255923.640000001</v>
      </c>
      <c r="G605" s="676">
        <v>-41475441.259999998</v>
      </c>
      <c r="H605" s="676">
        <v>-45749804.460000001</v>
      </c>
      <c r="I605" s="676">
        <v>-50082768.520000003</v>
      </c>
      <c r="J605" s="676">
        <v>-49801847.409999996</v>
      </c>
      <c r="K605" s="676">
        <v>-42694512.810000002</v>
      </c>
      <c r="L605" s="676">
        <v>-43048310.259999998</v>
      </c>
      <c r="M605" s="676">
        <v>-43697144.140000001</v>
      </c>
      <c r="N605" s="676">
        <v>-44434469.880000003</v>
      </c>
      <c r="O605" s="676">
        <v>-42928561.740000002</v>
      </c>
      <c r="P605" s="676">
        <v>-42937621.810000002</v>
      </c>
      <c r="Q605" s="676">
        <v>-42032794.729999997</v>
      </c>
      <c r="R605" s="676">
        <v>-41379613.530000001</v>
      </c>
      <c r="S605" s="551">
        <f t="shared" si="124"/>
        <v>-44141753.800416671</v>
      </c>
      <c r="T605" s="677"/>
      <c r="U605" s="716"/>
      <c r="V605" s="755">
        <f t="shared" ref="V605" si="162">+S605</f>
        <v>-44141753.800416671</v>
      </c>
      <c r="W605" s="755"/>
      <c r="X605" s="778"/>
      <c r="Y605" s="755"/>
      <c r="Z605" s="755"/>
      <c r="AA605" s="716"/>
      <c r="AB605" s="755"/>
      <c r="AC605" s="717"/>
      <c r="AD605" s="718">
        <f t="shared" ref="AD605" si="163">+V605</f>
        <v>-44141753.800416671</v>
      </c>
      <c r="AE605" s="717"/>
      <c r="AF605" s="753">
        <f t="shared" si="158"/>
        <v>0</v>
      </c>
    </row>
    <row r="606" spans="1:32">
      <c r="A606" s="677">
        <v>596</v>
      </c>
      <c r="B606" s="379" t="s">
        <v>1009</v>
      </c>
      <c r="C606" s="379" t="s">
        <v>642</v>
      </c>
      <c r="D606" s="589" t="s">
        <v>1010</v>
      </c>
      <c r="E606" s="662" t="s">
        <v>1774</v>
      </c>
      <c r="F606" s="676">
        <v>167522.1</v>
      </c>
      <c r="G606" s="676">
        <v>165691.44</v>
      </c>
      <c r="H606" s="676">
        <v>163860.78</v>
      </c>
      <c r="I606" s="676">
        <v>162030.10999999999</v>
      </c>
      <c r="J606" s="676">
        <v>160199.45000000001</v>
      </c>
      <c r="K606" s="676">
        <v>158368.76999999999</v>
      </c>
      <c r="L606" s="676">
        <v>156538.10999999999</v>
      </c>
      <c r="M606" s="676">
        <v>154707.46</v>
      </c>
      <c r="N606" s="676">
        <v>152876.79</v>
      </c>
      <c r="O606" s="676">
        <v>151046.13</v>
      </c>
      <c r="P606" s="676">
        <v>149215.47</v>
      </c>
      <c r="Q606" s="676">
        <v>147384.79999999999</v>
      </c>
      <c r="R606" s="676">
        <v>145554.14000000001</v>
      </c>
      <c r="S606" s="551">
        <f t="shared" si="124"/>
        <v>156538.11916666667</v>
      </c>
      <c r="T606" s="677"/>
      <c r="U606" s="716"/>
      <c r="W606" s="755"/>
      <c r="X606" s="755">
        <f>+S606</f>
        <v>156538.11916666667</v>
      </c>
      <c r="Y606" s="755"/>
      <c r="Z606" s="755"/>
      <c r="AA606" s="716"/>
      <c r="AB606" s="755">
        <f>+S606</f>
        <v>156538.11916666667</v>
      </c>
      <c r="AC606" s="717"/>
      <c r="AD606" s="718"/>
      <c r="AE606" s="717"/>
      <c r="AF606" s="753">
        <f>+U606+X606-AD606</f>
        <v>156538.11916666667</v>
      </c>
    </row>
    <row r="607" spans="1:32">
      <c r="A607" s="677">
        <v>597</v>
      </c>
      <c r="B607" s="379" t="s">
        <v>1009</v>
      </c>
      <c r="C607" s="379" t="s">
        <v>642</v>
      </c>
      <c r="D607" s="379" t="s">
        <v>1011</v>
      </c>
      <c r="E607" s="662" t="s">
        <v>1775</v>
      </c>
      <c r="F607" s="676">
        <v>-94506.66</v>
      </c>
      <c r="G607" s="676">
        <v>-92537.75</v>
      </c>
      <c r="H607" s="676">
        <v>-90568.86</v>
      </c>
      <c r="I607" s="676">
        <v>-88599.98</v>
      </c>
      <c r="J607" s="676">
        <v>-86631.06</v>
      </c>
      <c r="K607" s="676">
        <v>-84662.19</v>
      </c>
      <c r="L607" s="676">
        <v>-82693.31</v>
      </c>
      <c r="M607" s="676">
        <v>-80724.41</v>
      </c>
      <c r="N607" s="676">
        <v>-78755.520000000004</v>
      </c>
      <c r="O607" s="676">
        <v>-76786.63</v>
      </c>
      <c r="P607" s="676">
        <v>-74817.77</v>
      </c>
      <c r="Q607" s="676">
        <v>-72848.850000000006</v>
      </c>
      <c r="R607" s="676">
        <v>-70879.97</v>
      </c>
      <c r="S607" s="551">
        <f t="shared" si="124"/>
        <v>-82693.303750000006</v>
      </c>
      <c r="T607" s="677"/>
      <c r="U607" s="716"/>
      <c r="W607" s="755"/>
      <c r="X607" s="755">
        <f>+S607</f>
        <v>-82693.303750000006</v>
      </c>
      <c r="Y607" s="755"/>
      <c r="Z607" s="755"/>
      <c r="AA607" s="716"/>
      <c r="AB607" s="755">
        <f>+S607</f>
        <v>-82693.303750000006</v>
      </c>
      <c r="AC607" s="717"/>
      <c r="AD607" s="718"/>
      <c r="AE607" s="717"/>
      <c r="AF607" s="753">
        <f>+U607+X607-AD607</f>
        <v>-82693.303750000006</v>
      </c>
    </row>
    <row r="608" spans="1:32">
      <c r="A608" s="677">
        <v>598</v>
      </c>
      <c r="B608" s="379" t="s">
        <v>1009</v>
      </c>
      <c r="C608" s="379" t="s">
        <v>642</v>
      </c>
      <c r="D608" s="379" t="s">
        <v>1004</v>
      </c>
      <c r="E608" s="662" t="s">
        <v>1779</v>
      </c>
      <c r="F608" s="676">
        <v>-13433.67</v>
      </c>
      <c r="G608" s="676">
        <v>-13372.05</v>
      </c>
      <c r="H608" s="676">
        <v>-13310.43</v>
      </c>
      <c r="I608" s="676">
        <v>-13248.81</v>
      </c>
      <c r="J608" s="676">
        <v>-13187.19</v>
      </c>
      <c r="K608" s="676">
        <v>-13125.57</v>
      </c>
      <c r="L608" s="676">
        <v>-13063.95</v>
      </c>
      <c r="M608" s="676">
        <v>-13002.33</v>
      </c>
      <c r="N608" s="676">
        <v>-12940.71</v>
      </c>
      <c r="O608" s="676">
        <v>-12879.09</v>
      </c>
      <c r="P608" s="676">
        <v>-12817.47</v>
      </c>
      <c r="Q608" s="676">
        <v>-12755.85</v>
      </c>
      <c r="R608" s="676">
        <v>-12694.23</v>
      </c>
      <c r="S608" s="551">
        <f t="shared" si="124"/>
        <v>-13063.950000000003</v>
      </c>
      <c r="T608" s="677"/>
      <c r="U608" s="716"/>
      <c r="W608" s="755"/>
      <c r="X608" s="755">
        <f>+S608</f>
        <v>-13063.950000000003</v>
      </c>
      <c r="Y608" s="755"/>
      <c r="Z608" s="755">
        <f>+X608</f>
        <v>-13063.950000000003</v>
      </c>
      <c r="AA608" s="716"/>
      <c r="AB608" s="755"/>
      <c r="AC608" s="717"/>
      <c r="AD608" s="718"/>
      <c r="AE608" s="717"/>
      <c r="AF608" s="753">
        <f>+U608+X608-AD608</f>
        <v>-13063.950000000003</v>
      </c>
    </row>
    <row r="609" spans="1:32">
      <c r="A609" s="677">
        <v>599</v>
      </c>
      <c r="B609" s="379" t="s">
        <v>1009</v>
      </c>
      <c r="C609" s="379" t="s">
        <v>642</v>
      </c>
      <c r="D609" s="379" t="s">
        <v>1407</v>
      </c>
      <c r="E609" s="662" t="s">
        <v>1780</v>
      </c>
      <c r="F609" s="676">
        <v>-55906.400000000001</v>
      </c>
      <c r="G609" s="676">
        <v>-55906.400000000001</v>
      </c>
      <c r="H609" s="676">
        <v>-55906.400000000001</v>
      </c>
      <c r="I609" s="676">
        <v>-55906.400000000001</v>
      </c>
      <c r="J609" s="676">
        <v>-55906.400000000001</v>
      </c>
      <c r="K609" s="676">
        <v>-55906.400000000001</v>
      </c>
      <c r="L609" s="676">
        <v>-55906.400000000001</v>
      </c>
      <c r="M609" s="676">
        <v>-55906.400000000001</v>
      </c>
      <c r="N609" s="676">
        <v>-55906.400000000001</v>
      </c>
      <c r="O609" s="676">
        <v>-55906.400000000001</v>
      </c>
      <c r="P609" s="676">
        <v>-55906.400000000001</v>
      </c>
      <c r="Q609" s="676">
        <v>-55906.400000000001</v>
      </c>
      <c r="R609" s="676">
        <v>-58306.37</v>
      </c>
      <c r="S609" s="551">
        <f t="shared" si="124"/>
        <v>-56006.398750000015</v>
      </c>
      <c r="T609" s="677"/>
      <c r="U609" s="716"/>
      <c r="W609" s="755"/>
      <c r="X609" s="755">
        <f>+S609</f>
        <v>-56006.398750000015</v>
      </c>
      <c r="Y609" s="755"/>
      <c r="Z609" s="755"/>
      <c r="AA609" s="716"/>
      <c r="AB609" s="755">
        <f>+S609</f>
        <v>-56006.398750000015</v>
      </c>
      <c r="AC609" s="717"/>
      <c r="AD609" s="718"/>
      <c r="AE609" s="717"/>
      <c r="AF609" s="753">
        <f>+U609+X609-AD609</f>
        <v>-56006.398750000015</v>
      </c>
    </row>
    <row r="610" spans="1:32">
      <c r="A610" s="677">
        <v>600</v>
      </c>
      <c r="B610" s="379" t="s">
        <v>1009</v>
      </c>
      <c r="C610" s="379" t="s">
        <v>642</v>
      </c>
      <c r="D610" s="379" t="s">
        <v>1012</v>
      </c>
      <c r="E610" s="662" t="s">
        <v>1781</v>
      </c>
      <c r="F610" s="676">
        <v>-3065780.91</v>
      </c>
      <c r="G610" s="676">
        <v>-3181548.37</v>
      </c>
      <c r="H610" s="676">
        <v>-3564694.16</v>
      </c>
      <c r="I610" s="676">
        <v>-3952969.04</v>
      </c>
      <c r="J610" s="676">
        <v>-3937409.17</v>
      </c>
      <c r="K610" s="676">
        <v>-3324360.74</v>
      </c>
      <c r="L610" s="676">
        <v>-3364355.18</v>
      </c>
      <c r="M610" s="676">
        <v>-3430173.01</v>
      </c>
      <c r="N610" s="676">
        <v>-3503736.18</v>
      </c>
      <c r="O610" s="676">
        <v>-3380958.09</v>
      </c>
      <c r="P610" s="676">
        <v>-3390779.09</v>
      </c>
      <c r="Q610" s="676">
        <v>-3320611.22</v>
      </c>
      <c r="R610" s="676">
        <v>-3272468.91</v>
      </c>
      <c r="S610" s="551">
        <f t="shared" si="124"/>
        <v>-3460059.9299999997</v>
      </c>
      <c r="T610" s="677"/>
      <c r="U610" s="716"/>
      <c r="V610" s="755">
        <f>+S610</f>
        <v>-3460059.9299999997</v>
      </c>
      <c r="W610" s="755"/>
      <c r="X610" s="778"/>
      <c r="Y610" s="755"/>
      <c r="Z610" s="755"/>
      <c r="AA610" s="716"/>
      <c r="AB610" s="755"/>
      <c r="AC610" s="717"/>
      <c r="AD610" s="718">
        <f>+S610</f>
        <v>-3460059.9299999997</v>
      </c>
      <c r="AE610" s="717"/>
      <c r="AF610" s="753">
        <f t="shared" si="158"/>
        <v>0</v>
      </c>
    </row>
    <row r="611" spans="1:32">
      <c r="A611" s="677">
        <v>601</v>
      </c>
      <c r="B611" s="379" t="s">
        <v>1009</v>
      </c>
      <c r="C611" s="379" t="s">
        <v>641</v>
      </c>
      <c r="D611" s="379" t="s">
        <v>998</v>
      </c>
      <c r="E611" s="662" t="s">
        <v>1769</v>
      </c>
      <c r="F611" s="676">
        <v>0</v>
      </c>
      <c r="G611" s="676">
        <v>0</v>
      </c>
      <c r="H611" s="676">
        <v>0</v>
      </c>
      <c r="I611" s="676">
        <v>0</v>
      </c>
      <c r="J611" s="676">
        <v>0</v>
      </c>
      <c r="K611" s="676">
        <v>-22343046.039999999</v>
      </c>
      <c r="L611" s="676">
        <v>-22325913.43</v>
      </c>
      <c r="M611" s="676">
        <v>-22308780.829999998</v>
      </c>
      <c r="N611" s="676">
        <v>-22291648.23</v>
      </c>
      <c r="O611" s="676">
        <v>-22274515.629999999</v>
      </c>
      <c r="P611" s="676">
        <v>-22257383.030000001</v>
      </c>
      <c r="Q611" s="676">
        <v>-22454623.309999999</v>
      </c>
      <c r="R611" s="676">
        <v>-22776131.02</v>
      </c>
      <c r="S611" s="551">
        <f t="shared" si="124"/>
        <v>-13970331.334166666</v>
      </c>
      <c r="T611" s="677"/>
      <c r="U611" s="716"/>
      <c r="V611" s="755"/>
      <c r="W611" s="755"/>
      <c r="X611" s="778">
        <f>+S611</f>
        <v>-13970331.334166666</v>
      </c>
      <c r="Y611" s="755"/>
      <c r="Z611" s="755">
        <f>+X611</f>
        <v>-13970331.334166666</v>
      </c>
      <c r="AA611" s="716"/>
      <c r="AB611" s="755"/>
      <c r="AC611" s="717"/>
      <c r="AD611" s="718"/>
      <c r="AE611" s="717"/>
      <c r="AF611" s="753"/>
    </row>
    <row r="612" spans="1:32">
      <c r="A612" s="677">
        <v>602</v>
      </c>
      <c r="B612" s="379" t="s">
        <v>1009</v>
      </c>
      <c r="C612" s="379" t="s">
        <v>642</v>
      </c>
      <c r="D612" s="379" t="s">
        <v>1000</v>
      </c>
      <c r="E612" s="662" t="s">
        <v>1771</v>
      </c>
      <c r="F612" s="676">
        <v>0</v>
      </c>
      <c r="G612" s="676">
        <v>0</v>
      </c>
      <c r="H612" s="676">
        <v>0</v>
      </c>
      <c r="I612" s="676">
        <v>0</v>
      </c>
      <c r="J612" s="676">
        <v>0</v>
      </c>
      <c r="K612" s="676">
        <v>-36680.65</v>
      </c>
      <c r="L612" s="676">
        <v>-36508.44</v>
      </c>
      <c r="M612" s="676">
        <v>-36336.230000000003</v>
      </c>
      <c r="N612" s="676">
        <v>-36164.019999999997</v>
      </c>
      <c r="O612" s="676">
        <v>-35991.82</v>
      </c>
      <c r="P612" s="676">
        <v>-35819.61</v>
      </c>
      <c r="Q612" s="676">
        <v>-35647.4</v>
      </c>
      <c r="R612" s="676">
        <v>-35475.199999999997</v>
      </c>
      <c r="S612" s="551">
        <f t="shared" si="124"/>
        <v>-22573.814166666667</v>
      </c>
      <c r="T612" s="677"/>
      <c r="U612" s="716"/>
      <c r="V612" s="755"/>
      <c r="W612" s="755"/>
      <c r="X612" s="778">
        <f>+S612</f>
        <v>-22573.814166666667</v>
      </c>
      <c r="Y612" s="755"/>
      <c r="Z612" s="755">
        <f>+X612</f>
        <v>-22573.814166666667</v>
      </c>
      <c r="AA612" s="716"/>
      <c r="AB612" s="755"/>
      <c r="AC612" s="717"/>
      <c r="AD612" s="718"/>
      <c r="AE612" s="717"/>
      <c r="AF612" s="753"/>
    </row>
    <row r="613" spans="1:32">
      <c r="A613" s="677">
        <v>603</v>
      </c>
      <c r="B613" s="379" t="s">
        <v>984</v>
      </c>
      <c r="C613" s="379" t="s">
        <v>641</v>
      </c>
      <c r="D613" s="379" t="s">
        <v>998</v>
      </c>
      <c r="E613" s="662" t="s">
        <v>1769</v>
      </c>
      <c r="F613" s="676">
        <v>0</v>
      </c>
      <c r="G613" s="676">
        <v>0</v>
      </c>
      <c r="H613" s="676">
        <v>0</v>
      </c>
      <c r="I613" s="676">
        <v>0</v>
      </c>
      <c r="J613" s="676">
        <v>0</v>
      </c>
      <c r="K613" s="676">
        <v>-76915265.980000004</v>
      </c>
      <c r="L613" s="676">
        <v>-76856287.510000005</v>
      </c>
      <c r="M613" s="676">
        <v>-76797309.040000007</v>
      </c>
      <c r="N613" s="676">
        <v>-76738330.569999993</v>
      </c>
      <c r="O613" s="676">
        <v>-76679352.090000004</v>
      </c>
      <c r="P613" s="676">
        <v>-76620373.620000005</v>
      </c>
      <c r="Q613" s="676">
        <v>-77299367.390000001</v>
      </c>
      <c r="R613" s="676">
        <v>-78406148.049999997</v>
      </c>
      <c r="S613" s="551">
        <f t="shared" si="124"/>
        <v>-48092446.685416669</v>
      </c>
      <c r="T613" s="677"/>
      <c r="U613" s="716"/>
      <c r="V613" s="755"/>
      <c r="W613" s="755"/>
      <c r="X613" s="778">
        <f>+S613</f>
        <v>-48092446.685416669</v>
      </c>
      <c r="Y613" s="755">
        <f>+X613</f>
        <v>-48092446.685416669</v>
      </c>
      <c r="Z613" s="755"/>
      <c r="AA613" s="716"/>
      <c r="AB613" s="755"/>
      <c r="AC613" s="717"/>
      <c r="AD613" s="718"/>
      <c r="AE613" s="717"/>
      <c r="AF613" s="753"/>
    </row>
    <row r="614" spans="1:32">
      <c r="A614" s="677">
        <v>604</v>
      </c>
      <c r="B614" s="379" t="s">
        <v>984</v>
      </c>
      <c r="C614" s="379" t="s">
        <v>642</v>
      </c>
      <c r="D614" s="379" t="s">
        <v>1000</v>
      </c>
      <c r="E614" s="662" t="s">
        <v>1771</v>
      </c>
      <c r="F614" s="676">
        <v>0</v>
      </c>
      <c r="G614" s="676">
        <v>0</v>
      </c>
      <c r="H614" s="676">
        <v>0</v>
      </c>
      <c r="I614" s="676">
        <v>0</v>
      </c>
      <c r="J614" s="676">
        <v>0</v>
      </c>
      <c r="K614" s="676">
        <v>-113281.17</v>
      </c>
      <c r="L614" s="676">
        <v>-112749.34</v>
      </c>
      <c r="M614" s="676">
        <v>-112217.51</v>
      </c>
      <c r="N614" s="676">
        <v>-111685.68</v>
      </c>
      <c r="O614" s="676">
        <v>-111153.85</v>
      </c>
      <c r="P614" s="676">
        <v>-110622.02</v>
      </c>
      <c r="Q614" s="676">
        <v>-110090.19</v>
      </c>
      <c r="R614" s="676">
        <v>-109558.36</v>
      </c>
      <c r="S614" s="551">
        <f t="shared" si="124"/>
        <v>-69714.911666666667</v>
      </c>
      <c r="T614" s="677"/>
      <c r="U614" s="716"/>
      <c r="V614" s="755"/>
      <c r="W614" s="755"/>
      <c r="X614" s="778">
        <f>+S614</f>
        <v>-69714.911666666667</v>
      </c>
      <c r="Y614" s="755">
        <f>+X614</f>
        <v>-69714.911666666667</v>
      </c>
      <c r="Z614" s="755"/>
      <c r="AA614" s="716"/>
      <c r="AB614" s="755"/>
      <c r="AC614" s="717"/>
      <c r="AD614" s="718"/>
      <c r="AE614" s="717"/>
      <c r="AF614" s="753"/>
    </row>
    <row r="615" spans="1:32">
      <c r="A615" s="677">
        <v>605</v>
      </c>
      <c r="B615" s="677"/>
      <c r="C615" s="677"/>
      <c r="D615" s="677"/>
      <c r="E615" s="662" t="s">
        <v>643</v>
      </c>
      <c r="F615" s="358">
        <f>SUM(F590:F614)</f>
        <v>-88739868.560000017</v>
      </c>
      <c r="G615" s="358">
        <f t="shared" ref="G615:P615" si="164">SUM(G590:G614)</f>
        <v>-90329190.810000002</v>
      </c>
      <c r="H615" s="358">
        <f t="shared" si="164"/>
        <v>-95218569.940000013</v>
      </c>
      <c r="I615" s="358">
        <f t="shared" si="164"/>
        <v>-100127427.71000002</v>
      </c>
      <c r="J615" s="358">
        <f t="shared" si="164"/>
        <v>-100058728.63</v>
      </c>
      <c r="K615" s="358">
        <f t="shared" si="164"/>
        <v>-92577139.820000023</v>
      </c>
      <c r="L615" s="358">
        <f t="shared" si="164"/>
        <v>-93210239.560000017</v>
      </c>
      <c r="M615" s="358">
        <f t="shared" si="164"/>
        <v>-94162880.310000017</v>
      </c>
      <c r="N615" s="358">
        <f t="shared" si="164"/>
        <v>-95144417.540000021</v>
      </c>
      <c r="O615" s="358">
        <f t="shared" si="164"/>
        <v>-93727564.400000006</v>
      </c>
      <c r="P615" s="358">
        <f t="shared" si="164"/>
        <v>-93974792.87000002</v>
      </c>
      <c r="Q615" s="358">
        <f>SUM(Q590:Q614)</f>
        <v>-95194107.520000011</v>
      </c>
      <c r="R615" s="358">
        <f t="shared" ref="R615" si="165">SUM(R590:R614)</f>
        <v>-95539119.870000005</v>
      </c>
      <c r="S615" s="553">
        <f>SUM(S590:S614)</f>
        <v>-94655379.443750009</v>
      </c>
      <c r="T615" s="677"/>
      <c r="U615" s="716"/>
      <c r="V615" s="755"/>
      <c r="W615" s="755"/>
      <c r="X615" s="778"/>
      <c r="Y615" s="755"/>
      <c r="Z615" s="755"/>
      <c r="AA615" s="716"/>
      <c r="AB615" s="755"/>
      <c r="AC615" s="717"/>
      <c r="AD615" s="717"/>
      <c r="AE615" s="717"/>
      <c r="AF615" s="753">
        <f t="shared" si="158"/>
        <v>0</v>
      </c>
    </row>
    <row r="616" spans="1:32">
      <c r="A616" s="677">
        <v>606</v>
      </c>
      <c r="B616" s="677"/>
      <c r="C616" s="677"/>
      <c r="D616" s="677"/>
      <c r="E616" s="662"/>
      <c r="F616" s="676"/>
      <c r="G616" s="377"/>
      <c r="H616" s="368"/>
      <c r="I616" s="368"/>
      <c r="J616" s="369"/>
      <c r="K616" s="370"/>
      <c r="L616" s="371"/>
      <c r="M616" s="372"/>
      <c r="N616" s="373"/>
      <c r="O616" s="663"/>
      <c r="P616" s="374"/>
      <c r="Q616" s="378"/>
      <c r="R616" s="676"/>
      <c r="S616" s="357"/>
      <c r="T616" s="677"/>
      <c r="U616" s="716"/>
      <c r="V616" s="755"/>
      <c r="W616" s="755"/>
      <c r="X616" s="778"/>
      <c r="Y616" s="755"/>
      <c r="Z616" s="755"/>
      <c r="AA616" s="716"/>
      <c r="AB616" s="755"/>
      <c r="AC616" s="717"/>
      <c r="AD616" s="717"/>
      <c r="AE616" s="717"/>
      <c r="AF616" s="753">
        <f t="shared" si="158"/>
        <v>0</v>
      </c>
    </row>
    <row r="617" spans="1:32">
      <c r="A617" s="677">
        <v>607</v>
      </c>
      <c r="B617" s="379" t="s">
        <v>1009</v>
      </c>
      <c r="C617" s="379" t="s">
        <v>644</v>
      </c>
      <c r="D617" s="379" t="s">
        <v>1252</v>
      </c>
      <c r="E617" s="662" t="s">
        <v>1783</v>
      </c>
      <c r="F617" s="674">
        <v>-36899838.780000001</v>
      </c>
      <c r="G617" s="674">
        <v>-5659206.4100000001</v>
      </c>
      <c r="H617" s="674">
        <v>-10923602.24</v>
      </c>
      <c r="I617" s="674">
        <v>-16838345.66</v>
      </c>
      <c r="J617" s="674">
        <v>-20972373.75</v>
      </c>
      <c r="K617" s="674">
        <v>-23288857.010000002</v>
      </c>
      <c r="L617" s="674">
        <v>-24957907.989999998</v>
      </c>
      <c r="M617" s="674">
        <v>-26193515.859999999</v>
      </c>
      <c r="N617" s="674">
        <v>-27265717.48</v>
      </c>
      <c r="O617" s="674">
        <v>-28342685.350000001</v>
      </c>
      <c r="P617" s="674">
        <v>-30687397.800000001</v>
      </c>
      <c r="Q617" s="674">
        <v>-34292176</v>
      </c>
      <c r="R617" s="674">
        <v>-39768724.710000001</v>
      </c>
      <c r="S617" s="551">
        <f t="shared" si="124"/>
        <v>-23979672.274583336</v>
      </c>
      <c r="T617" s="677"/>
      <c r="U617" s="716"/>
      <c r="V617" s="755"/>
      <c r="W617" s="755">
        <f t="shared" ref="W617:W684" si="166">+S617</f>
        <v>-23979672.274583336</v>
      </c>
      <c r="X617" s="778"/>
      <c r="Y617" s="755"/>
      <c r="Z617" s="755"/>
      <c r="AA617" s="716"/>
      <c r="AB617" s="755"/>
      <c r="AC617" s="718">
        <f>+S617</f>
        <v>-23979672.274583336</v>
      </c>
      <c r="AD617" s="717"/>
      <c r="AE617" s="717"/>
      <c r="AF617" s="753">
        <f t="shared" si="158"/>
        <v>0</v>
      </c>
    </row>
    <row r="618" spans="1:32">
      <c r="A618" s="677">
        <v>608</v>
      </c>
      <c r="B618" s="379" t="s">
        <v>1009</v>
      </c>
      <c r="C618" s="379" t="s">
        <v>644</v>
      </c>
      <c r="D618" s="379" t="s">
        <v>1253</v>
      </c>
      <c r="E618" s="662" t="s">
        <v>1784</v>
      </c>
      <c r="F618" s="674">
        <v>164849.44</v>
      </c>
      <c r="G618" s="674">
        <v>412580.73</v>
      </c>
      <c r="H618" s="674">
        <v>816333.62</v>
      </c>
      <c r="I618" s="674">
        <v>1518764.99</v>
      </c>
      <c r="J618" s="674">
        <v>1730785.4</v>
      </c>
      <c r="K618" s="674">
        <v>1440073.66</v>
      </c>
      <c r="L618" s="674">
        <v>1514908.04</v>
      </c>
      <c r="M618" s="674">
        <v>1515377.82</v>
      </c>
      <c r="N618" s="674">
        <v>1372102.68</v>
      </c>
      <c r="O618" s="674">
        <v>1448349.36</v>
      </c>
      <c r="P618" s="674">
        <v>2147306.23</v>
      </c>
      <c r="Q618" s="674">
        <v>2207433.56</v>
      </c>
      <c r="R618" s="674">
        <v>2056561.28</v>
      </c>
      <c r="S618" s="551">
        <f t="shared" si="124"/>
        <v>1436226.7874999999</v>
      </c>
      <c r="T618" s="677"/>
      <c r="U618" s="716"/>
      <c r="V618" s="755"/>
      <c r="W618" s="755">
        <f t="shared" si="166"/>
        <v>1436226.7874999999</v>
      </c>
      <c r="X618" s="778"/>
      <c r="Y618" s="755"/>
      <c r="Z618" s="755"/>
      <c r="AA618" s="716"/>
      <c r="AB618" s="755"/>
      <c r="AC618" s="718">
        <f t="shared" ref="AC618:AC683" si="167">+S618</f>
        <v>1436226.7874999999</v>
      </c>
      <c r="AD618" s="717"/>
      <c r="AE618" s="717"/>
      <c r="AF618" s="753">
        <f t="shared" si="158"/>
        <v>0</v>
      </c>
    </row>
    <row r="619" spans="1:32">
      <c r="A619" s="677">
        <v>609</v>
      </c>
      <c r="B619" s="379" t="s">
        <v>1009</v>
      </c>
      <c r="C619" s="379" t="s">
        <v>644</v>
      </c>
      <c r="D619" s="379" t="s">
        <v>1254</v>
      </c>
      <c r="E619" s="662" t="s">
        <v>1785</v>
      </c>
      <c r="F619" s="674">
        <v>-2767726.57</v>
      </c>
      <c r="G619" s="674">
        <v>-303761.21999999997</v>
      </c>
      <c r="H619" s="674">
        <v>-616155.87</v>
      </c>
      <c r="I619" s="674">
        <v>-950886.07</v>
      </c>
      <c r="J619" s="674">
        <v>-1218988.5900000001</v>
      </c>
      <c r="K619" s="674">
        <v>-1396905.06</v>
      </c>
      <c r="L619" s="674">
        <v>-1520877.32</v>
      </c>
      <c r="M619" s="674">
        <v>-1639729.28</v>
      </c>
      <c r="N619" s="674">
        <v>-1743892.29</v>
      </c>
      <c r="O619" s="674">
        <v>-1853754.59</v>
      </c>
      <c r="P619" s="674">
        <v>-2084650.21</v>
      </c>
      <c r="Q619" s="674">
        <v>-2386646.41</v>
      </c>
      <c r="R619" s="674">
        <v>-2759274.39</v>
      </c>
      <c r="S619" s="551">
        <f t="shared" si="124"/>
        <v>-1539978.9491666667</v>
      </c>
      <c r="T619" s="677"/>
      <c r="U619" s="716"/>
      <c r="V619" s="755"/>
      <c r="W619" s="755">
        <f t="shared" si="166"/>
        <v>-1539978.9491666667</v>
      </c>
      <c r="X619" s="778"/>
      <c r="Y619" s="755"/>
      <c r="Z619" s="755"/>
      <c r="AA619" s="716"/>
      <c r="AB619" s="755"/>
      <c r="AC619" s="718">
        <f t="shared" si="167"/>
        <v>-1539978.9491666667</v>
      </c>
      <c r="AD619" s="717"/>
      <c r="AE619" s="717"/>
      <c r="AF619" s="753">
        <f t="shared" si="158"/>
        <v>0</v>
      </c>
    </row>
    <row r="620" spans="1:32">
      <c r="A620" s="677">
        <v>610</v>
      </c>
      <c r="B620" s="379" t="s">
        <v>1009</v>
      </c>
      <c r="C620" s="379" t="s">
        <v>644</v>
      </c>
      <c r="D620" s="379" t="s">
        <v>1255</v>
      </c>
      <c r="E620" s="662" t="s">
        <v>1786</v>
      </c>
      <c r="F620" s="674">
        <v>-49982.23</v>
      </c>
      <c r="G620" s="674">
        <v>0</v>
      </c>
      <c r="H620" s="674">
        <v>0</v>
      </c>
      <c r="I620" s="674">
        <v>0</v>
      </c>
      <c r="J620" s="674">
        <v>0</v>
      </c>
      <c r="K620" s="674">
        <v>0</v>
      </c>
      <c r="L620" s="674">
        <v>0</v>
      </c>
      <c r="M620" s="674">
        <v>0</v>
      </c>
      <c r="N620" s="674">
        <v>0</v>
      </c>
      <c r="O620" s="674">
        <v>0</v>
      </c>
      <c r="P620" s="674">
        <v>0</v>
      </c>
      <c r="Q620" s="674">
        <v>0</v>
      </c>
      <c r="R620" s="674">
        <v>0</v>
      </c>
      <c r="S620" s="551">
        <f t="shared" si="124"/>
        <v>-2082.592916666667</v>
      </c>
      <c r="T620" s="677"/>
      <c r="U620" s="716"/>
      <c r="V620" s="755"/>
      <c r="W620" s="755">
        <f t="shared" si="166"/>
        <v>-2082.592916666667</v>
      </c>
      <c r="X620" s="778"/>
      <c r="Y620" s="755"/>
      <c r="Z620" s="755"/>
      <c r="AA620" s="716"/>
      <c r="AB620" s="755"/>
      <c r="AC620" s="718">
        <f t="shared" si="167"/>
        <v>-2082.592916666667</v>
      </c>
      <c r="AD620" s="717"/>
      <c r="AE620" s="717"/>
      <c r="AF620" s="753">
        <f t="shared" si="158"/>
        <v>0</v>
      </c>
    </row>
    <row r="621" spans="1:32">
      <c r="A621" s="677">
        <v>611</v>
      </c>
      <c r="B621" s="379" t="s">
        <v>1009</v>
      </c>
      <c r="C621" s="379" t="s">
        <v>644</v>
      </c>
      <c r="D621" s="379" t="s">
        <v>1256</v>
      </c>
      <c r="E621" s="662" t="s">
        <v>1787</v>
      </c>
      <c r="F621" s="674">
        <v>-20625012.760000002</v>
      </c>
      <c r="G621" s="674">
        <v>-2998108.82</v>
      </c>
      <c r="H621" s="674">
        <v>-5844376.1500000004</v>
      </c>
      <c r="I621" s="674">
        <v>-9078513.3800000008</v>
      </c>
      <c r="J621" s="674">
        <v>-11278517.199999999</v>
      </c>
      <c r="K621" s="674">
        <v>-12520643.09</v>
      </c>
      <c r="L621" s="674">
        <v>-13428303.67</v>
      </c>
      <c r="M621" s="674">
        <v>-14181182.210000001</v>
      </c>
      <c r="N621" s="674">
        <v>-14852822.18</v>
      </c>
      <c r="O621" s="674">
        <v>-15499886.27</v>
      </c>
      <c r="P621" s="674">
        <v>-16707611.380000001</v>
      </c>
      <c r="Q621" s="674">
        <v>-18721945.16</v>
      </c>
      <c r="R621" s="674">
        <v>-21730220.710000001</v>
      </c>
      <c r="S621" s="551">
        <f t="shared" si="124"/>
        <v>-13024127.187083334</v>
      </c>
      <c r="T621" s="677"/>
      <c r="U621" s="716"/>
      <c r="V621" s="755"/>
      <c r="W621" s="755">
        <f t="shared" si="166"/>
        <v>-13024127.187083334</v>
      </c>
      <c r="X621" s="778"/>
      <c r="Y621" s="755"/>
      <c r="Z621" s="755"/>
      <c r="AA621" s="716"/>
      <c r="AB621" s="755"/>
      <c r="AC621" s="718">
        <f t="shared" si="167"/>
        <v>-13024127.187083334</v>
      </c>
      <c r="AD621" s="717"/>
      <c r="AE621" s="717"/>
      <c r="AF621" s="753">
        <f t="shared" si="158"/>
        <v>0</v>
      </c>
    </row>
    <row r="622" spans="1:32">
      <c r="A622" s="677">
        <v>612</v>
      </c>
      <c r="B622" s="379" t="s">
        <v>1009</v>
      </c>
      <c r="C622" s="379" t="s">
        <v>644</v>
      </c>
      <c r="D622" s="379" t="s">
        <v>1257</v>
      </c>
      <c r="E622" s="662" t="s">
        <v>1788</v>
      </c>
      <c r="F622" s="674">
        <v>340736.39</v>
      </c>
      <c r="G622" s="674">
        <v>150575.98000000001</v>
      </c>
      <c r="H622" s="674">
        <v>428972.95</v>
      </c>
      <c r="I622" s="674">
        <v>794648.35</v>
      </c>
      <c r="J622" s="674">
        <v>911301.65</v>
      </c>
      <c r="K622" s="674">
        <v>788275.79</v>
      </c>
      <c r="L622" s="674">
        <v>795241.41</v>
      </c>
      <c r="M622" s="674">
        <v>813275.91</v>
      </c>
      <c r="N622" s="674">
        <v>716590.19</v>
      </c>
      <c r="O622" s="674">
        <v>764857.29</v>
      </c>
      <c r="P622" s="674">
        <v>1000563.16</v>
      </c>
      <c r="Q622" s="674">
        <v>974203.11</v>
      </c>
      <c r="R622" s="674">
        <v>870919.73</v>
      </c>
      <c r="S622" s="551">
        <f t="shared" si="124"/>
        <v>728694.48750000016</v>
      </c>
      <c r="T622" s="677"/>
      <c r="U622" s="716"/>
      <c r="V622" s="755"/>
      <c r="W622" s="755">
        <f t="shared" si="166"/>
        <v>728694.48750000016</v>
      </c>
      <c r="X622" s="778"/>
      <c r="Y622" s="755"/>
      <c r="Z622" s="755"/>
      <c r="AA622" s="716"/>
      <c r="AB622" s="755"/>
      <c r="AC622" s="718">
        <f t="shared" si="167"/>
        <v>728694.48750000016</v>
      </c>
      <c r="AD622" s="717"/>
      <c r="AE622" s="717"/>
      <c r="AF622" s="753">
        <f t="shared" si="158"/>
        <v>0</v>
      </c>
    </row>
    <row r="623" spans="1:32">
      <c r="A623" s="677">
        <v>613</v>
      </c>
      <c r="B623" s="379" t="s">
        <v>1009</v>
      </c>
      <c r="C623" s="379" t="s">
        <v>644</v>
      </c>
      <c r="D623" s="379" t="s">
        <v>1258</v>
      </c>
      <c r="E623" s="662" t="s">
        <v>1789</v>
      </c>
      <c r="F623" s="674">
        <v>-1216.5999999999999</v>
      </c>
      <c r="G623" s="674">
        <v>0</v>
      </c>
      <c r="H623" s="674">
        <v>0</v>
      </c>
      <c r="I623" s="674">
        <v>0</v>
      </c>
      <c r="J623" s="674">
        <v>0</v>
      </c>
      <c r="K623" s="674">
        <v>-36017.35</v>
      </c>
      <c r="L623" s="674">
        <v>-36017.35</v>
      </c>
      <c r="M623" s="674">
        <v>-36017.35</v>
      </c>
      <c r="N623" s="674">
        <v>-36017.35</v>
      </c>
      <c r="O623" s="674">
        <v>-36017.35</v>
      </c>
      <c r="P623" s="674">
        <v>-36017.35</v>
      </c>
      <c r="Q623" s="674">
        <v>-36017.35</v>
      </c>
      <c r="R623" s="674">
        <v>-36017.35</v>
      </c>
      <c r="S623" s="551">
        <f t="shared" si="124"/>
        <v>-22561.535416666666</v>
      </c>
      <c r="T623" s="677"/>
      <c r="U623" s="716"/>
      <c r="V623" s="755"/>
      <c r="W623" s="755">
        <f t="shared" si="166"/>
        <v>-22561.535416666666</v>
      </c>
      <c r="X623" s="778"/>
      <c r="Y623" s="755"/>
      <c r="Z623" s="755"/>
      <c r="AA623" s="716"/>
      <c r="AB623" s="755"/>
      <c r="AC623" s="718">
        <f t="shared" si="167"/>
        <v>-22561.535416666666</v>
      </c>
      <c r="AD623" s="717"/>
      <c r="AE623" s="717"/>
      <c r="AF623" s="753">
        <f t="shared" si="158"/>
        <v>0</v>
      </c>
    </row>
    <row r="624" spans="1:32">
      <c r="A624" s="677">
        <v>614</v>
      </c>
      <c r="B624" s="379" t="s">
        <v>1009</v>
      </c>
      <c r="C624" s="379" t="s">
        <v>644</v>
      </c>
      <c r="D624" s="379" t="s">
        <v>1259</v>
      </c>
      <c r="E624" s="662" t="s">
        <v>1790</v>
      </c>
      <c r="F624" s="674">
        <v>-1293851.8600000001</v>
      </c>
      <c r="G624" s="674">
        <v>-152819.1</v>
      </c>
      <c r="H624" s="674">
        <v>-307199.43</v>
      </c>
      <c r="I624" s="674">
        <v>-462008.56</v>
      </c>
      <c r="J624" s="674">
        <v>-596551.94999999995</v>
      </c>
      <c r="K624" s="674">
        <v>-681399.05</v>
      </c>
      <c r="L624" s="674">
        <v>-747637.59</v>
      </c>
      <c r="M624" s="674">
        <v>-801380.03</v>
      </c>
      <c r="N624" s="674">
        <v>-853914.22</v>
      </c>
      <c r="O624" s="674">
        <v>-904037.6</v>
      </c>
      <c r="P624" s="674">
        <v>-959221.54</v>
      </c>
      <c r="Q624" s="674">
        <v>-1063583.5</v>
      </c>
      <c r="R624" s="674">
        <v>-1216974.53</v>
      </c>
      <c r="S624" s="551">
        <f t="shared" si="124"/>
        <v>-732097.14708333323</v>
      </c>
      <c r="T624" s="677"/>
      <c r="U624" s="716"/>
      <c r="V624" s="755"/>
      <c r="W624" s="755">
        <f t="shared" si="166"/>
        <v>-732097.14708333323</v>
      </c>
      <c r="X624" s="778"/>
      <c r="Y624" s="755"/>
      <c r="Z624" s="755"/>
      <c r="AA624" s="716"/>
      <c r="AB624" s="755"/>
      <c r="AC624" s="718">
        <f t="shared" si="167"/>
        <v>-732097.14708333323</v>
      </c>
      <c r="AD624" s="717"/>
      <c r="AE624" s="717"/>
      <c r="AF624" s="753">
        <f t="shared" si="158"/>
        <v>0</v>
      </c>
    </row>
    <row r="625" spans="1:32">
      <c r="A625" s="677">
        <v>615</v>
      </c>
      <c r="B625" s="379" t="s">
        <v>984</v>
      </c>
      <c r="C625" s="379" t="s">
        <v>644</v>
      </c>
      <c r="D625" s="379" t="s">
        <v>1252</v>
      </c>
      <c r="E625" s="662" t="s">
        <v>1783</v>
      </c>
      <c r="F625" s="674">
        <v>-112178476.55</v>
      </c>
      <c r="G625" s="674">
        <v>-15541486.24</v>
      </c>
      <c r="H625" s="674">
        <v>-32136970.350000001</v>
      </c>
      <c r="I625" s="674">
        <v>-49933517.75</v>
      </c>
      <c r="J625" s="674">
        <v>-60396406.18</v>
      </c>
      <c r="K625" s="674">
        <v>-67524724.519999996</v>
      </c>
      <c r="L625" s="674">
        <v>-71884740.939999998</v>
      </c>
      <c r="M625" s="674">
        <v>-75559977.310000002</v>
      </c>
      <c r="N625" s="674">
        <v>-78870238.109999999</v>
      </c>
      <c r="O625" s="674">
        <v>-82107883.25</v>
      </c>
      <c r="P625" s="674">
        <v>-88384702.230000004</v>
      </c>
      <c r="Q625" s="674">
        <v>-99293159.810000002</v>
      </c>
      <c r="R625" s="674">
        <v>-116095325.08</v>
      </c>
      <c r="S625" s="551">
        <f t="shared" si="124"/>
        <v>-69647558.95875001</v>
      </c>
      <c r="T625" s="677"/>
      <c r="U625" s="716"/>
      <c r="V625" s="755"/>
      <c r="W625" s="755">
        <f t="shared" si="166"/>
        <v>-69647558.95875001</v>
      </c>
      <c r="X625" s="778"/>
      <c r="Y625" s="755"/>
      <c r="Z625" s="755"/>
      <c r="AA625" s="716"/>
      <c r="AB625" s="755"/>
      <c r="AC625" s="718">
        <f t="shared" si="167"/>
        <v>-69647558.95875001</v>
      </c>
      <c r="AD625" s="717"/>
      <c r="AE625" s="717"/>
      <c r="AF625" s="753">
        <f t="shared" si="158"/>
        <v>0</v>
      </c>
    </row>
    <row r="626" spans="1:32">
      <c r="A626" s="677">
        <v>616</v>
      </c>
      <c r="B626" s="379" t="s">
        <v>984</v>
      </c>
      <c r="C626" s="379" t="s">
        <v>644</v>
      </c>
      <c r="D626" s="379" t="s">
        <v>1253</v>
      </c>
      <c r="E626" s="662" t="s">
        <v>1804</v>
      </c>
      <c r="F626" s="674">
        <v>-1439586.55</v>
      </c>
      <c r="G626" s="674">
        <v>-506033.06</v>
      </c>
      <c r="H626" s="674">
        <v>1835042.22</v>
      </c>
      <c r="I626" s="674">
        <v>2369542.04</v>
      </c>
      <c r="J626" s="674">
        <v>1868319.35</v>
      </c>
      <c r="K626" s="674">
        <v>1872488.19</v>
      </c>
      <c r="L626" s="674">
        <v>1767546.44</v>
      </c>
      <c r="M626" s="674">
        <v>1807230.59</v>
      </c>
      <c r="N626" s="674">
        <v>1634330.51</v>
      </c>
      <c r="O626" s="674">
        <v>1811732.36</v>
      </c>
      <c r="P626" s="674">
        <v>2334200.54</v>
      </c>
      <c r="Q626" s="674">
        <v>2010314.74</v>
      </c>
      <c r="R626" s="674">
        <v>1197917.97</v>
      </c>
      <c r="S626" s="551">
        <f t="shared" si="124"/>
        <v>1556989.9691666665</v>
      </c>
      <c r="T626" s="677"/>
      <c r="U626" s="716"/>
      <c r="V626" s="755"/>
      <c r="W626" s="755">
        <f t="shared" si="166"/>
        <v>1556989.9691666665</v>
      </c>
      <c r="X626" s="778"/>
      <c r="Y626" s="755"/>
      <c r="Z626" s="755"/>
      <c r="AA626" s="716"/>
      <c r="AB626" s="755"/>
      <c r="AC626" s="718">
        <f t="shared" si="167"/>
        <v>1556989.9691666665</v>
      </c>
      <c r="AD626" s="717"/>
      <c r="AE626" s="717"/>
      <c r="AF626" s="753">
        <f t="shared" si="158"/>
        <v>0</v>
      </c>
    </row>
    <row r="627" spans="1:32">
      <c r="A627" s="677">
        <v>617</v>
      </c>
      <c r="B627" s="379" t="s">
        <v>984</v>
      </c>
      <c r="C627" s="379" t="s">
        <v>644</v>
      </c>
      <c r="D627" s="379" t="s">
        <v>1449</v>
      </c>
      <c r="E627" s="662" t="s">
        <v>1805</v>
      </c>
      <c r="F627" s="674">
        <v>-2144806.7000000002</v>
      </c>
      <c r="G627" s="674">
        <v>-534993.67000000004</v>
      </c>
      <c r="H627" s="674">
        <v>-1108567.76</v>
      </c>
      <c r="I627" s="674">
        <v>-1725655.1</v>
      </c>
      <c r="J627" s="674">
        <v>-2063499.86</v>
      </c>
      <c r="K627" s="674">
        <v>-2267619.12</v>
      </c>
      <c r="L627" s="674">
        <v>-2379157.91</v>
      </c>
      <c r="M627" s="674">
        <v>-2467884.13</v>
      </c>
      <c r="N627" s="674">
        <v>-2544422.75</v>
      </c>
      <c r="O627" s="674">
        <v>-2618677.42</v>
      </c>
      <c r="P627" s="674">
        <v>-2794060.89</v>
      </c>
      <c r="Q627" s="674">
        <v>-3109450.8</v>
      </c>
      <c r="R627" s="674">
        <v>-3574036.83</v>
      </c>
      <c r="S627" s="551">
        <f t="shared" si="124"/>
        <v>-2206117.5979166669</v>
      </c>
      <c r="T627" s="677"/>
      <c r="U627" s="716"/>
      <c r="V627" s="755"/>
      <c r="W627" s="755">
        <f t="shared" si="166"/>
        <v>-2206117.5979166669</v>
      </c>
      <c r="X627" s="778"/>
      <c r="Y627" s="755"/>
      <c r="Z627" s="755"/>
      <c r="AA627" s="716"/>
      <c r="AB627" s="755"/>
      <c r="AC627" s="718">
        <f t="shared" si="167"/>
        <v>-2206117.5979166669</v>
      </c>
      <c r="AD627" s="717"/>
      <c r="AE627" s="717"/>
      <c r="AF627" s="753">
        <f t="shared" si="158"/>
        <v>0</v>
      </c>
    </row>
    <row r="628" spans="1:32">
      <c r="A628" s="677">
        <v>618</v>
      </c>
      <c r="B628" s="379" t="s">
        <v>984</v>
      </c>
      <c r="C628" s="379" t="s">
        <v>644</v>
      </c>
      <c r="D628" s="379" t="s">
        <v>1254</v>
      </c>
      <c r="E628" s="662" t="s">
        <v>1785</v>
      </c>
      <c r="F628" s="674">
        <v>-10628565.26</v>
      </c>
      <c r="G628" s="674">
        <v>-1081894.3999999999</v>
      </c>
      <c r="H628" s="674">
        <v>-2267572.48</v>
      </c>
      <c r="I628" s="674">
        <v>-3572928.08</v>
      </c>
      <c r="J628" s="674">
        <v>-4628405.24</v>
      </c>
      <c r="K628" s="674">
        <v>-5366548.62</v>
      </c>
      <c r="L628" s="674">
        <v>-5964647.4900000002</v>
      </c>
      <c r="M628" s="674">
        <v>-6555623.9800000004</v>
      </c>
      <c r="N628" s="674">
        <v>-7188459.2300000004</v>
      </c>
      <c r="O628" s="674">
        <v>-7853023.2599999998</v>
      </c>
      <c r="P628" s="674">
        <v>-8992963.1699999999</v>
      </c>
      <c r="Q628" s="674">
        <v>-10154584.33</v>
      </c>
      <c r="R628" s="674">
        <v>-11495619.82</v>
      </c>
      <c r="S628" s="551">
        <f t="shared" si="124"/>
        <v>-6224061.9016666664</v>
      </c>
      <c r="T628" s="677"/>
      <c r="U628" s="716"/>
      <c r="V628" s="755"/>
      <c r="W628" s="755">
        <f t="shared" si="166"/>
        <v>-6224061.9016666664</v>
      </c>
      <c r="X628" s="778"/>
      <c r="Y628" s="755"/>
      <c r="Z628" s="755"/>
      <c r="AA628" s="716"/>
      <c r="AB628" s="755"/>
      <c r="AC628" s="718">
        <f t="shared" si="167"/>
        <v>-6224061.9016666664</v>
      </c>
      <c r="AD628" s="717"/>
      <c r="AE628" s="717"/>
      <c r="AF628" s="753">
        <f t="shared" si="158"/>
        <v>0</v>
      </c>
    </row>
    <row r="629" spans="1:32">
      <c r="A629" s="677">
        <v>619</v>
      </c>
      <c r="B629" s="379" t="s">
        <v>984</v>
      </c>
      <c r="C629" s="379" t="s">
        <v>644</v>
      </c>
      <c r="D629" s="379" t="s">
        <v>1260</v>
      </c>
      <c r="E629" s="662" t="s">
        <v>1806</v>
      </c>
      <c r="F629" s="674">
        <v>247687.63</v>
      </c>
      <c r="G629" s="674">
        <v>-11142.35</v>
      </c>
      <c r="H629" s="674">
        <v>42139.87</v>
      </c>
      <c r="I629" s="674">
        <v>130678.66</v>
      </c>
      <c r="J629" s="674">
        <v>213184</v>
      </c>
      <c r="K629" s="674">
        <v>254248.99</v>
      </c>
      <c r="L629" s="674">
        <v>271105.64</v>
      </c>
      <c r="M629" s="674">
        <v>304993.3</v>
      </c>
      <c r="N629" s="674">
        <v>338004.12</v>
      </c>
      <c r="O629" s="674">
        <v>359234.39</v>
      </c>
      <c r="P629" s="674">
        <v>410269.92</v>
      </c>
      <c r="Q629" s="674">
        <v>469226.13</v>
      </c>
      <c r="R629" s="674">
        <v>489197.46</v>
      </c>
      <c r="S629" s="551">
        <f t="shared" si="124"/>
        <v>262532.10125000001</v>
      </c>
      <c r="T629" s="677"/>
      <c r="U629" s="716"/>
      <c r="V629" s="755"/>
      <c r="W629" s="755">
        <f t="shared" si="166"/>
        <v>262532.10125000001</v>
      </c>
      <c r="X629" s="778"/>
      <c r="Y629" s="755"/>
      <c r="Z629" s="755"/>
      <c r="AA629" s="716"/>
      <c r="AB629" s="755"/>
      <c r="AC629" s="718">
        <f t="shared" si="167"/>
        <v>262532.10125000001</v>
      </c>
      <c r="AD629" s="717"/>
      <c r="AE629" s="717"/>
      <c r="AF629" s="753">
        <f t="shared" si="158"/>
        <v>0</v>
      </c>
    </row>
    <row r="630" spans="1:32">
      <c r="A630" s="677">
        <v>620</v>
      </c>
      <c r="B630" s="379" t="s">
        <v>984</v>
      </c>
      <c r="C630" s="379" t="s">
        <v>644</v>
      </c>
      <c r="D630" s="379" t="s">
        <v>1450</v>
      </c>
      <c r="E630" s="662" t="s">
        <v>1807</v>
      </c>
      <c r="F630" s="674">
        <v>-241595.26</v>
      </c>
      <c r="G630" s="674">
        <v>-48598.97</v>
      </c>
      <c r="H630" s="674">
        <v>-102084.88</v>
      </c>
      <c r="I630" s="674">
        <v>-160996.44</v>
      </c>
      <c r="J630" s="674">
        <v>-206998.02</v>
      </c>
      <c r="K630" s="674">
        <v>-236122.8</v>
      </c>
      <c r="L630" s="674">
        <v>-259644.24</v>
      </c>
      <c r="M630" s="674">
        <v>-283118.45</v>
      </c>
      <c r="N630" s="674">
        <v>-308323.61</v>
      </c>
      <c r="O630" s="674">
        <v>-334833.71999999997</v>
      </c>
      <c r="P630" s="674">
        <v>-381311.17</v>
      </c>
      <c r="Q630" s="674">
        <v>-425847.36</v>
      </c>
      <c r="R630" s="674">
        <v>-473018.25</v>
      </c>
      <c r="S630" s="551">
        <f t="shared" si="124"/>
        <v>-258765.53458333333</v>
      </c>
      <c r="T630" s="677"/>
      <c r="U630" s="716"/>
      <c r="V630" s="755"/>
      <c r="W630" s="755">
        <f t="shared" si="166"/>
        <v>-258765.53458333333</v>
      </c>
      <c r="X630" s="778"/>
      <c r="Y630" s="755"/>
      <c r="Z630" s="755"/>
      <c r="AA630" s="716"/>
      <c r="AB630" s="755"/>
      <c r="AC630" s="718">
        <f t="shared" si="167"/>
        <v>-258765.53458333333</v>
      </c>
      <c r="AD630" s="717"/>
      <c r="AE630" s="717"/>
      <c r="AF630" s="753">
        <f t="shared" si="158"/>
        <v>0</v>
      </c>
    </row>
    <row r="631" spans="1:32">
      <c r="A631" s="677">
        <v>621</v>
      </c>
      <c r="B631" s="379" t="s">
        <v>984</v>
      </c>
      <c r="C631" s="379" t="s">
        <v>644</v>
      </c>
      <c r="D631" s="379" t="s">
        <v>1255</v>
      </c>
      <c r="E631" s="662" t="s">
        <v>1786</v>
      </c>
      <c r="F631" s="674">
        <v>-29548.43</v>
      </c>
      <c r="G631" s="674">
        <v>0</v>
      </c>
      <c r="H631" s="674">
        <v>0</v>
      </c>
      <c r="I631" s="674">
        <v>0</v>
      </c>
      <c r="J631" s="674">
        <v>0</v>
      </c>
      <c r="K631" s="674">
        <v>0</v>
      </c>
      <c r="L631" s="674">
        <v>0</v>
      </c>
      <c r="M631" s="674">
        <v>0</v>
      </c>
      <c r="N631" s="674">
        <v>0</v>
      </c>
      <c r="O631" s="674">
        <v>0</v>
      </c>
      <c r="P631" s="674">
        <v>0</v>
      </c>
      <c r="Q631" s="674">
        <v>0</v>
      </c>
      <c r="R631" s="674">
        <v>0</v>
      </c>
      <c r="S631" s="551">
        <f t="shared" si="124"/>
        <v>-1231.1845833333334</v>
      </c>
      <c r="T631" s="677"/>
      <c r="U631" s="716"/>
      <c r="V631" s="755"/>
      <c r="W631" s="755">
        <f t="shared" si="166"/>
        <v>-1231.1845833333334</v>
      </c>
      <c r="X631" s="778"/>
      <c r="Y631" s="755"/>
      <c r="Z631" s="755"/>
      <c r="AA631" s="716"/>
      <c r="AB631" s="755"/>
      <c r="AC631" s="718">
        <f t="shared" si="167"/>
        <v>-1231.1845833333334</v>
      </c>
      <c r="AD631" s="717"/>
      <c r="AE631" s="717"/>
      <c r="AF631" s="753">
        <f t="shared" si="158"/>
        <v>0</v>
      </c>
    </row>
    <row r="632" spans="1:32">
      <c r="A632" s="677">
        <v>622</v>
      </c>
      <c r="B632" s="379" t="s">
        <v>984</v>
      </c>
      <c r="C632" s="379" t="s">
        <v>644</v>
      </c>
      <c r="D632" s="379" t="s">
        <v>1256</v>
      </c>
      <c r="E632" s="662" t="s">
        <v>1787</v>
      </c>
      <c r="F632" s="674">
        <v>-79180712.310000002</v>
      </c>
      <c r="G632" s="674">
        <v>-10499037.24</v>
      </c>
      <c r="H632" s="674">
        <v>-21640694.600000001</v>
      </c>
      <c r="I632" s="674">
        <v>-34241316.68</v>
      </c>
      <c r="J632" s="674">
        <v>-41849021.350000001</v>
      </c>
      <c r="K632" s="674">
        <v>-46892253.909999996</v>
      </c>
      <c r="L632" s="674">
        <v>-50312050.200000003</v>
      </c>
      <c r="M632" s="674">
        <v>-53358566.310000002</v>
      </c>
      <c r="N632" s="674">
        <v>-56188948</v>
      </c>
      <c r="O632" s="674">
        <v>-58893899.530000001</v>
      </c>
      <c r="P632" s="674">
        <v>-63590306.25</v>
      </c>
      <c r="Q632" s="674">
        <v>-71795380.379999995</v>
      </c>
      <c r="R632" s="674">
        <v>-84231132.900000006</v>
      </c>
      <c r="S632" s="551">
        <f t="shared" si="124"/>
        <v>-49247283.087916672</v>
      </c>
      <c r="T632" s="677"/>
      <c r="U632" s="716"/>
      <c r="V632" s="755"/>
      <c r="W632" s="755">
        <f t="shared" si="166"/>
        <v>-49247283.087916672</v>
      </c>
      <c r="X632" s="778"/>
      <c r="Y632" s="755"/>
      <c r="Z632" s="755"/>
      <c r="AA632" s="716"/>
      <c r="AB632" s="755"/>
      <c r="AC632" s="718">
        <f t="shared" si="167"/>
        <v>-49247283.087916672</v>
      </c>
      <c r="AD632" s="717"/>
      <c r="AE632" s="717"/>
      <c r="AF632" s="753">
        <f t="shared" si="158"/>
        <v>0</v>
      </c>
    </row>
    <row r="633" spans="1:32">
      <c r="A633" s="677">
        <v>623</v>
      </c>
      <c r="B633" s="379" t="s">
        <v>984</v>
      </c>
      <c r="C633" s="379" t="s">
        <v>644</v>
      </c>
      <c r="D633" s="379" t="s">
        <v>1257</v>
      </c>
      <c r="E633" s="662" t="s">
        <v>1808</v>
      </c>
      <c r="F633" s="674">
        <v>188923.97</v>
      </c>
      <c r="G633" s="674">
        <v>-320152.02</v>
      </c>
      <c r="H633" s="674">
        <v>1037055.3</v>
      </c>
      <c r="I633" s="674">
        <v>1816330.28</v>
      </c>
      <c r="J633" s="674">
        <v>1826263.37</v>
      </c>
      <c r="K633" s="674">
        <v>1837282.8</v>
      </c>
      <c r="L633" s="674">
        <v>1883799.34</v>
      </c>
      <c r="M633" s="674">
        <v>1981656.98</v>
      </c>
      <c r="N633" s="674">
        <v>1850432.57</v>
      </c>
      <c r="O633" s="674">
        <v>1996705.13</v>
      </c>
      <c r="P633" s="674">
        <v>2378792.92</v>
      </c>
      <c r="Q633" s="674">
        <v>2798208.6</v>
      </c>
      <c r="R633" s="674">
        <v>2558275.73</v>
      </c>
      <c r="S633" s="551">
        <f t="shared" si="124"/>
        <v>1704997.9266666668</v>
      </c>
      <c r="T633" s="677"/>
      <c r="U633" s="716"/>
      <c r="V633" s="755"/>
      <c r="W633" s="755">
        <f t="shared" si="166"/>
        <v>1704997.9266666668</v>
      </c>
      <c r="X633" s="778"/>
      <c r="Y633" s="755"/>
      <c r="Z633" s="755"/>
      <c r="AA633" s="716"/>
      <c r="AB633" s="755"/>
      <c r="AC633" s="718">
        <f t="shared" si="167"/>
        <v>1704997.9266666668</v>
      </c>
      <c r="AD633" s="717"/>
      <c r="AE633" s="717"/>
      <c r="AF633" s="753">
        <f t="shared" si="158"/>
        <v>0</v>
      </c>
    </row>
    <row r="634" spans="1:32">
      <c r="A634" s="677">
        <v>624</v>
      </c>
      <c r="B634" s="379" t="s">
        <v>984</v>
      </c>
      <c r="C634" s="379" t="s">
        <v>644</v>
      </c>
      <c r="D634" s="379" t="s">
        <v>1451</v>
      </c>
      <c r="E634" s="662" t="s">
        <v>1809</v>
      </c>
      <c r="F634" s="674">
        <v>-1689706.2</v>
      </c>
      <c r="G634" s="674">
        <v>-402091.06</v>
      </c>
      <c r="H634" s="674">
        <v>-829567.37</v>
      </c>
      <c r="I634" s="674">
        <v>-1314201.75</v>
      </c>
      <c r="J634" s="674">
        <v>-1593120.94</v>
      </c>
      <c r="K634" s="674">
        <v>-1760151.94</v>
      </c>
      <c r="L634" s="674">
        <v>-1868839.88</v>
      </c>
      <c r="M634" s="674">
        <v>-1964165.18</v>
      </c>
      <c r="N634" s="674">
        <v>-2052119.74</v>
      </c>
      <c r="O634" s="674">
        <v>-2135304.36</v>
      </c>
      <c r="P634" s="674">
        <v>-2287736.65</v>
      </c>
      <c r="Q634" s="674">
        <v>-2567636.0299999998</v>
      </c>
      <c r="R634" s="674">
        <v>-2955922.48</v>
      </c>
      <c r="S634" s="551">
        <f t="shared" si="124"/>
        <v>-1758145.7699999998</v>
      </c>
      <c r="T634" s="677"/>
      <c r="U634" s="716"/>
      <c r="V634" s="755"/>
      <c r="W634" s="755">
        <f t="shared" si="166"/>
        <v>-1758145.7699999998</v>
      </c>
      <c r="X634" s="778"/>
      <c r="Y634" s="755"/>
      <c r="Z634" s="755"/>
      <c r="AA634" s="716"/>
      <c r="AB634" s="755"/>
      <c r="AC634" s="718">
        <f t="shared" si="167"/>
        <v>-1758145.7699999998</v>
      </c>
      <c r="AD634" s="717"/>
      <c r="AE634" s="717"/>
      <c r="AF634" s="753">
        <f t="shared" si="158"/>
        <v>0</v>
      </c>
    </row>
    <row r="635" spans="1:32">
      <c r="A635" s="677">
        <v>625</v>
      </c>
      <c r="B635" s="379" t="s">
        <v>984</v>
      </c>
      <c r="C635" s="379" t="s">
        <v>644</v>
      </c>
      <c r="D635" s="379" t="s">
        <v>1258</v>
      </c>
      <c r="E635" s="662" t="s">
        <v>1789</v>
      </c>
      <c r="F635" s="674">
        <v>-54452.09</v>
      </c>
      <c r="G635" s="674">
        <v>-3344.32</v>
      </c>
      <c r="H635" s="674">
        <v>-7503.29</v>
      </c>
      <c r="I635" s="674">
        <v>-10068.129999999999</v>
      </c>
      <c r="J635" s="674">
        <v>-10068.129999999999</v>
      </c>
      <c r="K635" s="674">
        <v>-10068.129999999999</v>
      </c>
      <c r="L635" s="674">
        <v>-12828.35</v>
      </c>
      <c r="M635" s="674">
        <v>-12828.35</v>
      </c>
      <c r="N635" s="674">
        <v>-18661.25</v>
      </c>
      <c r="O635" s="674">
        <v>-18661.25</v>
      </c>
      <c r="P635" s="674">
        <v>-47642.78</v>
      </c>
      <c r="Q635" s="674">
        <v>-47642.78</v>
      </c>
      <c r="R635" s="674">
        <v>-51429.03</v>
      </c>
      <c r="S635" s="551">
        <f t="shared" si="124"/>
        <v>-21021.443333333333</v>
      </c>
      <c r="T635" s="677"/>
      <c r="U635" s="716"/>
      <c r="V635" s="755"/>
      <c r="W635" s="755">
        <f t="shared" si="166"/>
        <v>-21021.443333333333</v>
      </c>
      <c r="X635" s="778"/>
      <c r="Y635" s="755"/>
      <c r="Z635" s="755"/>
      <c r="AA635" s="716"/>
      <c r="AB635" s="755"/>
      <c r="AC635" s="718">
        <f t="shared" si="167"/>
        <v>-21021.443333333333</v>
      </c>
      <c r="AD635" s="717"/>
      <c r="AE635" s="717"/>
      <c r="AF635" s="753">
        <f t="shared" si="158"/>
        <v>0</v>
      </c>
    </row>
    <row r="636" spans="1:32">
      <c r="A636" s="677">
        <v>626</v>
      </c>
      <c r="B636" s="379" t="s">
        <v>984</v>
      </c>
      <c r="C636" s="379" t="s">
        <v>644</v>
      </c>
      <c r="D636" s="379" t="s">
        <v>1261</v>
      </c>
      <c r="E636" s="662" t="s">
        <v>1810</v>
      </c>
      <c r="F636" s="674">
        <v>-2345.14</v>
      </c>
      <c r="G636" s="674">
        <v>-107.98</v>
      </c>
      <c r="H636" s="674">
        <v>-172.24</v>
      </c>
      <c r="I636" s="674">
        <v>-232.24</v>
      </c>
      <c r="J636" s="674">
        <v>-291.83</v>
      </c>
      <c r="K636" s="674">
        <v>-438.9</v>
      </c>
      <c r="L636" s="674">
        <v>-602.17999999999995</v>
      </c>
      <c r="M636" s="674">
        <v>-661.66</v>
      </c>
      <c r="N636" s="674">
        <v>-833.15</v>
      </c>
      <c r="O636" s="674">
        <v>-891.83</v>
      </c>
      <c r="P636" s="674">
        <v>-1231.9100000000001</v>
      </c>
      <c r="Q636" s="674">
        <v>-1511.6</v>
      </c>
      <c r="R636" s="674">
        <v>-1933.11</v>
      </c>
      <c r="S636" s="551">
        <f t="shared" si="124"/>
        <v>-759.55375000000004</v>
      </c>
      <c r="T636" s="677"/>
      <c r="U636" s="716"/>
      <c r="V636" s="755"/>
      <c r="W636" s="755">
        <f t="shared" si="166"/>
        <v>-759.55375000000004</v>
      </c>
      <c r="X636" s="778"/>
      <c r="Y636" s="755"/>
      <c r="Z636" s="755"/>
      <c r="AA636" s="716"/>
      <c r="AB636" s="755"/>
      <c r="AC636" s="718">
        <f t="shared" si="167"/>
        <v>-759.55375000000004</v>
      </c>
      <c r="AD636" s="717"/>
      <c r="AE636" s="717"/>
      <c r="AF636" s="753">
        <f t="shared" si="158"/>
        <v>0</v>
      </c>
    </row>
    <row r="637" spans="1:32">
      <c r="A637" s="677">
        <v>627</v>
      </c>
      <c r="B637" s="379" t="s">
        <v>984</v>
      </c>
      <c r="C637" s="379" t="s">
        <v>644</v>
      </c>
      <c r="D637" s="379" t="s">
        <v>1262</v>
      </c>
      <c r="E637" s="662" t="s">
        <v>1811</v>
      </c>
      <c r="F637" s="674">
        <v>-3467.93</v>
      </c>
      <c r="G637" s="674">
        <v>-496.98</v>
      </c>
      <c r="H637" s="674">
        <v>-920.1</v>
      </c>
      <c r="I637" s="674">
        <v>-1318</v>
      </c>
      <c r="J637" s="674">
        <v>-1584.26</v>
      </c>
      <c r="K637" s="674">
        <v>-1767.52</v>
      </c>
      <c r="L637" s="674">
        <v>-1957.05</v>
      </c>
      <c r="M637" s="674">
        <v>-2080.4499999999998</v>
      </c>
      <c r="N637" s="674">
        <v>-2241.88</v>
      </c>
      <c r="O637" s="674">
        <v>-2378.21</v>
      </c>
      <c r="P637" s="674">
        <v>-2752.26</v>
      </c>
      <c r="Q637" s="674">
        <v>-2972.64</v>
      </c>
      <c r="R637" s="674">
        <v>-3356.48</v>
      </c>
      <c r="S637" s="551">
        <f t="shared" si="124"/>
        <v>-1990.1295833333334</v>
      </c>
      <c r="T637" s="677"/>
      <c r="U637" s="716"/>
      <c r="V637" s="755"/>
      <c r="W637" s="755">
        <f t="shared" si="166"/>
        <v>-1990.1295833333334</v>
      </c>
      <c r="X637" s="778"/>
      <c r="Y637" s="755"/>
      <c r="Z637" s="755"/>
      <c r="AA637" s="716"/>
      <c r="AB637" s="755"/>
      <c r="AC637" s="718">
        <f t="shared" si="167"/>
        <v>-1990.1295833333334</v>
      </c>
      <c r="AD637" s="717"/>
      <c r="AE637" s="717"/>
      <c r="AF637" s="753">
        <f t="shared" si="158"/>
        <v>0</v>
      </c>
    </row>
    <row r="638" spans="1:32">
      <c r="A638" s="677">
        <v>628</v>
      </c>
      <c r="B638" s="677" t="s">
        <v>984</v>
      </c>
      <c r="C638" s="379" t="s">
        <v>644</v>
      </c>
      <c r="D638" s="379" t="s">
        <v>1452</v>
      </c>
      <c r="E638" s="662" t="s">
        <v>1812</v>
      </c>
      <c r="F638" s="674">
        <v>-35.46</v>
      </c>
      <c r="G638" s="674">
        <v>-2.1800000000000002</v>
      </c>
      <c r="H638" s="674">
        <v>-2.37</v>
      </c>
      <c r="I638" s="674">
        <v>-2.37</v>
      </c>
      <c r="J638" s="674">
        <v>-2.37</v>
      </c>
      <c r="K638" s="674">
        <v>-5.9</v>
      </c>
      <c r="L638" s="674">
        <v>-10.06</v>
      </c>
      <c r="M638" s="674">
        <v>-10.06</v>
      </c>
      <c r="N638" s="674">
        <v>-14.55</v>
      </c>
      <c r="O638" s="674">
        <v>-14.55</v>
      </c>
      <c r="P638" s="674">
        <v>-25.87</v>
      </c>
      <c r="Q638" s="674">
        <v>-34.6</v>
      </c>
      <c r="R638" s="674">
        <v>-47.51</v>
      </c>
      <c r="S638" s="551">
        <f t="shared" si="124"/>
        <v>-13.863750000000001</v>
      </c>
      <c r="T638" s="677"/>
      <c r="U638" s="716"/>
      <c r="V638" s="755"/>
      <c r="W638" s="755">
        <f t="shared" si="166"/>
        <v>-13.863750000000001</v>
      </c>
      <c r="X638" s="778"/>
      <c r="Y638" s="755"/>
      <c r="Z638" s="755"/>
      <c r="AA638" s="716"/>
      <c r="AB638" s="755"/>
      <c r="AC638" s="718">
        <f t="shared" si="167"/>
        <v>-13.863750000000001</v>
      </c>
      <c r="AD638" s="717"/>
      <c r="AE638" s="717"/>
      <c r="AF638" s="753">
        <f t="shared" si="158"/>
        <v>0</v>
      </c>
    </row>
    <row r="639" spans="1:32">
      <c r="A639" s="677">
        <v>629</v>
      </c>
      <c r="B639" s="677" t="s">
        <v>984</v>
      </c>
      <c r="C639" s="379" t="s">
        <v>644</v>
      </c>
      <c r="D639" s="379" t="s">
        <v>1263</v>
      </c>
      <c r="E639" s="662" t="s">
        <v>1813</v>
      </c>
      <c r="F639" s="674">
        <v>-3266.14</v>
      </c>
      <c r="G639" s="674">
        <v>0</v>
      </c>
      <c r="H639" s="674">
        <v>0</v>
      </c>
      <c r="I639" s="674">
        <v>0</v>
      </c>
      <c r="J639" s="674">
        <v>0</v>
      </c>
      <c r="K639" s="674">
        <v>0</v>
      </c>
      <c r="L639" s="674">
        <v>0</v>
      </c>
      <c r="M639" s="674">
        <v>0</v>
      </c>
      <c r="N639" s="674">
        <v>0</v>
      </c>
      <c r="O639" s="674">
        <v>0</v>
      </c>
      <c r="P639" s="674">
        <v>0</v>
      </c>
      <c r="Q639" s="674">
        <v>0</v>
      </c>
      <c r="R639" s="674">
        <v>0</v>
      </c>
      <c r="S639" s="551">
        <f t="shared" si="124"/>
        <v>-136.08916666666667</v>
      </c>
      <c r="T639" s="677"/>
      <c r="U639" s="716"/>
      <c r="V639" s="755"/>
      <c r="W639" s="755">
        <f t="shared" si="166"/>
        <v>-136.08916666666667</v>
      </c>
      <c r="X639" s="778"/>
      <c r="Y639" s="755"/>
      <c r="Z639" s="755"/>
      <c r="AA639" s="716"/>
      <c r="AB639" s="755"/>
      <c r="AC639" s="718">
        <f t="shared" si="167"/>
        <v>-136.08916666666667</v>
      </c>
      <c r="AD639" s="717"/>
      <c r="AE639" s="717"/>
      <c r="AF639" s="753">
        <f t="shared" si="158"/>
        <v>0</v>
      </c>
    </row>
    <row r="640" spans="1:32">
      <c r="A640" s="677">
        <v>630</v>
      </c>
      <c r="B640" s="677" t="s">
        <v>984</v>
      </c>
      <c r="C640" s="379" t="s">
        <v>644</v>
      </c>
      <c r="D640" s="379" t="s">
        <v>1259</v>
      </c>
      <c r="E640" s="662" t="s">
        <v>1790</v>
      </c>
      <c r="F640" s="674">
        <v>-1213225.9099999999</v>
      </c>
      <c r="G640" s="674">
        <v>-124207.65</v>
      </c>
      <c r="H640" s="674">
        <v>-247565.82</v>
      </c>
      <c r="I640" s="674">
        <v>-376285.15</v>
      </c>
      <c r="J640" s="674">
        <v>-495128.44</v>
      </c>
      <c r="K640" s="674">
        <v>-602311.25</v>
      </c>
      <c r="L640" s="674">
        <v>-682926.34</v>
      </c>
      <c r="M640" s="674">
        <v>-746372.73</v>
      </c>
      <c r="N640" s="674">
        <v>-816340.67</v>
      </c>
      <c r="O640" s="674">
        <v>-870684.71</v>
      </c>
      <c r="P640" s="674">
        <v>-933734.32</v>
      </c>
      <c r="Q640" s="674">
        <v>-1061766.92</v>
      </c>
      <c r="R640" s="674">
        <v>-1202440.45</v>
      </c>
      <c r="S640" s="551">
        <f t="shared" si="124"/>
        <v>-680429.76500000001</v>
      </c>
      <c r="T640" s="677"/>
      <c r="U640" s="716"/>
      <c r="V640" s="755"/>
      <c r="W640" s="755">
        <f t="shared" si="166"/>
        <v>-680429.76500000001</v>
      </c>
      <c r="X640" s="778"/>
      <c r="Y640" s="755"/>
      <c r="Z640" s="755"/>
      <c r="AA640" s="716"/>
      <c r="AB640" s="755"/>
      <c r="AC640" s="718">
        <f t="shared" si="167"/>
        <v>-680429.76500000001</v>
      </c>
      <c r="AD640" s="717"/>
      <c r="AE640" s="717"/>
      <c r="AF640" s="753">
        <f t="shared" si="158"/>
        <v>0</v>
      </c>
    </row>
    <row r="641" spans="1:32">
      <c r="A641" s="677">
        <v>631</v>
      </c>
      <c r="B641" s="379" t="s">
        <v>984</v>
      </c>
      <c r="C641" s="379" t="s">
        <v>644</v>
      </c>
      <c r="D641" s="379" t="s">
        <v>1264</v>
      </c>
      <c r="E641" s="662" t="s">
        <v>1814</v>
      </c>
      <c r="F641" s="674">
        <v>-37768.239999999998</v>
      </c>
      <c r="G641" s="674">
        <v>-6134.82</v>
      </c>
      <c r="H641" s="674">
        <v>-12012.5</v>
      </c>
      <c r="I641" s="674">
        <v>-13324.49</v>
      </c>
      <c r="J641" s="674">
        <v>-16701.689999999999</v>
      </c>
      <c r="K641" s="674">
        <v>-18129.04</v>
      </c>
      <c r="L641" s="674">
        <v>-19178.830000000002</v>
      </c>
      <c r="M641" s="674">
        <v>-18400.28</v>
      </c>
      <c r="N641" s="674">
        <v>-20825.009999999998</v>
      </c>
      <c r="O641" s="674">
        <v>-19444.53</v>
      </c>
      <c r="P641" s="674">
        <v>-36753.32</v>
      </c>
      <c r="Q641" s="674">
        <v>-18014.23</v>
      </c>
      <c r="R641" s="674">
        <v>-20059.57</v>
      </c>
      <c r="S641" s="551">
        <f t="shared" si="124"/>
        <v>-18986.053750000003</v>
      </c>
      <c r="T641" s="677"/>
      <c r="U641" s="716"/>
      <c r="V641" s="755"/>
      <c r="W641" s="755">
        <f t="shared" si="166"/>
        <v>-18986.053750000003</v>
      </c>
      <c r="X641" s="778"/>
      <c r="Y641" s="755"/>
      <c r="Z641" s="755"/>
      <c r="AA641" s="716"/>
      <c r="AB641" s="755"/>
      <c r="AC641" s="718">
        <f t="shared" si="167"/>
        <v>-18986.053750000003</v>
      </c>
      <c r="AD641" s="717"/>
      <c r="AE641" s="717"/>
      <c r="AF641" s="753">
        <f t="shared" si="158"/>
        <v>0</v>
      </c>
    </row>
    <row r="642" spans="1:32">
      <c r="A642" s="677">
        <v>632</v>
      </c>
      <c r="B642" s="379" t="s">
        <v>984</v>
      </c>
      <c r="C642" s="379" t="s">
        <v>644</v>
      </c>
      <c r="D642" s="379" t="s">
        <v>1453</v>
      </c>
      <c r="E642" s="662" t="s">
        <v>1815</v>
      </c>
      <c r="F642" s="674">
        <v>-33021.06</v>
      </c>
      <c r="G642" s="674">
        <v>-7173.67</v>
      </c>
      <c r="H642" s="674">
        <v>-14301.33</v>
      </c>
      <c r="I642" s="674">
        <v>-21742.2</v>
      </c>
      <c r="J642" s="674">
        <v>-28576.12</v>
      </c>
      <c r="K642" s="674">
        <v>-33849.120000000003</v>
      </c>
      <c r="L642" s="674">
        <v>-37766.85</v>
      </c>
      <c r="M642" s="674">
        <v>-40823.43</v>
      </c>
      <c r="N642" s="674">
        <v>-44129.01</v>
      </c>
      <c r="O642" s="674">
        <v>-46707.47</v>
      </c>
      <c r="P642" s="674">
        <v>-49776.58</v>
      </c>
      <c r="Q642" s="674">
        <v>-56188.43</v>
      </c>
      <c r="R642" s="674">
        <v>-62243.55</v>
      </c>
      <c r="S642" s="551">
        <f t="shared" si="124"/>
        <v>-35722.209583333337</v>
      </c>
      <c r="T642" s="677"/>
      <c r="U642" s="716"/>
      <c r="V642" s="755"/>
      <c r="W642" s="755">
        <f t="shared" si="166"/>
        <v>-35722.209583333337</v>
      </c>
      <c r="X642" s="778"/>
      <c r="Y642" s="755"/>
      <c r="Z642" s="755"/>
      <c r="AA642" s="716"/>
      <c r="AB642" s="755"/>
      <c r="AC642" s="718">
        <f t="shared" si="167"/>
        <v>-35722.209583333337</v>
      </c>
      <c r="AD642" s="717"/>
      <c r="AE642" s="717"/>
      <c r="AF642" s="753">
        <f t="shared" si="158"/>
        <v>0</v>
      </c>
    </row>
    <row r="643" spans="1:32">
      <c r="A643" s="677">
        <v>633</v>
      </c>
      <c r="B643" s="379" t="s">
        <v>1009</v>
      </c>
      <c r="C643" s="379" t="s">
        <v>645</v>
      </c>
      <c r="D643" s="379" t="s">
        <v>1252</v>
      </c>
      <c r="E643" s="662" t="s">
        <v>1791</v>
      </c>
      <c r="F643" s="674">
        <v>999034.86</v>
      </c>
      <c r="G643" s="674">
        <v>-62177.74</v>
      </c>
      <c r="H643" s="674">
        <v>-410981.96</v>
      </c>
      <c r="I643" s="674">
        <v>998030.61</v>
      </c>
      <c r="J643" s="674">
        <v>1978429.15</v>
      </c>
      <c r="K643" s="674">
        <v>2907179.96</v>
      </c>
      <c r="L643" s="674">
        <v>3123756.83</v>
      </c>
      <c r="M643" s="674">
        <v>3282263.93</v>
      </c>
      <c r="N643" s="674">
        <v>3538652.94</v>
      </c>
      <c r="O643" s="674">
        <v>3142494.99</v>
      </c>
      <c r="P643" s="674">
        <v>1649019.22</v>
      </c>
      <c r="Q643" s="674">
        <v>586257.81000000006</v>
      </c>
      <c r="R643" s="674">
        <v>64063.2600000003</v>
      </c>
      <c r="S643" s="551">
        <f t="shared" si="124"/>
        <v>1772039.5666666664</v>
      </c>
      <c r="T643" s="677"/>
      <c r="U643" s="716"/>
      <c r="V643" s="755"/>
      <c r="W643" s="755">
        <f t="shared" si="166"/>
        <v>1772039.5666666664</v>
      </c>
      <c r="X643" s="778"/>
      <c r="Y643" s="755"/>
      <c r="Z643" s="755"/>
      <c r="AA643" s="716"/>
      <c r="AB643" s="755"/>
      <c r="AC643" s="718">
        <f t="shared" si="167"/>
        <v>1772039.5666666664</v>
      </c>
      <c r="AD643" s="717"/>
      <c r="AE643" s="717"/>
      <c r="AF643" s="753">
        <f t="shared" si="158"/>
        <v>0</v>
      </c>
    </row>
    <row r="644" spans="1:32">
      <c r="A644" s="677">
        <v>634</v>
      </c>
      <c r="B644" s="379" t="s">
        <v>1009</v>
      </c>
      <c r="C644" s="379" t="s">
        <v>645</v>
      </c>
      <c r="D644" s="379" t="s">
        <v>1256</v>
      </c>
      <c r="E644" s="662" t="s">
        <v>1792</v>
      </c>
      <c r="F644" s="674">
        <v>550202.9</v>
      </c>
      <c r="G644" s="674">
        <v>24382.080000000002</v>
      </c>
      <c r="H644" s="674">
        <v>-220380.4</v>
      </c>
      <c r="I644" s="674">
        <v>555464.92000000004</v>
      </c>
      <c r="J644" s="674">
        <v>1141879.06</v>
      </c>
      <c r="K644" s="674">
        <v>1624968</v>
      </c>
      <c r="L644" s="674">
        <v>1723115.26</v>
      </c>
      <c r="M644" s="674">
        <v>1750801.68</v>
      </c>
      <c r="N644" s="674">
        <v>1927594.36</v>
      </c>
      <c r="O644" s="674">
        <v>1631275.81</v>
      </c>
      <c r="P644" s="674">
        <v>761588.56</v>
      </c>
      <c r="Q644" s="674">
        <v>-1162.87000000023</v>
      </c>
      <c r="R644" s="674">
        <v>-116275.02</v>
      </c>
      <c r="S644" s="551">
        <f t="shared" si="124"/>
        <v>928040.86666666658</v>
      </c>
      <c r="T644" s="677"/>
      <c r="U644" s="716"/>
      <c r="V644" s="755"/>
      <c r="W644" s="755">
        <f t="shared" si="166"/>
        <v>928040.86666666658</v>
      </c>
      <c r="X644" s="778"/>
      <c r="Y644" s="755"/>
      <c r="Z644" s="755"/>
      <c r="AA644" s="716"/>
      <c r="AB644" s="755"/>
      <c r="AC644" s="718">
        <f t="shared" si="167"/>
        <v>928040.86666666658</v>
      </c>
      <c r="AD644" s="717"/>
      <c r="AE644" s="717"/>
      <c r="AF644" s="753">
        <f t="shared" si="158"/>
        <v>0</v>
      </c>
    </row>
    <row r="645" spans="1:32">
      <c r="A645" s="677">
        <v>635</v>
      </c>
      <c r="B645" s="677" t="s">
        <v>1009</v>
      </c>
      <c r="C645" s="379" t="s">
        <v>645</v>
      </c>
      <c r="D645" s="379" t="s">
        <v>1259</v>
      </c>
      <c r="E645" s="662" t="s">
        <v>1793</v>
      </c>
      <c r="F645" s="674">
        <v>47343.45</v>
      </c>
      <c r="G645" s="674">
        <v>-1561.66</v>
      </c>
      <c r="H645" s="674">
        <v>-1964.01</v>
      </c>
      <c r="I645" s="674">
        <v>18406.63</v>
      </c>
      <c r="J645" s="674">
        <v>68118.36</v>
      </c>
      <c r="K645" s="674">
        <v>86737.25</v>
      </c>
      <c r="L645" s="674">
        <v>99234.39</v>
      </c>
      <c r="M645" s="674">
        <v>100444.61</v>
      </c>
      <c r="N645" s="674">
        <v>102851.18</v>
      </c>
      <c r="O645" s="674">
        <v>97749.4</v>
      </c>
      <c r="P645" s="674">
        <v>48261.72</v>
      </c>
      <c r="Q645" s="674">
        <v>-850.15999999998905</v>
      </c>
      <c r="R645" s="674">
        <v>-32783.61</v>
      </c>
      <c r="S645" s="551">
        <f t="shared" si="124"/>
        <v>52058.969166666669</v>
      </c>
      <c r="T645" s="677"/>
      <c r="U645" s="716"/>
      <c r="V645" s="755"/>
      <c r="W645" s="755">
        <f t="shared" si="166"/>
        <v>52058.969166666669</v>
      </c>
      <c r="X645" s="778"/>
      <c r="Y645" s="755"/>
      <c r="Z645" s="755"/>
      <c r="AA645" s="716"/>
      <c r="AB645" s="755"/>
      <c r="AC645" s="718">
        <f t="shared" si="167"/>
        <v>52058.969166666669</v>
      </c>
      <c r="AD645" s="717"/>
      <c r="AE645" s="717"/>
      <c r="AF645" s="753">
        <f t="shared" si="158"/>
        <v>0</v>
      </c>
    </row>
    <row r="646" spans="1:32">
      <c r="A646" s="677">
        <v>636</v>
      </c>
      <c r="B646" s="677" t="s">
        <v>984</v>
      </c>
      <c r="C646" s="379" t="s">
        <v>645</v>
      </c>
      <c r="D646" s="379" t="s">
        <v>1252</v>
      </c>
      <c r="E646" s="662" t="s">
        <v>1791</v>
      </c>
      <c r="F646" s="674">
        <v>3374622.68</v>
      </c>
      <c r="G646" s="674">
        <v>-1344.14</v>
      </c>
      <c r="H646" s="674">
        <v>-2463980.2999999998</v>
      </c>
      <c r="I646" s="674">
        <v>1886464.21</v>
      </c>
      <c r="J646" s="674">
        <v>5241236.08</v>
      </c>
      <c r="K646" s="674">
        <v>7130166.5199999996</v>
      </c>
      <c r="L646" s="674">
        <v>8034036.7699999996</v>
      </c>
      <c r="M646" s="674">
        <v>8135627.71</v>
      </c>
      <c r="N646" s="674">
        <v>8892139.3300000001</v>
      </c>
      <c r="O646" s="674">
        <v>7631615.7800000003</v>
      </c>
      <c r="P646" s="674">
        <v>3903787.65</v>
      </c>
      <c r="Q646" s="674">
        <v>-192516.25</v>
      </c>
      <c r="R646" s="674">
        <v>-2017201.21</v>
      </c>
      <c r="S646" s="551">
        <f t="shared" si="124"/>
        <v>4072995.3412500001</v>
      </c>
      <c r="T646" s="677"/>
      <c r="U646" s="716"/>
      <c r="V646" s="755"/>
      <c r="W646" s="755">
        <f t="shared" si="166"/>
        <v>4072995.3412500001</v>
      </c>
      <c r="X646" s="778"/>
      <c r="Y646" s="755"/>
      <c r="Z646" s="755"/>
      <c r="AA646" s="716"/>
      <c r="AB646" s="755"/>
      <c r="AC646" s="718">
        <f t="shared" si="167"/>
        <v>4072995.3412500001</v>
      </c>
      <c r="AD646" s="717"/>
      <c r="AE646" s="717"/>
      <c r="AF646" s="753">
        <f t="shared" si="158"/>
        <v>0</v>
      </c>
    </row>
    <row r="647" spans="1:32">
      <c r="A647" s="677">
        <v>637</v>
      </c>
      <c r="B647" s="379" t="s">
        <v>984</v>
      </c>
      <c r="C647" s="379" t="s">
        <v>645</v>
      </c>
      <c r="D647" s="379" t="s">
        <v>1256</v>
      </c>
      <c r="E647" s="662" t="s">
        <v>1792</v>
      </c>
      <c r="F647" s="674">
        <v>2090238.1</v>
      </c>
      <c r="G647" s="674">
        <v>16964.689999999999</v>
      </c>
      <c r="H647" s="674">
        <v>-1611473.73</v>
      </c>
      <c r="I647" s="674">
        <v>1033586.64</v>
      </c>
      <c r="J647" s="674">
        <v>3241911.49</v>
      </c>
      <c r="K647" s="674">
        <v>4721962.2</v>
      </c>
      <c r="L647" s="674">
        <v>5158958.49</v>
      </c>
      <c r="M647" s="674">
        <v>5096312.51</v>
      </c>
      <c r="N647" s="674">
        <v>5782423.8700000001</v>
      </c>
      <c r="O647" s="674">
        <v>4516556.3499999996</v>
      </c>
      <c r="P647" s="674">
        <v>1282667.2</v>
      </c>
      <c r="Q647" s="674">
        <v>-2415264.3199999998</v>
      </c>
      <c r="R647" s="674">
        <v>-3501522.79</v>
      </c>
      <c r="S647" s="551">
        <f t="shared" si="124"/>
        <v>2176580.2537499997</v>
      </c>
      <c r="T647" s="677"/>
      <c r="U647" s="716"/>
      <c r="V647" s="755"/>
      <c r="W647" s="755">
        <f t="shared" si="166"/>
        <v>2176580.2537499997</v>
      </c>
      <c r="X647" s="778"/>
      <c r="Y647" s="755"/>
      <c r="Z647" s="755"/>
      <c r="AA647" s="716"/>
      <c r="AB647" s="755"/>
      <c r="AC647" s="718">
        <f t="shared" si="167"/>
        <v>2176580.2537499997</v>
      </c>
      <c r="AD647" s="717"/>
      <c r="AE647" s="717"/>
      <c r="AF647" s="753">
        <f t="shared" si="158"/>
        <v>0</v>
      </c>
    </row>
    <row r="648" spans="1:32">
      <c r="A648" s="677">
        <v>638</v>
      </c>
      <c r="B648" s="379" t="s">
        <v>984</v>
      </c>
      <c r="C648" s="379" t="s">
        <v>645</v>
      </c>
      <c r="D648" s="379" t="s">
        <v>1261</v>
      </c>
      <c r="E648" s="662" t="s">
        <v>1816</v>
      </c>
      <c r="F648" s="674">
        <v>237.33</v>
      </c>
      <c r="G648" s="674">
        <v>45.73</v>
      </c>
      <c r="H648" s="674">
        <v>50.18</v>
      </c>
      <c r="I648" s="674">
        <v>50.18</v>
      </c>
      <c r="J648" s="674">
        <v>-40.89</v>
      </c>
      <c r="K648" s="674">
        <v>-57.24</v>
      </c>
      <c r="L648" s="674">
        <v>50.18</v>
      </c>
      <c r="M648" s="674">
        <v>-65.78</v>
      </c>
      <c r="N648" s="674">
        <v>50.18</v>
      </c>
      <c r="O648" s="674">
        <v>-242.21</v>
      </c>
      <c r="P648" s="674">
        <v>-175.34</v>
      </c>
      <c r="Q648" s="674">
        <v>-322.68</v>
      </c>
      <c r="R648" s="674">
        <v>-148.01</v>
      </c>
      <c r="S648" s="551">
        <f t="shared" si="124"/>
        <v>-51.085833333333341</v>
      </c>
      <c r="T648" s="677"/>
      <c r="U648" s="716"/>
      <c r="V648" s="755"/>
      <c r="W648" s="755">
        <f t="shared" si="166"/>
        <v>-51.085833333333341</v>
      </c>
      <c r="X648" s="778"/>
      <c r="Y648" s="755"/>
      <c r="Z648" s="755"/>
      <c r="AA648" s="716"/>
      <c r="AB648" s="755"/>
      <c r="AC648" s="718">
        <f t="shared" si="167"/>
        <v>-51.085833333333341</v>
      </c>
      <c r="AD648" s="717"/>
      <c r="AE648" s="717"/>
      <c r="AF648" s="753">
        <f t="shared" si="158"/>
        <v>0</v>
      </c>
    </row>
    <row r="649" spans="1:32">
      <c r="A649" s="677">
        <v>639</v>
      </c>
      <c r="B649" s="379" t="s">
        <v>984</v>
      </c>
      <c r="C649" s="379" t="s">
        <v>645</v>
      </c>
      <c r="D649" s="379" t="s">
        <v>1259</v>
      </c>
      <c r="E649" s="662" t="s">
        <v>1793</v>
      </c>
      <c r="F649" s="674">
        <v>13073.21</v>
      </c>
      <c r="G649" s="674">
        <v>810.06</v>
      </c>
      <c r="H649" s="674">
        <v>-4698.57</v>
      </c>
      <c r="I649" s="674">
        <v>6377.51</v>
      </c>
      <c r="J649" s="674">
        <v>19799.46</v>
      </c>
      <c r="K649" s="674">
        <v>47956.29</v>
      </c>
      <c r="L649" s="674">
        <v>65917.63</v>
      </c>
      <c r="M649" s="674">
        <v>59345.55</v>
      </c>
      <c r="N649" s="674">
        <v>75562.240000000005</v>
      </c>
      <c r="O649" s="674">
        <v>65454.82</v>
      </c>
      <c r="P649" s="674">
        <v>-5508.2399999999898</v>
      </c>
      <c r="Q649" s="674">
        <v>-18245.77</v>
      </c>
      <c r="R649" s="674">
        <v>-33675.279999999999</v>
      </c>
      <c r="S649" s="551">
        <f t="shared" si="124"/>
        <v>25205.828750000001</v>
      </c>
      <c r="T649" s="677"/>
      <c r="U649" s="716"/>
      <c r="V649" s="755"/>
      <c r="W649" s="755">
        <f t="shared" si="166"/>
        <v>25205.828750000001</v>
      </c>
      <c r="X649" s="778"/>
      <c r="Y649" s="755"/>
      <c r="Z649" s="755"/>
      <c r="AA649" s="716"/>
      <c r="AB649" s="755"/>
      <c r="AC649" s="718">
        <f t="shared" si="167"/>
        <v>25205.828750000001</v>
      </c>
      <c r="AD649" s="717"/>
      <c r="AE649" s="717"/>
      <c r="AF649" s="753">
        <f t="shared" si="158"/>
        <v>0</v>
      </c>
    </row>
    <row r="650" spans="1:32">
      <c r="A650" s="677">
        <v>640</v>
      </c>
      <c r="B650" s="379" t="s">
        <v>984</v>
      </c>
      <c r="C650" s="379" t="s">
        <v>645</v>
      </c>
      <c r="D650" s="379" t="s">
        <v>1449</v>
      </c>
      <c r="E650" s="662" t="s">
        <v>1967</v>
      </c>
      <c r="F650" s="674">
        <v>0</v>
      </c>
      <c r="G650" s="674">
        <v>0</v>
      </c>
      <c r="H650" s="674">
        <v>-90871.42</v>
      </c>
      <c r="I650" s="674">
        <v>69660.240000000005</v>
      </c>
      <c r="J650" s="674">
        <v>209531.44</v>
      </c>
      <c r="K650" s="674">
        <v>272514.12</v>
      </c>
      <c r="L650" s="674">
        <v>302651.90000000002</v>
      </c>
      <c r="M650" s="674">
        <v>306039.25</v>
      </c>
      <c r="N650" s="674">
        <v>331263.64</v>
      </c>
      <c r="O650" s="674">
        <v>289233.96000000002</v>
      </c>
      <c r="P650" s="674">
        <v>164936.84</v>
      </c>
      <c r="Q650" s="674">
        <v>66133.98</v>
      </c>
      <c r="R650" s="674">
        <v>12218.77</v>
      </c>
      <c r="S650" s="551">
        <f t="shared" si="124"/>
        <v>160600.27791666667</v>
      </c>
      <c r="T650" s="677"/>
      <c r="U650" s="716"/>
      <c r="V650" s="755"/>
      <c r="W650" s="755">
        <f t="shared" si="166"/>
        <v>160600.27791666667</v>
      </c>
      <c r="X650" s="778"/>
      <c r="Y650" s="755"/>
      <c r="Z650" s="755"/>
      <c r="AA650" s="716"/>
      <c r="AB650" s="755"/>
      <c r="AC650" s="718">
        <f t="shared" si="167"/>
        <v>160600.27791666667</v>
      </c>
      <c r="AD650" s="717"/>
      <c r="AE650" s="717"/>
      <c r="AF650" s="753"/>
    </row>
    <row r="651" spans="1:32">
      <c r="A651" s="677">
        <v>641</v>
      </c>
      <c r="B651" s="379" t="s">
        <v>984</v>
      </c>
      <c r="C651" s="379" t="s">
        <v>645</v>
      </c>
      <c r="D651" s="379" t="s">
        <v>1451</v>
      </c>
      <c r="E651" s="662" t="s">
        <v>1968</v>
      </c>
      <c r="F651" s="674">
        <v>0</v>
      </c>
      <c r="G651" s="674">
        <v>1085.6300000000001</v>
      </c>
      <c r="H651" s="674">
        <v>-64218.29</v>
      </c>
      <c r="I651" s="674">
        <v>42371.89</v>
      </c>
      <c r="J651" s="674">
        <v>145269.76000000001</v>
      </c>
      <c r="K651" s="674">
        <v>198404.65</v>
      </c>
      <c r="L651" s="674">
        <v>214108.72</v>
      </c>
      <c r="M651" s="674">
        <v>211886.52</v>
      </c>
      <c r="N651" s="674">
        <v>236651.49</v>
      </c>
      <c r="O651" s="674">
        <v>190966.21</v>
      </c>
      <c r="P651" s="674">
        <v>100995.93</v>
      </c>
      <c r="Q651" s="674">
        <v>9639.0699999999597</v>
      </c>
      <c r="R651" s="674">
        <v>-20097.54</v>
      </c>
      <c r="S651" s="551">
        <f t="shared" si="124"/>
        <v>106426.0675</v>
      </c>
      <c r="T651" s="677"/>
      <c r="U651" s="716"/>
      <c r="V651" s="755"/>
      <c r="W651" s="755">
        <f t="shared" si="166"/>
        <v>106426.0675</v>
      </c>
      <c r="X651" s="778"/>
      <c r="Y651" s="755"/>
      <c r="Z651" s="755"/>
      <c r="AA651" s="716"/>
      <c r="AB651" s="755"/>
      <c r="AC651" s="718">
        <f t="shared" si="167"/>
        <v>106426.0675</v>
      </c>
      <c r="AD651" s="717"/>
      <c r="AE651" s="717"/>
      <c r="AF651" s="753"/>
    </row>
    <row r="652" spans="1:32">
      <c r="A652" s="677">
        <v>642</v>
      </c>
      <c r="B652" s="379" t="s">
        <v>1009</v>
      </c>
      <c r="C652" s="379" t="s">
        <v>646</v>
      </c>
      <c r="D652" s="379" t="s">
        <v>1265</v>
      </c>
      <c r="E652" s="662" t="s">
        <v>1794</v>
      </c>
      <c r="F652" s="674">
        <v>-140982.17000000001</v>
      </c>
      <c r="G652" s="674">
        <v>-12256.15</v>
      </c>
      <c r="H652" s="674">
        <v>-26549.47</v>
      </c>
      <c r="I652" s="674">
        <v>-44603.13</v>
      </c>
      <c r="J652" s="674">
        <v>-66606.009999999995</v>
      </c>
      <c r="K652" s="674">
        <v>-86272.63</v>
      </c>
      <c r="L652" s="674">
        <v>-100734.47</v>
      </c>
      <c r="M652" s="674">
        <v>-110497.17</v>
      </c>
      <c r="N652" s="674">
        <v>-119149.39</v>
      </c>
      <c r="O652" s="674">
        <v>-127065.43</v>
      </c>
      <c r="P652" s="674">
        <v>-137027.87</v>
      </c>
      <c r="Q652" s="674">
        <v>-145581.19</v>
      </c>
      <c r="R652" s="674">
        <v>-159699.38</v>
      </c>
      <c r="S652" s="551">
        <f t="shared" si="124"/>
        <v>-93890.307083333333</v>
      </c>
      <c r="T652" s="677"/>
      <c r="U652" s="716"/>
      <c r="V652" s="755"/>
      <c r="W652" s="755">
        <f t="shared" si="166"/>
        <v>-93890.307083333333</v>
      </c>
      <c r="X652" s="778"/>
      <c r="Y652" s="755"/>
      <c r="Z652" s="755"/>
      <c r="AA652" s="716"/>
      <c r="AB652" s="755"/>
      <c r="AC652" s="718">
        <f t="shared" si="167"/>
        <v>-93890.307083333333</v>
      </c>
      <c r="AD652" s="717"/>
      <c r="AE652" s="717"/>
      <c r="AF652" s="753">
        <f t="shared" si="158"/>
        <v>0</v>
      </c>
    </row>
    <row r="653" spans="1:32">
      <c r="A653" s="677">
        <v>643</v>
      </c>
      <c r="B653" s="677" t="s">
        <v>1009</v>
      </c>
      <c r="C653" s="379" t="s">
        <v>646</v>
      </c>
      <c r="D653" s="379" t="s">
        <v>1266</v>
      </c>
      <c r="E653" s="662" t="s">
        <v>1795</v>
      </c>
      <c r="F653" s="674">
        <v>-5487.69</v>
      </c>
      <c r="G653" s="674">
        <v>0</v>
      </c>
      <c r="H653" s="674">
        <v>0</v>
      </c>
      <c r="I653" s="674">
        <v>0</v>
      </c>
      <c r="J653" s="674">
        <v>0</v>
      </c>
      <c r="K653" s="674">
        <v>0</v>
      </c>
      <c r="L653" s="674">
        <v>3080</v>
      </c>
      <c r="M653" s="674">
        <v>2286.1</v>
      </c>
      <c r="N653" s="674">
        <v>-456.34</v>
      </c>
      <c r="O653" s="674">
        <v>-3649.39</v>
      </c>
      <c r="P653" s="674">
        <v>-3649.39</v>
      </c>
      <c r="Q653" s="674">
        <v>-4734.2</v>
      </c>
      <c r="R653" s="674">
        <v>-10284.31</v>
      </c>
      <c r="S653" s="551">
        <f t="shared" si="124"/>
        <v>-1250.7683333333332</v>
      </c>
      <c r="T653" s="677"/>
      <c r="U653" s="716"/>
      <c r="V653" s="755"/>
      <c r="W653" s="755">
        <f t="shared" si="166"/>
        <v>-1250.7683333333332</v>
      </c>
      <c r="X653" s="778"/>
      <c r="Y653" s="755"/>
      <c r="Z653" s="755"/>
      <c r="AA653" s="716"/>
      <c r="AB653" s="755"/>
      <c r="AC653" s="718">
        <f t="shared" si="167"/>
        <v>-1250.7683333333332</v>
      </c>
      <c r="AD653" s="717"/>
      <c r="AE653" s="717"/>
      <c r="AF653" s="753">
        <f t="shared" si="158"/>
        <v>0</v>
      </c>
    </row>
    <row r="654" spans="1:32">
      <c r="A654" s="677">
        <v>644</v>
      </c>
      <c r="B654" s="677" t="s">
        <v>984</v>
      </c>
      <c r="C654" s="379" t="s">
        <v>646</v>
      </c>
      <c r="D654" s="379" t="s">
        <v>1271</v>
      </c>
      <c r="E654" s="662" t="s">
        <v>1817</v>
      </c>
      <c r="F654" s="674">
        <v>-11067.2</v>
      </c>
      <c r="G654" s="674">
        <v>0</v>
      </c>
      <c r="H654" s="674">
        <v>2041.34</v>
      </c>
      <c r="I654" s="674">
        <v>2041.34</v>
      </c>
      <c r="J654" s="674">
        <v>2041.34</v>
      </c>
      <c r="K654" s="674">
        <v>2041.34</v>
      </c>
      <c r="L654" s="674">
        <v>2041.34</v>
      </c>
      <c r="M654" s="674">
        <v>1388.54</v>
      </c>
      <c r="N654" s="674">
        <v>-1338.06</v>
      </c>
      <c r="O654" s="674">
        <v>-1338.06</v>
      </c>
      <c r="P654" s="674">
        <v>-5098.68</v>
      </c>
      <c r="Q654" s="674">
        <v>-5098.68</v>
      </c>
      <c r="R654" s="674">
        <v>-6738.68</v>
      </c>
      <c r="S654" s="551">
        <f t="shared" si="124"/>
        <v>-848.43166666666684</v>
      </c>
      <c r="T654" s="677"/>
      <c r="U654" s="716"/>
      <c r="V654" s="755"/>
      <c r="W654" s="755">
        <f t="shared" si="166"/>
        <v>-848.43166666666684</v>
      </c>
      <c r="X654" s="778"/>
      <c r="Y654" s="755"/>
      <c r="Z654" s="755"/>
      <c r="AA654" s="716"/>
      <c r="AB654" s="755"/>
      <c r="AC654" s="718">
        <f t="shared" si="167"/>
        <v>-848.43166666666684</v>
      </c>
      <c r="AD654" s="717"/>
      <c r="AE654" s="717"/>
      <c r="AF654" s="753">
        <f t="shared" si="158"/>
        <v>0</v>
      </c>
    </row>
    <row r="655" spans="1:32">
      <c r="A655" s="677">
        <v>645</v>
      </c>
      <c r="B655" s="379" t="s">
        <v>984</v>
      </c>
      <c r="C655" s="379" t="s">
        <v>646</v>
      </c>
      <c r="D655" s="379" t="s">
        <v>1267</v>
      </c>
      <c r="E655" s="662" t="s">
        <v>1818</v>
      </c>
      <c r="F655" s="674">
        <v>-658.89</v>
      </c>
      <c r="G655" s="674">
        <v>0</v>
      </c>
      <c r="H655" s="674">
        <v>0</v>
      </c>
      <c r="I655" s="674">
        <v>0</v>
      </c>
      <c r="J655" s="674">
        <v>0</v>
      </c>
      <c r="K655" s="674">
        <v>0</v>
      </c>
      <c r="L655" s="674">
        <v>0</v>
      </c>
      <c r="M655" s="674">
        <v>0</v>
      </c>
      <c r="N655" s="674">
        <v>0</v>
      </c>
      <c r="O655" s="674">
        <v>0</v>
      </c>
      <c r="P655" s="674">
        <v>0</v>
      </c>
      <c r="Q655" s="674">
        <v>0</v>
      </c>
      <c r="R655" s="674">
        <v>0</v>
      </c>
      <c r="S655" s="551">
        <f t="shared" si="124"/>
        <v>-27.453749999999999</v>
      </c>
      <c r="T655" s="677"/>
      <c r="U655" s="716"/>
      <c r="V655" s="755"/>
      <c r="W655" s="755">
        <f t="shared" si="166"/>
        <v>-27.453749999999999</v>
      </c>
      <c r="X655" s="778"/>
      <c r="Y655" s="755"/>
      <c r="Z655" s="755"/>
      <c r="AA655" s="716"/>
      <c r="AB655" s="755"/>
      <c r="AC655" s="718">
        <f t="shared" si="167"/>
        <v>-27.453749999999999</v>
      </c>
      <c r="AD655" s="717"/>
      <c r="AE655" s="717"/>
      <c r="AF655" s="753">
        <f t="shared" si="158"/>
        <v>0</v>
      </c>
    </row>
    <row r="656" spans="1:32">
      <c r="A656" s="677">
        <v>646</v>
      </c>
      <c r="B656" s="379" t="s">
        <v>984</v>
      </c>
      <c r="C656" s="379" t="s">
        <v>646</v>
      </c>
      <c r="D656" s="379" t="s">
        <v>1265</v>
      </c>
      <c r="E656" s="662" t="s">
        <v>1794</v>
      </c>
      <c r="F656" s="674">
        <v>-686266.72</v>
      </c>
      <c r="G656" s="674">
        <v>-66421.89</v>
      </c>
      <c r="H656" s="674">
        <v>-129116</v>
      </c>
      <c r="I656" s="674">
        <v>-199295.82</v>
      </c>
      <c r="J656" s="674">
        <v>-259174.85</v>
      </c>
      <c r="K656" s="674">
        <v>-305446.2</v>
      </c>
      <c r="L656" s="674">
        <v>-343104.03</v>
      </c>
      <c r="M656" s="674">
        <v>-371966.42</v>
      </c>
      <c r="N656" s="674">
        <v>-398405.15</v>
      </c>
      <c r="O656" s="674">
        <v>-421188.39</v>
      </c>
      <c r="P656" s="674">
        <v>-453639.51</v>
      </c>
      <c r="Q656" s="674">
        <v>-482862.39</v>
      </c>
      <c r="R656" s="674">
        <v>-521426.68</v>
      </c>
      <c r="S656" s="551">
        <f t="shared" si="124"/>
        <v>-336205.61249999999</v>
      </c>
      <c r="T656" s="677"/>
      <c r="U656" s="716"/>
      <c r="V656" s="755"/>
      <c r="W656" s="755">
        <f t="shared" si="166"/>
        <v>-336205.61249999999</v>
      </c>
      <c r="X656" s="778"/>
      <c r="Y656" s="755"/>
      <c r="Z656" s="755"/>
      <c r="AA656" s="716"/>
      <c r="AB656" s="755"/>
      <c r="AC656" s="718">
        <f t="shared" si="167"/>
        <v>-336205.61249999999</v>
      </c>
      <c r="AD656" s="717"/>
      <c r="AE656" s="717"/>
      <c r="AF656" s="753">
        <f t="shared" si="158"/>
        <v>0</v>
      </c>
    </row>
    <row r="657" spans="1:32">
      <c r="A657" s="677">
        <v>647</v>
      </c>
      <c r="B657" s="379" t="s">
        <v>984</v>
      </c>
      <c r="C657" s="379" t="s">
        <v>646</v>
      </c>
      <c r="D657" s="379" t="s">
        <v>1266</v>
      </c>
      <c r="E657" s="662" t="s">
        <v>1819</v>
      </c>
      <c r="F657" s="674">
        <v>-80723.89</v>
      </c>
      <c r="G657" s="674">
        <v>0</v>
      </c>
      <c r="H657" s="674">
        <v>46008.06</v>
      </c>
      <c r="I657" s="674">
        <v>46228.06</v>
      </c>
      <c r="J657" s="674">
        <v>37914.300000000003</v>
      </c>
      <c r="K657" s="674">
        <v>37914.300000000003</v>
      </c>
      <c r="L657" s="674">
        <v>35449.1</v>
      </c>
      <c r="M657" s="674">
        <v>31109.47</v>
      </c>
      <c r="N657" s="674">
        <v>26315.14</v>
      </c>
      <c r="O657" s="674">
        <v>19593.03</v>
      </c>
      <c r="P657" s="674">
        <v>18050.29</v>
      </c>
      <c r="Q657" s="674">
        <v>5211.08</v>
      </c>
      <c r="R657" s="674">
        <v>495.599999999999</v>
      </c>
      <c r="S657" s="551">
        <f t="shared" si="124"/>
        <v>21973.223749999994</v>
      </c>
      <c r="T657" s="677"/>
      <c r="U657" s="716"/>
      <c r="V657" s="755"/>
      <c r="W657" s="755">
        <f t="shared" si="166"/>
        <v>21973.223749999994</v>
      </c>
      <c r="X657" s="778"/>
      <c r="Y657" s="755"/>
      <c r="Z657" s="755"/>
      <c r="AA657" s="716"/>
      <c r="AB657" s="755"/>
      <c r="AC657" s="718">
        <f t="shared" si="167"/>
        <v>21973.223749999994</v>
      </c>
      <c r="AD657" s="717"/>
      <c r="AE657" s="717"/>
      <c r="AF657" s="753">
        <f t="shared" ref="AF657:AF697" si="168">+U657+V657-AD657</f>
        <v>0</v>
      </c>
    </row>
    <row r="658" spans="1:32">
      <c r="A658" s="677">
        <v>648</v>
      </c>
      <c r="B658" s="677" t="s">
        <v>1009</v>
      </c>
      <c r="C658" s="379" t="s">
        <v>136</v>
      </c>
      <c r="D658" s="379" t="s">
        <v>1268</v>
      </c>
      <c r="E658" s="662" t="s">
        <v>1796</v>
      </c>
      <c r="F658" s="674">
        <v>-2711571.86</v>
      </c>
      <c r="G658" s="674">
        <v>-215774.49</v>
      </c>
      <c r="H658" s="674">
        <v>-452141.57</v>
      </c>
      <c r="I658" s="674">
        <v>-671307.46</v>
      </c>
      <c r="J658" s="674">
        <v>-910733.06</v>
      </c>
      <c r="K658" s="674">
        <v>-1144418.47</v>
      </c>
      <c r="L658" s="674">
        <v>-1403989.25</v>
      </c>
      <c r="M658" s="674">
        <v>-1659926.97</v>
      </c>
      <c r="N658" s="674">
        <v>-1907514.43</v>
      </c>
      <c r="O658" s="674">
        <v>-2158251.5699999998</v>
      </c>
      <c r="P658" s="674">
        <v>-2420963.89</v>
      </c>
      <c r="Q658" s="674">
        <v>-2698038.52</v>
      </c>
      <c r="R658" s="674">
        <v>-2947273.72</v>
      </c>
      <c r="S658" s="551">
        <f t="shared" si="124"/>
        <v>-1539373.5391666666</v>
      </c>
      <c r="T658" s="677"/>
      <c r="U658" s="716"/>
      <c r="V658" s="755"/>
      <c r="W658" s="755">
        <f t="shared" si="166"/>
        <v>-1539373.5391666666</v>
      </c>
      <c r="X658" s="778"/>
      <c r="Y658" s="755"/>
      <c r="Z658" s="755"/>
      <c r="AA658" s="716"/>
      <c r="AB658" s="755"/>
      <c r="AC658" s="718">
        <f t="shared" si="167"/>
        <v>-1539373.5391666666</v>
      </c>
      <c r="AD658" s="717"/>
      <c r="AE658" s="717"/>
      <c r="AF658" s="753">
        <f t="shared" si="168"/>
        <v>0</v>
      </c>
    </row>
    <row r="659" spans="1:32">
      <c r="A659" s="677">
        <v>649</v>
      </c>
      <c r="B659" s="379" t="s">
        <v>1009</v>
      </c>
      <c r="C659" s="379" t="s">
        <v>136</v>
      </c>
      <c r="D659" s="379" t="s">
        <v>1269</v>
      </c>
      <c r="E659" s="662" t="s">
        <v>1797</v>
      </c>
      <c r="F659" s="674">
        <v>-1423332.79</v>
      </c>
      <c r="G659" s="674">
        <v>-131375.94</v>
      </c>
      <c r="H659" s="674">
        <v>-253228.69</v>
      </c>
      <c r="I659" s="674">
        <v>-380246.18</v>
      </c>
      <c r="J659" s="674">
        <v>-499898.83</v>
      </c>
      <c r="K659" s="674">
        <v>-605392.73</v>
      </c>
      <c r="L659" s="674">
        <v>-706020.67</v>
      </c>
      <c r="M659" s="674">
        <v>-815772.71</v>
      </c>
      <c r="N659" s="674">
        <v>-943469.65</v>
      </c>
      <c r="O659" s="674">
        <v>-1071780.99</v>
      </c>
      <c r="P659" s="674">
        <v>-1197426.67</v>
      </c>
      <c r="Q659" s="674">
        <v>-1326083.8</v>
      </c>
      <c r="R659" s="674">
        <v>-1453712.59</v>
      </c>
      <c r="S659" s="551">
        <f t="shared" si="124"/>
        <v>-780768.2958333334</v>
      </c>
      <c r="T659" s="677"/>
      <c r="U659" s="716"/>
      <c r="V659" s="755"/>
      <c r="W659" s="755">
        <f t="shared" si="166"/>
        <v>-780768.2958333334</v>
      </c>
      <c r="X659" s="778"/>
      <c r="Y659" s="755"/>
      <c r="Z659" s="755"/>
      <c r="AA659" s="716"/>
      <c r="AB659" s="755"/>
      <c r="AC659" s="718">
        <f t="shared" si="167"/>
        <v>-780768.2958333334</v>
      </c>
      <c r="AD659" s="717"/>
      <c r="AE659" s="717"/>
      <c r="AF659" s="753">
        <f t="shared" si="168"/>
        <v>0</v>
      </c>
    </row>
    <row r="660" spans="1:32">
      <c r="A660" s="677">
        <v>650</v>
      </c>
      <c r="B660" s="379" t="s">
        <v>984</v>
      </c>
      <c r="C660" s="379" t="s">
        <v>136</v>
      </c>
      <c r="D660" s="379" t="s">
        <v>1268</v>
      </c>
      <c r="E660" s="662" t="s">
        <v>1796</v>
      </c>
      <c r="F660" s="674">
        <v>-15401260.67</v>
      </c>
      <c r="G660" s="674">
        <v>-1278826.8999999999</v>
      </c>
      <c r="H660" s="674">
        <v>-2638578.7200000002</v>
      </c>
      <c r="I660" s="674">
        <v>-3976110.09</v>
      </c>
      <c r="J660" s="674">
        <v>-5294653.7300000004</v>
      </c>
      <c r="K660" s="674">
        <v>-6560503.7400000002</v>
      </c>
      <c r="L660" s="674">
        <v>-7808074.6100000003</v>
      </c>
      <c r="M660" s="674">
        <v>-9039951.9299999997</v>
      </c>
      <c r="N660" s="674">
        <v>-10249959.119999999</v>
      </c>
      <c r="O660" s="674">
        <v>-11486160.49</v>
      </c>
      <c r="P660" s="674">
        <v>-12814088.75</v>
      </c>
      <c r="Q660" s="674">
        <v>-14180347.17</v>
      </c>
      <c r="R660" s="674">
        <v>-15481019.82</v>
      </c>
      <c r="S660" s="551">
        <f t="shared" si="124"/>
        <v>-8397366.2912499998</v>
      </c>
      <c r="T660" s="677"/>
      <c r="U660" s="716"/>
      <c r="V660" s="755"/>
      <c r="W660" s="755">
        <f t="shared" si="166"/>
        <v>-8397366.2912499998</v>
      </c>
      <c r="X660" s="778"/>
      <c r="Y660" s="755"/>
      <c r="Z660" s="755"/>
      <c r="AA660" s="716"/>
      <c r="AB660" s="755"/>
      <c r="AC660" s="718">
        <f t="shared" si="167"/>
        <v>-8397366.2912499998</v>
      </c>
      <c r="AD660" s="717"/>
      <c r="AE660" s="717"/>
      <c r="AF660" s="753">
        <f t="shared" si="168"/>
        <v>0</v>
      </c>
    </row>
    <row r="661" spans="1:32">
      <c r="A661" s="677">
        <v>651</v>
      </c>
      <c r="B661" s="677" t="s">
        <v>984</v>
      </c>
      <c r="C661" s="379" t="s">
        <v>136</v>
      </c>
      <c r="D661" s="379" t="s">
        <v>1269</v>
      </c>
      <c r="E661" s="662" t="s">
        <v>1797</v>
      </c>
      <c r="F661" s="674">
        <v>-7759181.6299999999</v>
      </c>
      <c r="G661" s="674">
        <v>-673031.52</v>
      </c>
      <c r="H661" s="674">
        <v>-1339174.8500000001</v>
      </c>
      <c r="I661" s="674">
        <v>-2009186.07</v>
      </c>
      <c r="J661" s="674">
        <v>-2666870.58</v>
      </c>
      <c r="K661" s="674">
        <v>-3285795.58</v>
      </c>
      <c r="L661" s="674">
        <v>-3836276.72</v>
      </c>
      <c r="M661" s="674">
        <v>-4442681.8899999997</v>
      </c>
      <c r="N661" s="674">
        <v>-5299607.18</v>
      </c>
      <c r="O661" s="674">
        <v>-6212927.3399999999</v>
      </c>
      <c r="P661" s="674">
        <v>-7050671.2999999998</v>
      </c>
      <c r="Q661" s="674">
        <v>-7703424.7199999997</v>
      </c>
      <c r="R661" s="674">
        <v>-8374092.2400000002</v>
      </c>
      <c r="S661" s="551">
        <f t="shared" si="124"/>
        <v>-4382190.3904166669</v>
      </c>
      <c r="T661" s="677"/>
      <c r="U661" s="716"/>
      <c r="V661" s="755"/>
      <c r="W661" s="755">
        <f t="shared" si="166"/>
        <v>-4382190.3904166669</v>
      </c>
      <c r="X661" s="778"/>
      <c r="Y661" s="755"/>
      <c r="Z661" s="755"/>
      <c r="AA661" s="716"/>
      <c r="AB661" s="755"/>
      <c r="AC661" s="718">
        <f t="shared" si="167"/>
        <v>-4382190.3904166669</v>
      </c>
      <c r="AD661" s="717"/>
      <c r="AE661" s="717"/>
      <c r="AF661" s="753">
        <f t="shared" si="168"/>
        <v>0</v>
      </c>
    </row>
    <row r="662" spans="1:32">
      <c r="A662" s="677">
        <v>652</v>
      </c>
      <c r="B662" s="677" t="s">
        <v>984</v>
      </c>
      <c r="C662" s="379" t="s">
        <v>647</v>
      </c>
      <c r="D662" s="379" t="s">
        <v>1268</v>
      </c>
      <c r="E662" s="662" t="s">
        <v>1798</v>
      </c>
      <c r="F662" s="674">
        <v>110797.96</v>
      </c>
      <c r="G662" s="674">
        <v>-80907.600000000006</v>
      </c>
      <c r="H662" s="674">
        <v>-56293.74</v>
      </c>
      <c r="I662" s="674">
        <v>-40593.620000000003</v>
      </c>
      <c r="J662" s="674">
        <v>12962.06</v>
      </c>
      <c r="K662" s="674">
        <v>32621.7</v>
      </c>
      <c r="L662" s="674">
        <v>46926.77</v>
      </c>
      <c r="M662" s="674">
        <v>72798.12</v>
      </c>
      <c r="N662" s="674">
        <v>46553.53</v>
      </c>
      <c r="O662" s="674">
        <v>6715.47</v>
      </c>
      <c r="P662" s="674">
        <v>-87381.58</v>
      </c>
      <c r="Q662" s="674">
        <v>-19460.04</v>
      </c>
      <c r="R662" s="674">
        <v>-61336.62</v>
      </c>
      <c r="S662" s="551">
        <f t="shared" si="124"/>
        <v>-3444.0216666666661</v>
      </c>
      <c r="T662" s="677"/>
      <c r="U662" s="716"/>
      <c r="V662" s="755"/>
      <c r="W662" s="755">
        <f t="shared" si="166"/>
        <v>-3444.0216666666661</v>
      </c>
      <c r="X662" s="778"/>
      <c r="Y662" s="755"/>
      <c r="Z662" s="755"/>
      <c r="AA662" s="716"/>
      <c r="AB662" s="755"/>
      <c r="AC662" s="718">
        <f t="shared" si="167"/>
        <v>-3444.0216666666661</v>
      </c>
      <c r="AD662" s="717"/>
      <c r="AE662" s="717"/>
      <c r="AF662" s="753"/>
    </row>
    <row r="663" spans="1:32">
      <c r="A663" s="677">
        <v>653</v>
      </c>
      <c r="B663" s="677" t="s">
        <v>984</v>
      </c>
      <c r="C663" s="379" t="s">
        <v>647</v>
      </c>
      <c r="D663" s="379" t="s">
        <v>1269</v>
      </c>
      <c r="E663" s="662" t="s">
        <v>1799</v>
      </c>
      <c r="F663" s="674">
        <v>43315.199999999997</v>
      </c>
      <c r="G663" s="674">
        <v>6890.68</v>
      </c>
      <c r="H663" s="674">
        <v>2966.25</v>
      </c>
      <c r="I663" s="674">
        <v>15287.16</v>
      </c>
      <c r="J663" s="674">
        <v>54019.31</v>
      </c>
      <c r="K663" s="674">
        <v>122421.04</v>
      </c>
      <c r="L663" s="674">
        <v>66594.59</v>
      </c>
      <c r="M663" s="674">
        <v>-183745.92000000001</v>
      </c>
      <c r="N663" s="674">
        <v>-240064.83</v>
      </c>
      <c r="O663" s="674">
        <v>-164574.29999999999</v>
      </c>
      <c r="P663" s="674">
        <v>20215.52</v>
      </c>
      <c r="Q663" s="674">
        <v>2363.7599999999902</v>
      </c>
      <c r="R663" s="674">
        <v>-178179.26</v>
      </c>
      <c r="S663" s="551">
        <f t="shared" si="124"/>
        <v>-30421.56416666666</v>
      </c>
      <c r="T663" s="677"/>
      <c r="U663" s="716"/>
      <c r="V663" s="755"/>
      <c r="W663" s="755">
        <f t="shared" si="166"/>
        <v>-30421.56416666666</v>
      </c>
      <c r="X663" s="778"/>
      <c r="Y663" s="755"/>
      <c r="Z663" s="755"/>
      <c r="AA663" s="716"/>
      <c r="AB663" s="755"/>
      <c r="AC663" s="718">
        <f t="shared" si="167"/>
        <v>-30421.56416666666</v>
      </c>
      <c r="AD663" s="717"/>
      <c r="AE663" s="717"/>
      <c r="AF663" s="753"/>
    </row>
    <row r="664" spans="1:32">
      <c r="A664" s="677">
        <v>654</v>
      </c>
      <c r="B664" s="379" t="s">
        <v>1009</v>
      </c>
      <c r="C664" s="379" t="s">
        <v>647</v>
      </c>
      <c r="D664" s="677" t="s">
        <v>1268</v>
      </c>
      <c r="E664" s="662" t="s">
        <v>1798</v>
      </c>
      <c r="F664" s="674">
        <v>14614.39</v>
      </c>
      <c r="G664" s="674">
        <v>-20425.59</v>
      </c>
      <c r="H664" s="674">
        <v>-3444.68</v>
      </c>
      <c r="I664" s="674">
        <v>-22974.99</v>
      </c>
      <c r="J664" s="674">
        <v>-17437.82</v>
      </c>
      <c r="K664" s="674">
        <v>-43341.43</v>
      </c>
      <c r="L664" s="674">
        <v>-39704.26</v>
      </c>
      <c r="M664" s="674">
        <v>-31335.63</v>
      </c>
      <c r="N664" s="674">
        <v>-34483.31</v>
      </c>
      <c r="O664" s="674">
        <v>-46595.040000000001</v>
      </c>
      <c r="P664" s="674">
        <v>-63727.839999999997</v>
      </c>
      <c r="Q664" s="674">
        <v>-35938.35</v>
      </c>
      <c r="R664" s="674">
        <v>-31143.1</v>
      </c>
      <c r="S664" s="551">
        <f t="shared" si="124"/>
        <v>-30639.44125</v>
      </c>
      <c r="T664" s="677"/>
      <c r="U664" s="716"/>
      <c r="V664" s="755"/>
      <c r="W664" s="755">
        <f t="shared" si="166"/>
        <v>-30639.44125</v>
      </c>
      <c r="X664" s="778"/>
      <c r="Y664" s="755"/>
      <c r="Z664" s="755"/>
      <c r="AA664" s="716"/>
      <c r="AB664" s="755"/>
      <c r="AC664" s="718">
        <f t="shared" si="167"/>
        <v>-30639.44125</v>
      </c>
      <c r="AD664" s="717"/>
      <c r="AE664" s="717"/>
      <c r="AF664" s="753">
        <f t="shared" si="168"/>
        <v>0</v>
      </c>
    </row>
    <row r="665" spans="1:32">
      <c r="A665" s="677">
        <v>655</v>
      </c>
      <c r="B665" s="589" t="s">
        <v>1009</v>
      </c>
      <c r="C665" s="379" t="s">
        <v>647</v>
      </c>
      <c r="D665" s="677" t="s">
        <v>1269</v>
      </c>
      <c r="E665" s="668" t="s">
        <v>1799</v>
      </c>
      <c r="F665" s="674">
        <v>-5388.73</v>
      </c>
      <c r="G665" s="674">
        <v>9523.19</v>
      </c>
      <c r="H665" s="674">
        <v>4358.45</v>
      </c>
      <c r="I665" s="674">
        <v>11723.29</v>
      </c>
      <c r="J665" s="674">
        <v>25882.04</v>
      </c>
      <c r="K665" s="674">
        <v>30748</v>
      </c>
      <c r="L665" s="674">
        <v>21623.9</v>
      </c>
      <c r="M665" s="674">
        <v>3679</v>
      </c>
      <c r="N665" s="674">
        <v>3064.6</v>
      </c>
      <c r="O665" s="674">
        <v>5730.26</v>
      </c>
      <c r="P665" s="674">
        <v>2718.81</v>
      </c>
      <c r="Q665" s="674">
        <v>3747.15</v>
      </c>
      <c r="R665" s="674">
        <v>-146.91999999999999</v>
      </c>
      <c r="S665" s="551">
        <f t="shared" si="124"/>
        <v>10002.572083333333</v>
      </c>
      <c r="T665" s="677"/>
      <c r="U665" s="716"/>
      <c r="V665" s="755"/>
      <c r="W665" s="755">
        <f t="shared" si="166"/>
        <v>10002.572083333333</v>
      </c>
      <c r="X665" s="778"/>
      <c r="Y665" s="755"/>
      <c r="Z665" s="755"/>
      <c r="AA665" s="716"/>
      <c r="AB665" s="755"/>
      <c r="AC665" s="718">
        <f t="shared" si="167"/>
        <v>10002.572083333333</v>
      </c>
      <c r="AD665" s="717"/>
      <c r="AE665" s="717"/>
      <c r="AF665" s="753">
        <f t="shared" si="168"/>
        <v>0</v>
      </c>
    </row>
    <row r="666" spans="1:32">
      <c r="A666" s="677">
        <v>656</v>
      </c>
      <c r="B666" s="589" t="s">
        <v>1009</v>
      </c>
      <c r="C666" s="379" t="s">
        <v>138</v>
      </c>
      <c r="D666" s="677"/>
      <c r="E666" s="668" t="s">
        <v>648</v>
      </c>
      <c r="F666" s="674">
        <v>-11000</v>
      </c>
      <c r="G666" s="674">
        <v>-1000</v>
      </c>
      <c r="H666" s="674">
        <v>-2000</v>
      </c>
      <c r="I666" s="674">
        <v>-4000</v>
      </c>
      <c r="J666" s="674">
        <v>-5000</v>
      </c>
      <c r="K666" s="674">
        <v>-6000</v>
      </c>
      <c r="L666" s="674">
        <v>-7000</v>
      </c>
      <c r="M666" s="674">
        <v>-7000</v>
      </c>
      <c r="N666" s="674">
        <v>-8000</v>
      </c>
      <c r="O666" s="674">
        <v>-9000</v>
      </c>
      <c r="P666" s="674">
        <v>-11000</v>
      </c>
      <c r="Q666" s="674">
        <v>-11000</v>
      </c>
      <c r="R666" s="674">
        <v>-12000</v>
      </c>
      <c r="S666" s="551">
        <f t="shared" si="124"/>
        <v>-6875</v>
      </c>
      <c r="T666" s="677"/>
      <c r="U666" s="716"/>
      <c r="V666" s="755"/>
      <c r="W666" s="755">
        <f t="shared" si="166"/>
        <v>-6875</v>
      </c>
      <c r="X666" s="778"/>
      <c r="Y666" s="755"/>
      <c r="Z666" s="755"/>
      <c r="AA666" s="716"/>
      <c r="AB666" s="755"/>
      <c r="AC666" s="718">
        <f t="shared" si="167"/>
        <v>-6875</v>
      </c>
      <c r="AD666" s="717"/>
      <c r="AE666" s="717"/>
      <c r="AF666" s="753">
        <f t="shared" si="168"/>
        <v>0</v>
      </c>
    </row>
    <row r="667" spans="1:32">
      <c r="A667" s="677">
        <v>657</v>
      </c>
      <c r="B667" s="589" t="s">
        <v>984</v>
      </c>
      <c r="C667" s="379" t="s">
        <v>138</v>
      </c>
      <c r="D667" s="677"/>
      <c r="E667" s="668" t="s">
        <v>648</v>
      </c>
      <c r="F667" s="674">
        <v>-100</v>
      </c>
      <c r="G667" s="674">
        <v>0</v>
      </c>
      <c r="H667" s="674">
        <v>0</v>
      </c>
      <c r="I667" s="674">
        <v>0</v>
      </c>
      <c r="J667" s="674">
        <v>0</v>
      </c>
      <c r="K667" s="674">
        <v>0</v>
      </c>
      <c r="L667" s="674">
        <v>0</v>
      </c>
      <c r="M667" s="674">
        <v>0</v>
      </c>
      <c r="N667" s="674">
        <v>0</v>
      </c>
      <c r="O667" s="674">
        <v>0</v>
      </c>
      <c r="P667" s="674">
        <v>0</v>
      </c>
      <c r="Q667" s="674">
        <v>0</v>
      </c>
      <c r="R667" s="674">
        <v>0</v>
      </c>
      <c r="S667" s="551">
        <f t="shared" si="124"/>
        <v>-4.166666666666667</v>
      </c>
      <c r="T667" s="677"/>
      <c r="U667" s="716"/>
      <c r="V667" s="755"/>
      <c r="W667" s="755">
        <f t="shared" si="166"/>
        <v>-4.166666666666667</v>
      </c>
      <c r="X667" s="778"/>
      <c r="Y667" s="755"/>
      <c r="Z667" s="755"/>
      <c r="AA667" s="716"/>
      <c r="AB667" s="755"/>
      <c r="AC667" s="718">
        <f t="shared" si="167"/>
        <v>-4.166666666666667</v>
      </c>
      <c r="AD667" s="717"/>
      <c r="AE667" s="717"/>
      <c r="AF667" s="753">
        <f t="shared" si="168"/>
        <v>0</v>
      </c>
    </row>
    <row r="668" spans="1:32">
      <c r="A668" s="677">
        <v>658</v>
      </c>
      <c r="B668" s="589" t="s">
        <v>981</v>
      </c>
      <c r="C668" s="379" t="s">
        <v>140</v>
      </c>
      <c r="D668" s="677"/>
      <c r="E668" s="668" t="s">
        <v>141</v>
      </c>
      <c r="F668" s="674">
        <v>-114312</v>
      </c>
      <c r="G668" s="674">
        <v>-14184</v>
      </c>
      <c r="H668" s="674">
        <v>-28368</v>
      </c>
      <c r="I668" s="674">
        <v>-42552</v>
      </c>
      <c r="J668" s="674">
        <v>-56736</v>
      </c>
      <c r="K668" s="674">
        <v>0</v>
      </c>
      <c r="L668" s="674">
        <v>0</v>
      </c>
      <c r="M668" s="674">
        <v>0</v>
      </c>
      <c r="N668" s="674">
        <v>0</v>
      </c>
      <c r="O668" s="674">
        <v>0</v>
      </c>
      <c r="P668" s="674">
        <v>0</v>
      </c>
      <c r="Q668" s="674">
        <v>0</v>
      </c>
      <c r="R668" s="674">
        <v>0</v>
      </c>
      <c r="S668" s="551">
        <f t="shared" si="124"/>
        <v>-16583</v>
      </c>
      <c r="T668" s="677"/>
      <c r="U668" s="716"/>
      <c r="V668" s="755"/>
      <c r="W668" s="755">
        <f t="shared" si="166"/>
        <v>-16583</v>
      </c>
      <c r="X668" s="778"/>
      <c r="Y668" s="755"/>
      <c r="Z668" s="755"/>
      <c r="AA668" s="716"/>
      <c r="AB668" s="755"/>
      <c r="AC668" s="718">
        <f t="shared" si="167"/>
        <v>-16583</v>
      </c>
      <c r="AD668" s="717"/>
      <c r="AE668" s="717"/>
      <c r="AF668" s="753">
        <f t="shared" si="168"/>
        <v>0</v>
      </c>
    </row>
    <row r="669" spans="1:32">
      <c r="A669" s="677">
        <v>659</v>
      </c>
      <c r="B669" s="589" t="s">
        <v>981</v>
      </c>
      <c r="C669" s="379" t="s">
        <v>140</v>
      </c>
      <c r="D669" s="677" t="s">
        <v>1963</v>
      </c>
      <c r="E669" s="668" t="s">
        <v>1964</v>
      </c>
      <c r="F669" s="674">
        <v>0</v>
      </c>
      <c r="G669" s="674">
        <v>0</v>
      </c>
      <c r="H669" s="674">
        <v>0</v>
      </c>
      <c r="I669" s="674">
        <v>0</v>
      </c>
      <c r="J669" s="674">
        <v>0</v>
      </c>
      <c r="K669" s="674">
        <v>-34175</v>
      </c>
      <c r="L669" s="674">
        <v>-41010</v>
      </c>
      <c r="M669" s="674">
        <v>-47845</v>
      </c>
      <c r="N669" s="674">
        <v>-54680</v>
      </c>
      <c r="O669" s="674">
        <v>-61515</v>
      </c>
      <c r="P669" s="674">
        <v>-68350</v>
      </c>
      <c r="Q669" s="674">
        <v>-75185</v>
      </c>
      <c r="R669" s="674">
        <v>-82020</v>
      </c>
      <c r="S669" s="551">
        <f t="shared" si="124"/>
        <v>-35314.166666666664</v>
      </c>
      <c r="T669" s="677"/>
      <c r="U669" s="716"/>
      <c r="V669" s="755"/>
      <c r="W669" s="755">
        <f t="shared" si="166"/>
        <v>-35314.166666666664</v>
      </c>
      <c r="X669" s="778"/>
      <c r="Y669" s="755"/>
      <c r="Z669" s="755"/>
      <c r="AA669" s="716"/>
      <c r="AB669" s="755"/>
      <c r="AC669" s="718">
        <f t="shared" si="167"/>
        <v>-35314.166666666664</v>
      </c>
      <c r="AD669" s="717"/>
      <c r="AE669" s="717"/>
      <c r="AF669" s="753"/>
    </row>
    <row r="670" spans="1:32">
      <c r="A670" s="677">
        <v>660</v>
      </c>
      <c r="B670" s="589" t="s">
        <v>981</v>
      </c>
      <c r="C670" s="379" t="s">
        <v>140</v>
      </c>
      <c r="D670" s="677" t="s">
        <v>1965</v>
      </c>
      <c r="E670" s="668" t="s">
        <v>1966</v>
      </c>
      <c r="F670" s="674">
        <v>0</v>
      </c>
      <c r="G670" s="674">
        <v>0</v>
      </c>
      <c r="H670" s="674">
        <v>0</v>
      </c>
      <c r="I670" s="674">
        <v>0</v>
      </c>
      <c r="J670" s="674">
        <v>0</v>
      </c>
      <c r="K670" s="674">
        <v>-36745</v>
      </c>
      <c r="L670" s="674">
        <v>-44094</v>
      </c>
      <c r="M670" s="674">
        <v>-51443</v>
      </c>
      <c r="N670" s="674">
        <v>-58792</v>
      </c>
      <c r="O670" s="674">
        <v>-66141</v>
      </c>
      <c r="P670" s="674">
        <v>-73490</v>
      </c>
      <c r="Q670" s="674">
        <v>-80839</v>
      </c>
      <c r="R670" s="674">
        <v>-88188</v>
      </c>
      <c r="S670" s="551">
        <f t="shared" si="124"/>
        <v>-37969.833333333336</v>
      </c>
      <c r="T670" s="677"/>
      <c r="U670" s="716"/>
      <c r="V670" s="755"/>
      <c r="W670" s="755">
        <f t="shared" si="166"/>
        <v>-37969.833333333336</v>
      </c>
      <c r="X670" s="778"/>
      <c r="Y670" s="755"/>
      <c r="Z670" s="755"/>
      <c r="AA670" s="716"/>
      <c r="AB670" s="755"/>
      <c r="AC670" s="718">
        <f t="shared" si="167"/>
        <v>-37969.833333333336</v>
      </c>
      <c r="AD670" s="717"/>
      <c r="AE670" s="717"/>
      <c r="AF670" s="753"/>
    </row>
    <row r="671" spans="1:32">
      <c r="A671" s="677">
        <v>661</v>
      </c>
      <c r="B671" s="379" t="s">
        <v>981</v>
      </c>
      <c r="C671" s="379" t="s">
        <v>142</v>
      </c>
      <c r="D671" s="379" t="s">
        <v>1270</v>
      </c>
      <c r="E671" s="662" t="s">
        <v>1782</v>
      </c>
      <c r="F671" s="674">
        <v>-56362.15</v>
      </c>
      <c r="G671" s="674">
        <v>-224.3</v>
      </c>
      <c r="H671" s="674">
        <v>-224.3</v>
      </c>
      <c r="I671" s="674">
        <v>-224.3</v>
      </c>
      <c r="J671" s="674">
        <v>-224.3</v>
      </c>
      <c r="K671" s="674">
        <v>-224.3</v>
      </c>
      <c r="L671" s="674">
        <v>-224.3</v>
      </c>
      <c r="M671" s="674">
        <v>-224.3</v>
      </c>
      <c r="N671" s="674">
        <v>-224.3</v>
      </c>
      <c r="O671" s="674">
        <v>-224.3</v>
      </c>
      <c r="P671" s="674">
        <v>-224.3</v>
      </c>
      <c r="Q671" s="674">
        <v>-224.3</v>
      </c>
      <c r="R671" s="674">
        <v>-224.3</v>
      </c>
      <c r="S671" s="551">
        <f t="shared" si="124"/>
        <v>-2563.3770833333333</v>
      </c>
      <c r="T671" s="677"/>
      <c r="U671" s="716"/>
      <c r="V671" s="755"/>
      <c r="W671" s="755">
        <f t="shared" si="166"/>
        <v>-2563.3770833333333</v>
      </c>
      <c r="X671" s="778"/>
      <c r="Y671" s="755"/>
      <c r="Z671" s="755"/>
      <c r="AA671" s="716"/>
      <c r="AB671" s="755"/>
      <c r="AC671" s="718">
        <f t="shared" si="167"/>
        <v>-2563.3770833333333</v>
      </c>
      <c r="AD671" s="717"/>
      <c r="AE671" s="717"/>
      <c r="AF671" s="753">
        <f t="shared" si="168"/>
        <v>0</v>
      </c>
    </row>
    <row r="672" spans="1:32">
      <c r="A672" s="677">
        <v>662</v>
      </c>
      <c r="B672" s="677" t="s">
        <v>1009</v>
      </c>
      <c r="C672" s="379" t="s">
        <v>142</v>
      </c>
      <c r="D672" s="379" t="s">
        <v>1271</v>
      </c>
      <c r="E672" s="662" t="s">
        <v>1800</v>
      </c>
      <c r="F672" s="674">
        <v>0</v>
      </c>
      <c r="G672" s="674">
        <v>0</v>
      </c>
      <c r="H672" s="674">
        <v>0</v>
      </c>
      <c r="I672" s="674">
        <v>0</v>
      </c>
      <c r="J672" s="674">
        <v>0</v>
      </c>
      <c r="K672" s="674">
        <v>0</v>
      </c>
      <c r="L672" s="674">
        <v>0</v>
      </c>
      <c r="M672" s="674">
        <v>0</v>
      </c>
      <c r="N672" s="674">
        <v>0</v>
      </c>
      <c r="O672" s="674">
        <v>0</v>
      </c>
      <c r="P672" s="674">
        <v>0</v>
      </c>
      <c r="Q672" s="674">
        <v>0</v>
      </c>
      <c r="R672" s="674">
        <v>0</v>
      </c>
      <c r="S672" s="551">
        <f t="shared" si="124"/>
        <v>0</v>
      </c>
      <c r="T672" s="677"/>
      <c r="U672" s="716"/>
      <c r="V672" s="755"/>
      <c r="W672" s="755">
        <f t="shared" si="166"/>
        <v>0</v>
      </c>
      <c r="X672" s="778"/>
      <c r="Y672" s="755"/>
      <c r="Z672" s="755"/>
      <c r="AA672" s="716"/>
      <c r="AB672" s="755"/>
      <c r="AC672" s="718">
        <f t="shared" si="167"/>
        <v>0</v>
      </c>
      <c r="AD672" s="717"/>
      <c r="AE672" s="717"/>
      <c r="AF672" s="753">
        <f t="shared" si="168"/>
        <v>0</v>
      </c>
    </row>
    <row r="673" spans="1:32">
      <c r="A673" s="677">
        <v>663</v>
      </c>
      <c r="B673" s="677" t="s">
        <v>1009</v>
      </c>
      <c r="C673" s="379" t="s">
        <v>142</v>
      </c>
      <c r="D673" s="379" t="s">
        <v>1270</v>
      </c>
      <c r="E673" s="662" t="s">
        <v>1782</v>
      </c>
      <c r="F673" s="674">
        <v>-973</v>
      </c>
      <c r="G673" s="674">
        <v>-76</v>
      </c>
      <c r="H673" s="674">
        <v>-76</v>
      </c>
      <c r="I673" s="674">
        <v>-76</v>
      </c>
      <c r="J673" s="674">
        <v>-615</v>
      </c>
      <c r="K673" s="674">
        <v>-615</v>
      </c>
      <c r="L673" s="674">
        <v>-615</v>
      </c>
      <c r="M673" s="674">
        <v>-615</v>
      </c>
      <c r="N673" s="674">
        <v>-615</v>
      </c>
      <c r="O673" s="674">
        <v>-615</v>
      </c>
      <c r="P673" s="674">
        <v>-615</v>
      </c>
      <c r="Q673" s="674">
        <v>-615</v>
      </c>
      <c r="R673" s="674">
        <v>-615</v>
      </c>
      <c r="S673" s="551">
        <f t="shared" si="124"/>
        <v>-495.16666666666669</v>
      </c>
      <c r="T673" s="677"/>
      <c r="U673" s="716"/>
      <c r="V673" s="755"/>
      <c r="W673" s="755">
        <f t="shared" si="166"/>
        <v>-495.16666666666669</v>
      </c>
      <c r="X673" s="778"/>
      <c r="Y673" s="755"/>
      <c r="Z673" s="755"/>
      <c r="AA673" s="716"/>
      <c r="AB673" s="755"/>
      <c r="AC673" s="718">
        <f t="shared" si="167"/>
        <v>-495.16666666666669</v>
      </c>
      <c r="AD673" s="717"/>
      <c r="AE673" s="717"/>
      <c r="AF673" s="753">
        <f t="shared" si="168"/>
        <v>0</v>
      </c>
    </row>
    <row r="674" spans="1:32">
      <c r="A674" s="677">
        <v>664</v>
      </c>
      <c r="B674" s="677" t="s">
        <v>1009</v>
      </c>
      <c r="C674" s="379" t="s">
        <v>142</v>
      </c>
      <c r="D674" s="379" t="s">
        <v>1267</v>
      </c>
      <c r="E674" s="662" t="s">
        <v>1801</v>
      </c>
      <c r="F674" s="674">
        <v>-715.4</v>
      </c>
      <c r="G674" s="674">
        <v>0</v>
      </c>
      <c r="H674" s="674">
        <v>-27.02</v>
      </c>
      <c r="I674" s="674">
        <v>-27.02</v>
      </c>
      <c r="J674" s="674">
        <v>-250.22</v>
      </c>
      <c r="K674" s="674">
        <v>-250.22</v>
      </c>
      <c r="L674" s="674">
        <v>-250.22</v>
      </c>
      <c r="M674" s="674">
        <v>-371.32</v>
      </c>
      <c r="N674" s="674">
        <v>-459.07</v>
      </c>
      <c r="O674" s="674">
        <v>-459.07</v>
      </c>
      <c r="P674" s="674">
        <v>-459.07</v>
      </c>
      <c r="Q674" s="674">
        <v>-459.07</v>
      </c>
      <c r="R674" s="674">
        <v>-459.07</v>
      </c>
      <c r="S674" s="551">
        <f t="shared" si="124"/>
        <v>-299.96125000000001</v>
      </c>
      <c r="T674" s="677"/>
      <c r="U674" s="716"/>
      <c r="V674" s="755"/>
      <c r="W674" s="755">
        <f t="shared" si="166"/>
        <v>-299.96125000000001</v>
      </c>
      <c r="X674" s="778"/>
      <c r="Y674" s="755"/>
      <c r="Z674" s="755"/>
      <c r="AA674" s="716"/>
      <c r="AB674" s="755"/>
      <c r="AC674" s="718">
        <f t="shared" si="167"/>
        <v>-299.96125000000001</v>
      </c>
      <c r="AD674" s="717"/>
      <c r="AE674" s="717"/>
      <c r="AF674" s="753">
        <f t="shared" si="168"/>
        <v>0</v>
      </c>
    </row>
    <row r="675" spans="1:32">
      <c r="A675" s="677">
        <v>665</v>
      </c>
      <c r="B675" s="677" t="s">
        <v>1009</v>
      </c>
      <c r="C675" s="379" t="s">
        <v>142</v>
      </c>
      <c r="D675" s="379" t="s">
        <v>1266</v>
      </c>
      <c r="E675" s="662" t="s">
        <v>1802</v>
      </c>
      <c r="F675" s="674">
        <v>-35828.370000000003</v>
      </c>
      <c r="G675" s="674">
        <v>0</v>
      </c>
      <c r="H675" s="674">
        <v>-5142.38</v>
      </c>
      <c r="I675" s="674">
        <v>-3526.64</v>
      </c>
      <c r="J675" s="674">
        <v>-4666.45</v>
      </c>
      <c r="K675" s="674">
        <v>-4666.45</v>
      </c>
      <c r="L675" s="674">
        <v>-11442.12</v>
      </c>
      <c r="M675" s="674">
        <v>-12362.01</v>
      </c>
      <c r="N675" s="674">
        <v>-12362.01</v>
      </c>
      <c r="O675" s="674">
        <v>-12362.01</v>
      </c>
      <c r="P675" s="674">
        <v>-12362.01</v>
      </c>
      <c r="Q675" s="674">
        <v>-12362.01</v>
      </c>
      <c r="R675" s="674">
        <v>-12362.01</v>
      </c>
      <c r="S675" s="551">
        <f t="shared" si="124"/>
        <v>-9612.44</v>
      </c>
      <c r="T675" s="677"/>
      <c r="U675" s="716"/>
      <c r="V675" s="755"/>
      <c r="W675" s="755">
        <f t="shared" si="166"/>
        <v>-9612.44</v>
      </c>
      <c r="X675" s="778"/>
      <c r="Y675" s="755"/>
      <c r="Z675" s="755"/>
      <c r="AA675" s="716"/>
      <c r="AB675" s="755"/>
      <c r="AC675" s="718">
        <f t="shared" si="167"/>
        <v>-9612.44</v>
      </c>
      <c r="AD675" s="717"/>
      <c r="AE675" s="717"/>
      <c r="AF675" s="753">
        <f t="shared" si="168"/>
        <v>0</v>
      </c>
    </row>
    <row r="676" spans="1:32">
      <c r="A676" s="677">
        <v>666</v>
      </c>
      <c r="B676" s="677" t="s">
        <v>984</v>
      </c>
      <c r="C676" s="379" t="s">
        <v>142</v>
      </c>
      <c r="D676" s="379" t="s">
        <v>1271</v>
      </c>
      <c r="E676" s="662" t="s">
        <v>1800</v>
      </c>
      <c r="F676" s="674">
        <v>-4831.1899999999996</v>
      </c>
      <c r="G676" s="674">
        <v>0</v>
      </c>
      <c r="H676" s="674">
        <v>2249.67</v>
      </c>
      <c r="I676" s="674">
        <v>2249.67</v>
      </c>
      <c r="J676" s="674">
        <v>2249.67</v>
      </c>
      <c r="K676" s="674">
        <v>-328.31</v>
      </c>
      <c r="L676" s="674">
        <v>-2548.41</v>
      </c>
      <c r="M676" s="674">
        <v>-7661.83</v>
      </c>
      <c r="N676" s="674">
        <v>-15556.23</v>
      </c>
      <c r="O676" s="674">
        <v>-15556.23</v>
      </c>
      <c r="P676" s="674">
        <v>-15556.23</v>
      </c>
      <c r="Q676" s="674">
        <v>-42033.75</v>
      </c>
      <c r="R676" s="674">
        <v>-44223.51</v>
      </c>
      <c r="S676" s="551">
        <f t="shared" si="124"/>
        <v>-9751.6108333333341</v>
      </c>
      <c r="T676" s="677"/>
      <c r="U676" s="716"/>
      <c r="V676" s="755"/>
      <c r="W676" s="755">
        <f t="shared" si="166"/>
        <v>-9751.6108333333341</v>
      </c>
      <c r="X676" s="778"/>
      <c r="Y676" s="755"/>
      <c r="Z676" s="755"/>
      <c r="AA676" s="716"/>
      <c r="AB676" s="755"/>
      <c r="AC676" s="718">
        <f t="shared" si="167"/>
        <v>-9751.6108333333341</v>
      </c>
      <c r="AD676" s="717"/>
      <c r="AE676" s="717"/>
      <c r="AF676" s="753">
        <f t="shared" si="168"/>
        <v>0</v>
      </c>
    </row>
    <row r="677" spans="1:32">
      <c r="A677" s="677">
        <v>667</v>
      </c>
      <c r="B677" s="677" t="s">
        <v>984</v>
      </c>
      <c r="C677" s="379" t="s">
        <v>142</v>
      </c>
      <c r="D677" s="379" t="s">
        <v>1270</v>
      </c>
      <c r="E677" s="662" t="s">
        <v>1782</v>
      </c>
      <c r="F677" s="674">
        <v>-4853.8900000000003</v>
      </c>
      <c r="G677" s="674">
        <v>-590</v>
      </c>
      <c r="H677" s="674">
        <v>-1180</v>
      </c>
      <c r="I677" s="674">
        <v>-1770</v>
      </c>
      <c r="J677" s="674">
        <v>-3683.08</v>
      </c>
      <c r="K677" s="674">
        <v>-10038.27</v>
      </c>
      <c r="L677" s="674">
        <v>-10678.27</v>
      </c>
      <c r="M677" s="674">
        <v>-11318.27</v>
      </c>
      <c r="N677" s="674">
        <v>-12463.11</v>
      </c>
      <c r="O677" s="674">
        <v>-14116.62</v>
      </c>
      <c r="P677" s="674">
        <v>-14756.62</v>
      </c>
      <c r="Q677" s="674">
        <v>-15396.62</v>
      </c>
      <c r="R677" s="674">
        <v>-15446.62</v>
      </c>
      <c r="S677" s="551">
        <f t="shared" si="124"/>
        <v>-8845.0929166666665</v>
      </c>
      <c r="T677" s="677"/>
      <c r="U677" s="716"/>
      <c r="V677" s="755"/>
      <c r="W677" s="755">
        <f t="shared" si="166"/>
        <v>-8845.0929166666665</v>
      </c>
      <c r="X677" s="778"/>
      <c r="Y677" s="755"/>
      <c r="Z677" s="755"/>
      <c r="AA677" s="716"/>
      <c r="AB677" s="755"/>
      <c r="AC677" s="718">
        <f t="shared" si="167"/>
        <v>-8845.0929166666665</v>
      </c>
      <c r="AD677" s="717"/>
      <c r="AE677" s="717"/>
      <c r="AF677" s="753">
        <f t="shared" si="168"/>
        <v>0</v>
      </c>
    </row>
    <row r="678" spans="1:32">
      <c r="A678" s="677">
        <v>668</v>
      </c>
      <c r="B678" s="677" t="s">
        <v>984</v>
      </c>
      <c r="C678" s="379" t="s">
        <v>142</v>
      </c>
      <c r="D678" s="379" t="s">
        <v>1267</v>
      </c>
      <c r="E678" s="662" t="s">
        <v>1801</v>
      </c>
      <c r="F678" s="674">
        <v>-2511.16</v>
      </c>
      <c r="G678" s="674">
        <v>0</v>
      </c>
      <c r="H678" s="674">
        <v>-245.39</v>
      </c>
      <c r="I678" s="674">
        <v>-245.39</v>
      </c>
      <c r="J678" s="674">
        <v>-245.39</v>
      </c>
      <c r="K678" s="674">
        <v>-1093.49</v>
      </c>
      <c r="L678" s="674">
        <v>-1737.34</v>
      </c>
      <c r="M678" s="674">
        <v>-1957.19</v>
      </c>
      <c r="N678" s="674">
        <v>-2489.61</v>
      </c>
      <c r="O678" s="674">
        <v>-2490.52</v>
      </c>
      <c r="P678" s="674">
        <v>-2626.9</v>
      </c>
      <c r="Q678" s="674">
        <v>-2626.9</v>
      </c>
      <c r="R678" s="674">
        <v>-2784.79</v>
      </c>
      <c r="S678" s="551">
        <f t="shared" si="124"/>
        <v>-1533.8412500000002</v>
      </c>
      <c r="T678" s="677"/>
      <c r="U678" s="716"/>
      <c r="V678" s="755"/>
      <c r="W678" s="755">
        <f t="shared" si="166"/>
        <v>-1533.8412500000002</v>
      </c>
      <c r="X678" s="778"/>
      <c r="Y678" s="755"/>
      <c r="Z678" s="755"/>
      <c r="AA678" s="716"/>
      <c r="AB678" s="755"/>
      <c r="AC678" s="718">
        <f t="shared" si="167"/>
        <v>-1533.8412500000002</v>
      </c>
      <c r="AD678" s="717"/>
      <c r="AE678" s="717"/>
      <c r="AF678" s="753">
        <f t="shared" si="168"/>
        <v>0</v>
      </c>
    </row>
    <row r="679" spans="1:32">
      <c r="A679" s="677">
        <v>669</v>
      </c>
      <c r="B679" s="677" t="s">
        <v>984</v>
      </c>
      <c r="C679" s="379" t="s">
        <v>142</v>
      </c>
      <c r="D679" s="379" t="s">
        <v>1266</v>
      </c>
      <c r="E679" s="662" t="s">
        <v>1802</v>
      </c>
      <c r="F679" s="674">
        <v>-18478</v>
      </c>
      <c r="G679" s="674">
        <v>0</v>
      </c>
      <c r="H679" s="674">
        <v>0</v>
      </c>
      <c r="I679" s="674">
        <v>0</v>
      </c>
      <c r="J679" s="674">
        <v>-1980.35</v>
      </c>
      <c r="K679" s="674">
        <v>-2110.35</v>
      </c>
      <c r="L679" s="674">
        <v>-7357.95</v>
      </c>
      <c r="M679" s="674">
        <v>-7940.26</v>
      </c>
      <c r="N679" s="674">
        <v>-9463.67</v>
      </c>
      <c r="O679" s="674">
        <v>-9463.67</v>
      </c>
      <c r="P679" s="674">
        <v>-12512.1</v>
      </c>
      <c r="Q679" s="674">
        <v>-16089.16</v>
      </c>
      <c r="R679" s="674">
        <v>-28833.91</v>
      </c>
      <c r="S679" s="551">
        <f t="shared" si="124"/>
        <v>-7547.7887499999997</v>
      </c>
      <c r="T679" s="677"/>
      <c r="U679" s="716"/>
      <c r="V679" s="755"/>
      <c r="W679" s="755">
        <f t="shared" si="166"/>
        <v>-7547.7887499999997</v>
      </c>
      <c r="X679" s="778"/>
      <c r="Y679" s="755"/>
      <c r="Z679" s="755"/>
      <c r="AA679" s="716"/>
      <c r="AB679" s="755"/>
      <c r="AC679" s="718">
        <f t="shared" si="167"/>
        <v>-7547.7887499999997</v>
      </c>
      <c r="AD679" s="717"/>
      <c r="AE679" s="717"/>
      <c r="AF679" s="753">
        <f t="shared" si="168"/>
        <v>0</v>
      </c>
    </row>
    <row r="680" spans="1:32">
      <c r="A680" s="677">
        <v>670</v>
      </c>
      <c r="B680" s="677" t="s">
        <v>984</v>
      </c>
      <c r="C680" s="379">
        <v>4962</v>
      </c>
      <c r="D680" s="379"/>
      <c r="E680" s="662" t="s">
        <v>1803</v>
      </c>
      <c r="F680" s="674">
        <v>2764815.37</v>
      </c>
      <c r="G680" s="674">
        <v>-280982.87</v>
      </c>
      <c r="H680" s="674">
        <v>-665675.09</v>
      </c>
      <c r="I680" s="674">
        <v>-921322.2</v>
      </c>
      <c r="J680" s="674">
        <v>-924164.05</v>
      </c>
      <c r="K680" s="674">
        <v>-846390.45</v>
      </c>
      <c r="L680" s="674">
        <v>-714598.13</v>
      </c>
      <c r="M680" s="674">
        <v>-582529.80000000005</v>
      </c>
      <c r="N680" s="674">
        <v>-419848.05</v>
      </c>
      <c r="O680" s="674">
        <v>-418430.1</v>
      </c>
      <c r="P680" s="674">
        <v>-472174.9</v>
      </c>
      <c r="Q680" s="674">
        <v>-533440.56000000006</v>
      </c>
      <c r="R680" s="674">
        <v>-171784.99</v>
      </c>
      <c r="S680" s="551">
        <f t="shared" si="124"/>
        <v>-456920.08416666667</v>
      </c>
      <c r="T680" s="677"/>
      <c r="U680" s="716"/>
      <c r="V680" s="755"/>
      <c r="W680" s="755">
        <f t="shared" si="166"/>
        <v>-456920.08416666667</v>
      </c>
      <c r="X680" s="778"/>
      <c r="Y680" s="755"/>
      <c r="Z680" s="755"/>
      <c r="AA680" s="716"/>
      <c r="AB680" s="755"/>
      <c r="AC680" s="718">
        <f t="shared" si="167"/>
        <v>-456920.08416666667</v>
      </c>
      <c r="AD680" s="717"/>
      <c r="AE680" s="717"/>
      <c r="AF680" s="753">
        <f t="shared" si="168"/>
        <v>0</v>
      </c>
    </row>
    <row r="681" spans="1:32">
      <c r="A681" s="677">
        <v>671</v>
      </c>
      <c r="B681" s="677" t="s">
        <v>984</v>
      </c>
      <c r="C681" s="379">
        <v>4962</v>
      </c>
      <c r="D681" s="379">
        <v>1</v>
      </c>
      <c r="E681" s="662" t="s">
        <v>1820</v>
      </c>
      <c r="F681" s="674">
        <v>-340090.29</v>
      </c>
      <c r="G681" s="674">
        <v>-73314.78</v>
      </c>
      <c r="H681" s="674">
        <v>-137130.63</v>
      </c>
      <c r="I681" s="674">
        <v>-198957.22</v>
      </c>
      <c r="J681" s="674">
        <v>-254405.82</v>
      </c>
      <c r="K681" s="674">
        <v>-306680.53000000003</v>
      </c>
      <c r="L681" s="674">
        <v>-369131.22</v>
      </c>
      <c r="M681" s="674">
        <v>-456366</v>
      </c>
      <c r="N681" s="674">
        <v>-557780.61</v>
      </c>
      <c r="O681" s="674">
        <v>-654771.38</v>
      </c>
      <c r="P681" s="674">
        <v>-723450.44</v>
      </c>
      <c r="Q681" s="674">
        <v>-770696.42</v>
      </c>
      <c r="R681" s="674">
        <v>-829904.01</v>
      </c>
      <c r="S681" s="551">
        <f t="shared" si="124"/>
        <v>-423973.51666666666</v>
      </c>
      <c r="T681" s="677"/>
      <c r="U681" s="716"/>
      <c r="V681" s="755"/>
      <c r="W681" s="755">
        <f t="shared" si="166"/>
        <v>-423973.51666666666</v>
      </c>
      <c r="X681" s="778"/>
      <c r="Y681" s="755"/>
      <c r="Z681" s="755"/>
      <c r="AA681" s="716"/>
      <c r="AB681" s="755"/>
      <c r="AC681" s="718">
        <f t="shared" si="167"/>
        <v>-423973.51666666666</v>
      </c>
      <c r="AD681" s="717"/>
      <c r="AE681" s="717"/>
      <c r="AF681" s="753">
        <f t="shared" si="168"/>
        <v>0</v>
      </c>
    </row>
    <row r="682" spans="1:32">
      <c r="A682" s="677">
        <v>672</v>
      </c>
      <c r="B682" s="677" t="s">
        <v>1009</v>
      </c>
      <c r="C682" s="379" t="s">
        <v>1969</v>
      </c>
      <c r="D682" s="677"/>
      <c r="E682" s="662" t="s">
        <v>1803</v>
      </c>
      <c r="F682" s="674">
        <v>1558019.97</v>
      </c>
      <c r="G682" s="674">
        <v>249016.3</v>
      </c>
      <c r="H682" s="674">
        <v>450949.83</v>
      </c>
      <c r="I682" s="674">
        <v>621635.15</v>
      </c>
      <c r="J682" s="674">
        <v>489060.61</v>
      </c>
      <c r="K682" s="674">
        <v>569478.41</v>
      </c>
      <c r="L682" s="674">
        <v>607869.43000000005</v>
      </c>
      <c r="M682" s="674">
        <v>647160.75</v>
      </c>
      <c r="N682" s="674">
        <v>687361.43</v>
      </c>
      <c r="O682" s="674">
        <v>698023.77</v>
      </c>
      <c r="P682" s="674">
        <v>698636.72</v>
      </c>
      <c r="Q682" s="674">
        <v>522111.3</v>
      </c>
      <c r="R682" s="674">
        <v>299675.57</v>
      </c>
      <c r="S682" s="551">
        <f>((F682+R682)+((G682+H682+I682+J682+K682+L682+M682+N682+O682+P682+Q682)*2))/24</f>
        <v>597512.62249999994</v>
      </c>
      <c r="T682" s="677"/>
      <c r="U682" s="716"/>
      <c r="V682" s="755"/>
      <c r="W682" s="755">
        <f t="shared" si="166"/>
        <v>597512.62249999994</v>
      </c>
      <c r="X682" s="778"/>
      <c r="Y682" s="755"/>
      <c r="Z682" s="755"/>
      <c r="AA682" s="716"/>
      <c r="AB682" s="755"/>
      <c r="AC682" s="718">
        <f t="shared" si="167"/>
        <v>597512.62249999994</v>
      </c>
      <c r="AD682" s="717"/>
      <c r="AE682" s="717"/>
      <c r="AF682" s="753">
        <f t="shared" si="168"/>
        <v>0</v>
      </c>
    </row>
    <row r="683" spans="1:32">
      <c r="A683" s="677">
        <v>673</v>
      </c>
      <c r="B683" s="677" t="s">
        <v>1009</v>
      </c>
      <c r="C683" s="379" t="s">
        <v>1969</v>
      </c>
      <c r="D683" s="677" t="s">
        <v>528</v>
      </c>
      <c r="E683" s="662" t="s">
        <v>1820</v>
      </c>
      <c r="F683" s="674">
        <v>0</v>
      </c>
      <c r="G683" s="674">
        <v>0</v>
      </c>
      <c r="H683" s="674">
        <v>0</v>
      </c>
      <c r="I683" s="674">
        <v>0</v>
      </c>
      <c r="J683" s="674">
        <v>-550.71</v>
      </c>
      <c r="K683" s="674">
        <v>-1222.68</v>
      </c>
      <c r="L683" s="674">
        <v>-1905.55</v>
      </c>
      <c r="M683" s="674">
        <v>-2585.9699999999998</v>
      </c>
      <c r="N683" s="674">
        <v>-3255.41</v>
      </c>
      <c r="O683" s="674">
        <v>-3923.66</v>
      </c>
      <c r="P683" s="674">
        <v>-7672.7</v>
      </c>
      <c r="Q683" s="674">
        <v>-19523.88</v>
      </c>
      <c r="R683" s="674">
        <v>-31522.11</v>
      </c>
      <c r="S683" s="551">
        <f>((F683+R683)+((G683+H683+I683+J683+K683+L683+M683+N683+O683+P683+Q683)*2))/24</f>
        <v>-4700.1345833333335</v>
      </c>
      <c r="T683" s="677"/>
      <c r="U683" s="716"/>
      <c r="V683" s="755"/>
      <c r="W683" s="755">
        <f t="shared" si="166"/>
        <v>-4700.1345833333335</v>
      </c>
      <c r="X683" s="778"/>
      <c r="Y683" s="755"/>
      <c r="Z683" s="755"/>
      <c r="AA683" s="716"/>
      <c r="AB683" s="755"/>
      <c r="AC683" s="718">
        <f t="shared" si="167"/>
        <v>-4700.1345833333335</v>
      </c>
      <c r="AD683" s="717"/>
      <c r="AE683" s="717"/>
      <c r="AF683" s="753"/>
    </row>
    <row r="684" spans="1:32">
      <c r="A684" s="677">
        <v>674</v>
      </c>
      <c r="B684" s="677" t="s">
        <v>382</v>
      </c>
      <c r="C684" s="379" t="s">
        <v>649</v>
      </c>
      <c r="D684" s="677" t="s">
        <v>382</v>
      </c>
      <c r="E684" s="662" t="s">
        <v>650</v>
      </c>
      <c r="F684" s="366">
        <v>0</v>
      </c>
      <c r="G684" s="366">
        <v>0</v>
      </c>
      <c r="H684" s="366">
        <v>0</v>
      </c>
      <c r="I684" s="366">
        <v>0</v>
      </c>
      <c r="J684" s="366">
        <v>0</v>
      </c>
      <c r="K684" s="366">
        <v>0</v>
      </c>
      <c r="L684" s="366">
        <v>0</v>
      </c>
      <c r="M684" s="366">
        <v>0</v>
      </c>
      <c r="N684" s="366">
        <v>0</v>
      </c>
      <c r="O684" s="366">
        <v>0</v>
      </c>
      <c r="P684" s="366">
        <v>0</v>
      </c>
      <c r="Q684" s="366">
        <v>0</v>
      </c>
      <c r="R684" s="366">
        <v>0</v>
      </c>
      <c r="S684" s="551">
        <f t="shared" si="124"/>
        <v>0</v>
      </c>
      <c r="T684" s="677"/>
      <c r="U684" s="716"/>
      <c r="V684" s="755"/>
      <c r="W684" s="755">
        <f t="shared" si="166"/>
        <v>0</v>
      </c>
      <c r="X684" s="778"/>
      <c r="Y684" s="755"/>
      <c r="Z684" s="755"/>
      <c r="AA684" s="716"/>
      <c r="AB684" s="755"/>
      <c r="AC684" s="718">
        <f t="shared" ref="AC684" si="169">+S684</f>
        <v>0</v>
      </c>
      <c r="AD684" s="717"/>
      <c r="AE684" s="717"/>
      <c r="AF684" s="753">
        <f t="shared" si="168"/>
        <v>0</v>
      </c>
    </row>
    <row r="685" spans="1:32">
      <c r="A685" s="677">
        <v>675</v>
      </c>
      <c r="B685" s="677"/>
      <c r="C685" s="677"/>
      <c r="D685" s="677"/>
      <c r="E685" s="662" t="s">
        <v>651</v>
      </c>
      <c r="F685" s="358">
        <f>SUM(F617:F684)</f>
        <v>-286825672.86999995</v>
      </c>
      <c r="G685" s="358">
        <f t="shared" ref="G685:R685" si="170">SUM(G617:G684)</f>
        <v>-40243392.660000004</v>
      </c>
      <c r="H685" s="358">
        <f t="shared" si="170"/>
        <v>-81998266.249999955</v>
      </c>
      <c r="I685" s="358">
        <f t="shared" si="170"/>
        <v>-115278818.35999994</v>
      </c>
      <c r="J685" s="358">
        <f t="shared" si="170"/>
        <v>-137104015.16</v>
      </c>
      <c r="K685" s="358">
        <f t="shared" si="170"/>
        <v>-151942097.19000003</v>
      </c>
      <c r="L685" s="358">
        <f t="shared" si="170"/>
        <v>-163827574.58999997</v>
      </c>
      <c r="M685" s="358">
        <f t="shared" si="170"/>
        <v>-175584823.07999995</v>
      </c>
      <c r="N685" s="358">
        <f t="shared" si="170"/>
        <v>-185596413.00999999</v>
      </c>
      <c r="O685" s="358">
        <f t="shared" si="170"/>
        <v>-199825338.64000005</v>
      </c>
      <c r="P685" s="358">
        <f t="shared" si="170"/>
        <v>-226710493.77999997</v>
      </c>
      <c r="Q685" s="358">
        <f t="shared" si="170"/>
        <v>-266190130.81999996</v>
      </c>
      <c r="R685" s="358">
        <f t="shared" si="170"/>
        <v>-314395576.48000008</v>
      </c>
      <c r="S685" s="553">
        <f>SUM(S617:S684)</f>
        <v>-170409332.35125008</v>
      </c>
      <c r="T685" s="677"/>
      <c r="U685" s="716"/>
      <c r="V685" s="755"/>
      <c r="W685" s="755"/>
      <c r="X685" s="778"/>
      <c r="Y685" s="755"/>
      <c r="Z685" s="755"/>
      <c r="AA685" s="716"/>
      <c r="AB685" s="755"/>
      <c r="AC685" s="717"/>
      <c r="AD685" s="717"/>
      <c r="AE685" s="717"/>
      <c r="AF685" s="753">
        <f t="shared" si="168"/>
        <v>0</v>
      </c>
    </row>
    <row r="686" spans="1:32">
      <c r="A686" s="677">
        <v>676</v>
      </c>
      <c r="B686" s="677"/>
      <c r="C686" s="677"/>
      <c r="D686" s="677"/>
      <c r="E686" s="662"/>
      <c r="F686" s="676"/>
      <c r="G686" s="377"/>
      <c r="H686" s="368"/>
      <c r="I686" s="368"/>
      <c r="J686" s="369"/>
      <c r="K686" s="370"/>
      <c r="L686" s="371"/>
      <c r="M686" s="372"/>
      <c r="N686" s="373"/>
      <c r="O686" s="663"/>
      <c r="P686" s="374"/>
      <c r="Q686" s="378"/>
      <c r="R686" s="676"/>
      <c r="S686" s="357"/>
      <c r="T686" s="677"/>
      <c r="U686" s="716"/>
      <c r="V686" s="755"/>
      <c r="W686" s="755"/>
      <c r="X686" s="778"/>
      <c r="Y686" s="755"/>
      <c r="Z686" s="755"/>
      <c r="AA686" s="716"/>
      <c r="AB686" s="755"/>
      <c r="AC686" s="717"/>
      <c r="AD686" s="717"/>
      <c r="AE686" s="717"/>
      <c r="AF686" s="753">
        <f t="shared" si="168"/>
        <v>0</v>
      </c>
    </row>
    <row r="687" spans="1:32">
      <c r="A687" s="677">
        <v>677</v>
      </c>
      <c r="B687" s="677" t="s">
        <v>981</v>
      </c>
      <c r="C687" s="677" t="s">
        <v>656</v>
      </c>
      <c r="D687" s="677"/>
      <c r="E687" s="662" t="s">
        <v>657</v>
      </c>
      <c r="F687" s="676">
        <v>-8686.9500000000007</v>
      </c>
      <c r="G687" s="377">
        <v>-1902.08</v>
      </c>
      <c r="H687" s="368">
        <v>-2909.11</v>
      </c>
      <c r="I687" s="368">
        <v>-3701.7</v>
      </c>
      <c r="J687" s="369">
        <v>-5088.7700000000004</v>
      </c>
      <c r="K687" s="370">
        <v>-5413.93</v>
      </c>
      <c r="L687" s="371">
        <v>-5821.58</v>
      </c>
      <c r="M687" s="372">
        <v>-6604.72</v>
      </c>
      <c r="N687" s="373">
        <v>-6604.72</v>
      </c>
      <c r="O687" s="663">
        <v>-6604.72</v>
      </c>
      <c r="P687" s="374">
        <v>-6937.53</v>
      </c>
      <c r="Q687" s="378">
        <v>-7240.98</v>
      </c>
      <c r="R687" s="676">
        <v>-8173.8</v>
      </c>
      <c r="S687" s="551">
        <f t="shared" ref="S687:S697" si="171">((F687+R687)+((G687+H687+I687+J687+K687+L687+M687+N687+O687+P687+Q687)*2))/24</f>
        <v>-5605.0179166666667</v>
      </c>
      <c r="T687" s="677"/>
      <c r="U687" s="716"/>
      <c r="V687" s="755"/>
      <c r="W687" s="755">
        <f>+S687</f>
        <v>-5605.0179166666667</v>
      </c>
      <c r="X687" s="778"/>
      <c r="Y687" s="755"/>
      <c r="Z687" s="755"/>
      <c r="AA687" s="716"/>
      <c r="AB687" s="755"/>
      <c r="AC687" s="718">
        <f>+S687</f>
        <v>-5605.0179166666667</v>
      </c>
      <c r="AD687" s="717"/>
      <c r="AE687" s="717"/>
      <c r="AF687" s="753"/>
    </row>
    <row r="688" spans="1:32">
      <c r="A688" s="677">
        <v>678</v>
      </c>
      <c r="B688" s="379" t="s">
        <v>981</v>
      </c>
      <c r="C688" s="379" t="s">
        <v>652</v>
      </c>
      <c r="D688" s="379" t="s">
        <v>1272</v>
      </c>
      <c r="E688" s="668" t="s">
        <v>338</v>
      </c>
      <c r="F688" s="674">
        <v>-3011.09</v>
      </c>
      <c r="G688" s="674">
        <v>-2.21</v>
      </c>
      <c r="H688" s="674">
        <v>-5.3</v>
      </c>
      <c r="I688" s="674">
        <v>-7.29</v>
      </c>
      <c r="J688" s="674">
        <v>-10.130000000000001</v>
      </c>
      <c r="K688" s="674">
        <v>-12.8</v>
      </c>
      <c r="L688" s="674">
        <v>-15.56</v>
      </c>
      <c r="M688" s="674">
        <v>-31.15</v>
      </c>
      <c r="N688" s="674">
        <v>-33.909999999999997</v>
      </c>
      <c r="O688" s="674">
        <v>-36.67</v>
      </c>
      <c r="P688" s="674">
        <v>-39.340000000000003</v>
      </c>
      <c r="Q688" s="674">
        <v>-44.08</v>
      </c>
      <c r="R688" s="674">
        <v>-45.93</v>
      </c>
      <c r="S688" s="551">
        <f t="shared" si="171"/>
        <v>-147.24583333333334</v>
      </c>
      <c r="T688" s="677"/>
      <c r="U688" s="716"/>
      <c r="V688" s="755"/>
      <c r="W688" s="755">
        <f>+S688</f>
        <v>-147.24583333333334</v>
      </c>
      <c r="X688" s="778"/>
      <c r="Y688" s="755"/>
      <c r="Z688" s="755"/>
      <c r="AA688" s="716"/>
      <c r="AB688" s="755"/>
      <c r="AC688" s="718">
        <f>+S688</f>
        <v>-147.24583333333334</v>
      </c>
      <c r="AD688" s="717"/>
      <c r="AE688" s="717"/>
      <c r="AF688" s="753">
        <f t="shared" si="168"/>
        <v>0</v>
      </c>
    </row>
    <row r="689" spans="1:32">
      <c r="A689" s="677">
        <v>679</v>
      </c>
      <c r="B689" s="379" t="s">
        <v>981</v>
      </c>
      <c r="C689" s="379" t="s">
        <v>652</v>
      </c>
      <c r="D689" s="379" t="s">
        <v>289</v>
      </c>
      <c r="E689" s="668" t="s">
        <v>1821</v>
      </c>
      <c r="F689" s="674">
        <v>-859.68</v>
      </c>
      <c r="G689" s="674">
        <v>-3040.72</v>
      </c>
      <c r="H689" s="674">
        <v>-3568.82</v>
      </c>
      <c r="I689" s="674">
        <v>-8187.51</v>
      </c>
      <c r="J689" s="674">
        <v>-8889.35</v>
      </c>
      <c r="K689" s="674">
        <v>-17552.66</v>
      </c>
      <c r="L689" s="674">
        <v>-27829.040000000001</v>
      </c>
      <c r="M689" s="674">
        <v>-28285.03</v>
      </c>
      <c r="N689" s="674">
        <v>-36630.01</v>
      </c>
      <c r="O689" s="674">
        <v>-39414.699999999997</v>
      </c>
      <c r="P689" s="674">
        <v>-45606.73</v>
      </c>
      <c r="Q689" s="674">
        <v>-48047.77</v>
      </c>
      <c r="R689" s="674">
        <v>-50576.59</v>
      </c>
      <c r="S689" s="551">
        <f t="shared" si="171"/>
        <v>-24397.539583333335</v>
      </c>
      <c r="T689" s="677"/>
      <c r="U689" s="716"/>
      <c r="V689" s="755"/>
      <c r="W689" s="755">
        <f>+S689</f>
        <v>-24397.539583333335</v>
      </c>
      <c r="X689" s="778"/>
      <c r="Y689" s="755"/>
      <c r="Z689" s="755"/>
      <c r="AA689" s="716"/>
      <c r="AB689" s="755"/>
      <c r="AC689" s="718">
        <f t="shared" ref="AC689:AC697" si="172">+S689</f>
        <v>-24397.539583333335</v>
      </c>
      <c r="AD689" s="717"/>
      <c r="AE689" s="717"/>
      <c r="AF689" s="753">
        <f t="shared" si="168"/>
        <v>0</v>
      </c>
    </row>
    <row r="690" spans="1:32">
      <c r="A690" s="677">
        <v>680</v>
      </c>
      <c r="B690" s="379" t="s">
        <v>1009</v>
      </c>
      <c r="C690" s="379" t="s">
        <v>652</v>
      </c>
      <c r="D690" s="379" t="s">
        <v>1142</v>
      </c>
      <c r="E690" s="668" t="s">
        <v>1824</v>
      </c>
      <c r="F690" s="674">
        <v>-36347.879999999997</v>
      </c>
      <c r="G690" s="674">
        <v>-455.26</v>
      </c>
      <c r="H690" s="674">
        <v>-842.9</v>
      </c>
      <c r="I690" s="674">
        <v>-24246.53</v>
      </c>
      <c r="J690" s="674">
        <v>-33614.74</v>
      </c>
      <c r="K690" s="674">
        <v>-34273.769999999997</v>
      </c>
      <c r="L690" s="674">
        <v>-40796.589999999997</v>
      </c>
      <c r="M690" s="674">
        <v>-42080.53</v>
      </c>
      <c r="N690" s="674">
        <v>-45378.37</v>
      </c>
      <c r="O690" s="674">
        <v>-48246.91</v>
      </c>
      <c r="P690" s="674">
        <v>-52939.5</v>
      </c>
      <c r="Q690" s="674">
        <v>-55862.38</v>
      </c>
      <c r="R690" s="674">
        <v>-57922.16</v>
      </c>
      <c r="S690" s="551">
        <f t="shared" si="171"/>
        <v>-35489.375</v>
      </c>
      <c r="T690" s="677"/>
      <c r="U690" s="716"/>
      <c r="V690" s="755"/>
      <c r="W690" s="755">
        <f t="shared" ref="W690:W697" si="173">+S690</f>
        <v>-35489.375</v>
      </c>
      <c r="X690" s="778"/>
      <c r="Y690" s="755"/>
      <c r="Z690" s="755"/>
      <c r="AA690" s="716"/>
      <c r="AB690" s="755"/>
      <c r="AC690" s="718">
        <f t="shared" si="172"/>
        <v>-35489.375</v>
      </c>
      <c r="AD690" s="717"/>
      <c r="AE690" s="717"/>
      <c r="AF690" s="753">
        <f t="shared" si="168"/>
        <v>0</v>
      </c>
    </row>
    <row r="691" spans="1:32">
      <c r="A691" s="677">
        <v>681</v>
      </c>
      <c r="B691" s="379" t="s">
        <v>1009</v>
      </c>
      <c r="C691" s="379" t="s">
        <v>652</v>
      </c>
      <c r="D691" s="379" t="s">
        <v>1273</v>
      </c>
      <c r="E691" s="668" t="s">
        <v>1825</v>
      </c>
      <c r="F691" s="674">
        <v>-48958.11</v>
      </c>
      <c r="G691" s="674">
        <v>-15345.72</v>
      </c>
      <c r="H691" s="674">
        <v>-24031.27</v>
      </c>
      <c r="I691" s="674">
        <v>-41781.269999999997</v>
      </c>
      <c r="J691" s="674">
        <v>-63424.37</v>
      </c>
      <c r="K691" s="674">
        <v>-89261.28</v>
      </c>
      <c r="L691" s="674">
        <v>-116170.82</v>
      </c>
      <c r="M691" s="674">
        <v>-145760.34</v>
      </c>
      <c r="N691" s="674">
        <v>-177943.42</v>
      </c>
      <c r="O691" s="674">
        <v>-214903.77</v>
      </c>
      <c r="P691" s="674">
        <v>-243170.11</v>
      </c>
      <c r="Q691" s="674">
        <v>-257003.67</v>
      </c>
      <c r="R691" s="674">
        <v>-272944.33</v>
      </c>
      <c r="S691" s="551">
        <f t="shared" si="171"/>
        <v>-129145.605</v>
      </c>
      <c r="T691" s="677"/>
      <c r="U691" s="716"/>
      <c r="V691" s="755"/>
      <c r="W691" s="755">
        <f t="shared" si="173"/>
        <v>-129145.605</v>
      </c>
      <c r="X691" s="778"/>
      <c r="Y691" s="755"/>
      <c r="Z691" s="755"/>
      <c r="AA691" s="716"/>
      <c r="AB691" s="755"/>
      <c r="AC691" s="718">
        <f t="shared" si="172"/>
        <v>-129145.605</v>
      </c>
      <c r="AD691" s="717"/>
      <c r="AE691" s="717"/>
      <c r="AF691" s="753">
        <f t="shared" si="168"/>
        <v>0</v>
      </c>
    </row>
    <row r="692" spans="1:32">
      <c r="A692" s="677">
        <v>682</v>
      </c>
      <c r="B692" s="379" t="s">
        <v>984</v>
      </c>
      <c r="C692" s="379" t="s">
        <v>652</v>
      </c>
      <c r="D692" s="379" t="s">
        <v>1142</v>
      </c>
      <c r="E692" s="668" t="s">
        <v>1824</v>
      </c>
      <c r="F692" s="674">
        <v>-91231.87</v>
      </c>
      <c r="G692" s="674">
        <v>-280.89999999999998</v>
      </c>
      <c r="H692" s="674">
        <v>-2902.45</v>
      </c>
      <c r="I692" s="674">
        <v>-24331.4</v>
      </c>
      <c r="J692" s="674">
        <v>-27446.55</v>
      </c>
      <c r="K692" s="674">
        <v>-32005.73</v>
      </c>
      <c r="L692" s="674">
        <v>-32880.769999999997</v>
      </c>
      <c r="M692" s="674">
        <v>-39606.519999999997</v>
      </c>
      <c r="N692" s="674">
        <v>-75710.539999999994</v>
      </c>
      <c r="O692" s="674">
        <v>-99548.37</v>
      </c>
      <c r="P692" s="674">
        <v>-101812.08</v>
      </c>
      <c r="Q692" s="674">
        <v>-117810.33</v>
      </c>
      <c r="R692" s="674">
        <v>-127456.02</v>
      </c>
      <c r="S692" s="551">
        <f t="shared" si="171"/>
        <v>-55306.63208333333</v>
      </c>
      <c r="T692" s="677"/>
      <c r="U692" s="716"/>
      <c r="V692" s="755"/>
      <c r="W692" s="755">
        <f t="shared" si="173"/>
        <v>-55306.63208333333</v>
      </c>
      <c r="X692" s="778"/>
      <c r="Y692" s="755"/>
      <c r="Z692" s="755"/>
      <c r="AA692" s="716"/>
      <c r="AB692" s="755"/>
      <c r="AC692" s="718">
        <f t="shared" si="172"/>
        <v>-55306.63208333333</v>
      </c>
      <c r="AD692" s="717"/>
      <c r="AE692" s="717"/>
      <c r="AF692" s="753">
        <f t="shared" si="168"/>
        <v>0</v>
      </c>
    </row>
    <row r="693" spans="1:32">
      <c r="A693" s="677">
        <v>683</v>
      </c>
      <c r="B693" s="379" t="s">
        <v>984</v>
      </c>
      <c r="C693" s="379" t="s">
        <v>652</v>
      </c>
      <c r="D693" s="379" t="s">
        <v>1273</v>
      </c>
      <c r="E693" s="668" t="s">
        <v>1825</v>
      </c>
      <c r="F693" s="674">
        <v>-333259.12</v>
      </c>
      <c r="G693" s="674">
        <v>-193561.47</v>
      </c>
      <c r="H693" s="674">
        <v>-401513.57</v>
      </c>
      <c r="I693" s="674">
        <v>-702540.04</v>
      </c>
      <c r="J693" s="674">
        <v>-1025192.68</v>
      </c>
      <c r="K693" s="674">
        <v>-1512761.49</v>
      </c>
      <c r="L693" s="674">
        <v>-1918089.91</v>
      </c>
      <c r="M693" s="674">
        <v>-2352378.36</v>
      </c>
      <c r="N693" s="674">
        <v>-2797749.95</v>
      </c>
      <c r="O693" s="674">
        <v>-3244603.12</v>
      </c>
      <c r="P693" s="674">
        <v>-3673229.92</v>
      </c>
      <c r="Q693" s="674">
        <v>-4086669.6</v>
      </c>
      <c r="R693" s="674">
        <v>-4504936.62</v>
      </c>
      <c r="S693" s="551">
        <f t="shared" si="171"/>
        <v>-2027282.3316666668</v>
      </c>
      <c r="T693" s="677"/>
      <c r="U693" s="716"/>
      <c r="V693" s="755"/>
      <c r="W693" s="755">
        <f t="shared" si="173"/>
        <v>-2027282.3316666668</v>
      </c>
      <c r="X693" s="778"/>
      <c r="Y693" s="755"/>
      <c r="Z693" s="755"/>
      <c r="AA693" s="716"/>
      <c r="AB693" s="755"/>
      <c r="AC693" s="718">
        <f t="shared" si="172"/>
        <v>-2027282.3316666668</v>
      </c>
      <c r="AD693" s="717"/>
      <c r="AE693" s="717"/>
      <c r="AF693" s="753">
        <f t="shared" si="168"/>
        <v>0</v>
      </c>
    </row>
    <row r="694" spans="1:32">
      <c r="A694" s="677">
        <v>684</v>
      </c>
      <c r="B694" s="379" t="s">
        <v>981</v>
      </c>
      <c r="C694" s="379" t="s">
        <v>653</v>
      </c>
      <c r="D694" s="677"/>
      <c r="E694" s="662" t="s">
        <v>654</v>
      </c>
      <c r="F694" s="674">
        <v>-555.79999999999995</v>
      </c>
      <c r="G694" s="674">
        <v>-418.9</v>
      </c>
      <c r="H694" s="674">
        <v>-458.49</v>
      </c>
      <c r="I694" s="674">
        <v>-579.49</v>
      </c>
      <c r="J694" s="674">
        <v>-900.44</v>
      </c>
      <c r="K694" s="674">
        <v>-900.44</v>
      </c>
      <c r="L694" s="674">
        <v>-900.44</v>
      </c>
      <c r="M694" s="674">
        <v>-1206.08</v>
      </c>
      <c r="N694" s="674">
        <v>-1206.08</v>
      </c>
      <c r="O694" s="674">
        <v>-1206.21</v>
      </c>
      <c r="P694" s="674">
        <v>-1511.72</v>
      </c>
      <c r="Q694" s="674">
        <v>-1511.72</v>
      </c>
      <c r="R694" s="674">
        <v>-1511.72</v>
      </c>
      <c r="S694" s="551">
        <f t="shared" si="171"/>
        <v>-986.14750000000004</v>
      </c>
      <c r="T694" s="677"/>
      <c r="U694" s="716"/>
      <c r="V694" s="755"/>
      <c r="W694" s="755">
        <f t="shared" si="173"/>
        <v>-986.14750000000004</v>
      </c>
      <c r="X694" s="778"/>
      <c r="Y694" s="755"/>
      <c r="Z694" s="755"/>
      <c r="AA694" s="716"/>
      <c r="AB694" s="755"/>
      <c r="AC694" s="718">
        <f t="shared" si="172"/>
        <v>-986.14750000000004</v>
      </c>
      <c r="AD694" s="717"/>
      <c r="AE694" s="717"/>
      <c r="AF694" s="753">
        <f t="shared" si="168"/>
        <v>0</v>
      </c>
    </row>
    <row r="695" spans="1:32">
      <c r="A695" s="677">
        <v>685</v>
      </c>
      <c r="B695" s="379" t="s">
        <v>981</v>
      </c>
      <c r="C695" s="379" t="s">
        <v>653</v>
      </c>
      <c r="D695" s="379" t="s">
        <v>1274</v>
      </c>
      <c r="E695" s="662" t="s">
        <v>1823</v>
      </c>
      <c r="F695" s="674">
        <v>-25320.63</v>
      </c>
      <c r="G695" s="674">
        <v>-8.3000000000000007</v>
      </c>
      <c r="H695" s="674">
        <v>-515.21</v>
      </c>
      <c r="I695" s="674">
        <v>-524.01</v>
      </c>
      <c r="J695" s="674">
        <v>-1324.65</v>
      </c>
      <c r="K695" s="674">
        <v>-1351.29</v>
      </c>
      <c r="L695" s="674">
        <v>-1862.76</v>
      </c>
      <c r="M695" s="674">
        <v>-2073.5500000000002</v>
      </c>
      <c r="N695" s="674">
        <v>-2277.0100000000002</v>
      </c>
      <c r="O695" s="674">
        <v>-2611.1</v>
      </c>
      <c r="P695" s="674">
        <v>-3018.85</v>
      </c>
      <c r="Q695" s="674">
        <v>-3038.46</v>
      </c>
      <c r="R695" s="674">
        <v>-3222.37</v>
      </c>
      <c r="S695" s="551">
        <f t="shared" si="171"/>
        <v>-2739.7241666666669</v>
      </c>
      <c r="T695" s="677"/>
      <c r="U695" s="716"/>
      <c r="V695" s="755"/>
      <c r="W695" s="755">
        <f t="shared" si="173"/>
        <v>-2739.7241666666669</v>
      </c>
      <c r="X695" s="778"/>
      <c r="Y695" s="755"/>
      <c r="Z695" s="755"/>
      <c r="AA695" s="716"/>
      <c r="AB695" s="755"/>
      <c r="AC695" s="718">
        <f t="shared" si="172"/>
        <v>-2739.7241666666669</v>
      </c>
      <c r="AD695" s="717"/>
      <c r="AE695" s="717"/>
      <c r="AF695" s="753">
        <f t="shared" si="168"/>
        <v>0</v>
      </c>
    </row>
    <row r="696" spans="1:32">
      <c r="A696" s="677">
        <v>686</v>
      </c>
      <c r="B696" s="379" t="s">
        <v>981</v>
      </c>
      <c r="C696" s="379" t="s">
        <v>655</v>
      </c>
      <c r="D696" s="677"/>
      <c r="E696" s="662" t="s">
        <v>1822</v>
      </c>
      <c r="F696" s="674">
        <v>-291152.65999999997</v>
      </c>
      <c r="G696" s="674">
        <v>-49036.05</v>
      </c>
      <c r="H696" s="674">
        <v>-93798.09</v>
      </c>
      <c r="I696" s="674">
        <v>-140846.35</v>
      </c>
      <c r="J696" s="674">
        <v>-181318.27</v>
      </c>
      <c r="K696" s="674">
        <v>-208200.92</v>
      </c>
      <c r="L696" s="674">
        <v>-247435.96</v>
      </c>
      <c r="M696" s="674">
        <v>-287914.62</v>
      </c>
      <c r="N696" s="674">
        <v>-346399.22</v>
      </c>
      <c r="O696" s="674">
        <v>-410815.07</v>
      </c>
      <c r="P696" s="674">
        <v>-486926.18</v>
      </c>
      <c r="Q696" s="674">
        <v>-563043.57999999996</v>
      </c>
      <c r="R696" s="674">
        <v>-649294.52</v>
      </c>
      <c r="S696" s="551">
        <f t="shared" si="171"/>
        <v>-290496.49166666664</v>
      </c>
      <c r="T696" s="677"/>
      <c r="U696" s="716"/>
      <c r="V696" s="755"/>
      <c r="W696" s="755">
        <f t="shared" si="173"/>
        <v>-290496.49166666664</v>
      </c>
      <c r="X696" s="778"/>
      <c r="Y696" s="755"/>
      <c r="Z696" s="755"/>
      <c r="AA696" s="716"/>
      <c r="AB696" s="755"/>
      <c r="AC696" s="718">
        <f t="shared" si="172"/>
        <v>-290496.49166666664</v>
      </c>
      <c r="AD696" s="717"/>
      <c r="AE696" s="717"/>
      <c r="AF696" s="753">
        <f t="shared" si="168"/>
        <v>0</v>
      </c>
    </row>
    <row r="697" spans="1:32">
      <c r="A697" s="677">
        <v>687</v>
      </c>
      <c r="B697" s="379" t="s">
        <v>981</v>
      </c>
      <c r="C697" s="379" t="s">
        <v>655</v>
      </c>
      <c r="D697" s="677"/>
      <c r="E697" s="662" t="s">
        <v>1822</v>
      </c>
      <c r="F697" s="674">
        <v>-47519.35</v>
      </c>
      <c r="G697" s="674">
        <v>0</v>
      </c>
      <c r="H697" s="674">
        <v>0</v>
      </c>
      <c r="I697" s="674">
        <v>0</v>
      </c>
      <c r="J697" s="674">
        <v>0</v>
      </c>
      <c r="K697" s="674">
        <v>0</v>
      </c>
      <c r="L697" s="674">
        <v>0</v>
      </c>
      <c r="M697" s="674">
        <v>16.91</v>
      </c>
      <c r="N697" s="674">
        <v>16.91</v>
      </c>
      <c r="O697" s="674">
        <v>16.91</v>
      </c>
      <c r="P697" s="674">
        <v>16.91</v>
      </c>
      <c r="Q697" s="674">
        <v>104.97</v>
      </c>
      <c r="R697" s="674">
        <v>104.97</v>
      </c>
      <c r="S697" s="551">
        <f t="shared" si="171"/>
        <v>-1961.2149999999999</v>
      </c>
      <c r="T697" s="677"/>
      <c r="U697" s="716"/>
      <c r="V697" s="755"/>
      <c r="W697" s="755">
        <f t="shared" si="173"/>
        <v>-1961.2149999999999</v>
      </c>
      <c r="X697" s="778"/>
      <c r="Y697" s="755"/>
      <c r="Z697" s="755"/>
      <c r="AA697" s="716"/>
      <c r="AB697" s="755"/>
      <c r="AC697" s="718">
        <f t="shared" si="172"/>
        <v>-1961.2149999999999</v>
      </c>
      <c r="AD697" s="717"/>
      <c r="AE697" s="717"/>
      <c r="AF697" s="753">
        <f t="shared" si="168"/>
        <v>0</v>
      </c>
    </row>
    <row r="698" spans="1:32">
      <c r="A698" s="677">
        <v>689</v>
      </c>
      <c r="B698" s="677"/>
      <c r="C698" s="677"/>
      <c r="D698" s="677"/>
      <c r="E698" s="662" t="s">
        <v>658</v>
      </c>
      <c r="F698" s="553">
        <f t="shared" ref="F698" si="174">SUM(F687:F697)</f>
        <v>-886903.13999999978</v>
      </c>
      <c r="G698" s="553">
        <f t="shared" ref="G698" si="175">SUM(G687:G697)</f>
        <v>-264051.61</v>
      </c>
      <c r="H698" s="553">
        <f t="shared" ref="H698" si="176">SUM(H687:H697)</f>
        <v>-530545.21</v>
      </c>
      <c r="I698" s="553">
        <f t="shared" ref="I698" si="177">SUM(I687:I697)</f>
        <v>-946745.59</v>
      </c>
      <c r="J698" s="553">
        <f t="shared" ref="J698" si="178">SUM(J687:J697)</f>
        <v>-1347209.95</v>
      </c>
      <c r="K698" s="553">
        <f t="shared" ref="K698" si="179">SUM(K687:K697)</f>
        <v>-1901734.3099999998</v>
      </c>
      <c r="L698" s="553">
        <f t="shared" ref="L698" si="180">SUM(L687:L697)</f>
        <v>-2391803.4299999997</v>
      </c>
      <c r="M698" s="553">
        <f t="shared" ref="M698" si="181">SUM(M687:M697)</f>
        <v>-2905923.9899999998</v>
      </c>
      <c r="N698" s="553">
        <f t="shared" ref="N698" si="182">SUM(N687:N697)</f>
        <v>-3489916.3200000003</v>
      </c>
      <c r="O698" s="553">
        <f t="shared" ref="O698" si="183">SUM(O687:O697)</f>
        <v>-4067973.73</v>
      </c>
      <c r="P698" s="553">
        <f t="shared" ref="P698" si="184">SUM(P687:P697)</f>
        <v>-4615175.05</v>
      </c>
      <c r="Q698" s="553">
        <f t="shared" ref="Q698" si="185">SUM(Q687:Q697)</f>
        <v>-5140167.6000000006</v>
      </c>
      <c r="R698" s="553">
        <f t="shared" ref="R698" si="186">SUM(R687:R697)</f>
        <v>-5675979.0900000008</v>
      </c>
      <c r="S698" s="553">
        <f>SUM(S687:S697)</f>
        <v>-2573557.3254166665</v>
      </c>
      <c r="T698" s="677"/>
      <c r="U698" s="716"/>
      <c r="V698" s="755"/>
      <c r="W698" s="755"/>
      <c r="X698" s="778"/>
      <c r="Y698" s="755"/>
      <c r="Z698" s="755"/>
      <c r="AA698" s="716"/>
      <c r="AB698" s="755"/>
      <c r="AC698" s="717"/>
      <c r="AD698" s="717"/>
      <c r="AE698" s="717"/>
    </row>
    <row r="699" spans="1:32">
      <c r="A699" s="677">
        <v>690</v>
      </c>
      <c r="B699" s="677"/>
      <c r="C699" s="677"/>
      <c r="D699" s="677"/>
      <c r="E699" s="662"/>
      <c r="F699" s="676"/>
      <c r="G699" s="377"/>
      <c r="H699" s="368"/>
      <c r="I699" s="368"/>
      <c r="J699" s="369"/>
      <c r="K699" s="370"/>
      <c r="L699" s="371"/>
      <c r="M699" s="372"/>
      <c r="N699" s="373"/>
      <c r="O699" s="663"/>
      <c r="P699" s="374"/>
      <c r="Q699" s="378"/>
      <c r="R699" s="676"/>
      <c r="S699" s="357"/>
      <c r="T699" s="677"/>
      <c r="U699" s="716"/>
      <c r="V699" s="755"/>
      <c r="W699" s="755"/>
      <c r="X699" s="778"/>
      <c r="Y699" s="755"/>
      <c r="Z699" s="755"/>
      <c r="AA699" s="716"/>
      <c r="AB699" s="755"/>
      <c r="AC699" s="717"/>
      <c r="AD699" s="717"/>
      <c r="AE699" s="717"/>
    </row>
    <row r="700" spans="1:32" ht="15.75" thickBot="1">
      <c r="A700" s="677">
        <v>691</v>
      </c>
      <c r="B700" s="594"/>
      <c r="C700" s="594"/>
      <c r="D700" s="594"/>
      <c r="E700" s="669" t="s">
        <v>659</v>
      </c>
      <c r="F700" s="385">
        <f t="shared" ref="F700:S700" si="187">+F698+F685+F615+F588+F546+F459+F419+F399</f>
        <v>-1117173255.4099998</v>
      </c>
      <c r="G700" s="385">
        <f t="shared" si="187"/>
        <v>-874125722.08000004</v>
      </c>
      <c r="H700" s="385">
        <f t="shared" si="187"/>
        <v>-939569369.36000013</v>
      </c>
      <c r="I700" s="385">
        <f t="shared" si="187"/>
        <v>-996037968.96000004</v>
      </c>
      <c r="J700" s="385">
        <f t="shared" si="187"/>
        <v>-998465333.85000002</v>
      </c>
      <c r="K700" s="385">
        <f t="shared" si="187"/>
        <v>-1006979612.15</v>
      </c>
      <c r="L700" s="385">
        <f t="shared" si="187"/>
        <v>-1026172554.4399999</v>
      </c>
      <c r="M700" s="385">
        <f t="shared" si="187"/>
        <v>-1052630814.3600001</v>
      </c>
      <c r="N700" s="385">
        <f t="shared" si="187"/>
        <v>-1077947351.52</v>
      </c>
      <c r="O700" s="385">
        <f t="shared" si="187"/>
        <v>-1095026663.54</v>
      </c>
      <c r="P700" s="385">
        <f t="shared" si="187"/>
        <v>-1143148336.5699997</v>
      </c>
      <c r="Q700" s="385">
        <f t="shared" si="187"/>
        <v>-1193037825.9899998</v>
      </c>
      <c r="R700" s="385">
        <f t="shared" si="187"/>
        <v>-1262198971.3000002</v>
      </c>
      <c r="S700" s="385">
        <f t="shared" si="187"/>
        <v>-1049402305.5145833</v>
      </c>
      <c r="T700" s="594"/>
      <c r="U700" s="721"/>
      <c r="V700" s="756"/>
      <c r="W700" s="756"/>
      <c r="X700" s="781"/>
      <c r="Y700" s="756"/>
      <c r="Z700" s="756"/>
      <c r="AA700" s="721"/>
      <c r="AB700" s="756"/>
      <c r="AC700" s="722"/>
      <c r="AD700" s="722"/>
      <c r="AE700" s="722"/>
    </row>
    <row r="701" spans="1:32" ht="15.75" thickTop="1">
      <c r="A701" s="677">
        <v>692</v>
      </c>
      <c r="B701" s="677"/>
      <c r="C701" s="677"/>
      <c r="D701" s="677"/>
      <c r="E701" s="677"/>
      <c r="F701" s="677"/>
      <c r="G701" s="677"/>
      <c r="H701" s="677"/>
      <c r="I701" s="677"/>
      <c r="J701" s="677"/>
      <c r="K701" s="677"/>
      <c r="L701" s="677"/>
      <c r="M701" s="677"/>
      <c r="N701" s="677"/>
      <c r="O701" s="677"/>
      <c r="P701" s="677"/>
      <c r="Q701" s="677"/>
      <c r="R701" s="677"/>
      <c r="S701" s="380"/>
      <c r="T701" s="677"/>
      <c r="U701" s="784"/>
      <c r="V701" s="785"/>
      <c r="W701" s="785"/>
      <c r="X701" s="785"/>
      <c r="Y701" s="785"/>
      <c r="Z701" s="785"/>
      <c r="AA701" s="784"/>
      <c r="AB701" s="785"/>
      <c r="AC701" s="786"/>
      <c r="AD701" s="786"/>
      <c r="AE701" s="786"/>
    </row>
    <row r="702" spans="1:32">
      <c r="A702" s="677">
        <v>693</v>
      </c>
      <c r="B702" s="677"/>
      <c r="C702" s="677"/>
      <c r="D702" s="677"/>
      <c r="E702" s="677"/>
      <c r="F702" s="677"/>
      <c r="G702" s="677"/>
      <c r="H702" s="677"/>
      <c r="I702" s="677"/>
      <c r="J702" s="677"/>
      <c r="K702" s="677"/>
      <c r="L702" s="677"/>
      <c r="M702" s="677"/>
      <c r="N702" s="677"/>
      <c r="O702" s="677"/>
      <c r="P702" s="677"/>
      <c r="Q702" s="677"/>
      <c r="R702" s="677"/>
      <c r="S702" s="380"/>
      <c r="T702" s="677"/>
      <c r="U702" s="380"/>
      <c r="V702" s="770"/>
      <c r="W702" s="770"/>
      <c r="X702" s="770"/>
      <c r="Y702" s="770"/>
      <c r="Z702" s="770"/>
      <c r="AA702" s="380"/>
      <c r="AB702" s="770"/>
      <c r="AC702" s="677"/>
      <c r="AD702" s="677"/>
      <c r="AE702" s="677"/>
    </row>
    <row r="703" spans="1:32">
      <c r="A703" s="677">
        <v>694</v>
      </c>
      <c r="B703" s="677"/>
      <c r="C703" s="677"/>
      <c r="D703" s="677"/>
      <c r="E703" s="594" t="s">
        <v>1275</v>
      </c>
      <c r="F703" s="677"/>
      <c r="G703" s="677"/>
      <c r="H703" s="677"/>
      <c r="I703" s="677"/>
      <c r="J703" s="677"/>
      <c r="K703" s="677"/>
      <c r="L703" s="677"/>
      <c r="M703" s="677"/>
      <c r="N703" s="677"/>
      <c r="O703" s="677"/>
      <c r="P703" s="677"/>
      <c r="Q703" s="677"/>
      <c r="R703" s="677"/>
      <c r="S703" s="380"/>
      <c r="T703" s="677"/>
      <c r="U703" s="397">
        <f t="shared" ref="U703:AD703" si="188">SUM(U15:U698)</f>
        <v>226453054.14000002</v>
      </c>
      <c r="V703" s="757">
        <f t="shared" si="188"/>
        <v>-213982709.2083334</v>
      </c>
      <c r="W703" s="757">
        <f t="shared" si="188"/>
        <v>-608665589.31624961</v>
      </c>
      <c r="X703" s="757">
        <f t="shared" si="188"/>
        <v>596195244.38458323</v>
      </c>
      <c r="Y703" s="757">
        <f t="shared" si="188"/>
        <v>361675908.75521296</v>
      </c>
      <c r="Z703" s="757">
        <f t="shared" si="188"/>
        <v>116788178.80603699</v>
      </c>
      <c r="AA703" s="397">
        <f t="shared" si="188"/>
        <v>0</v>
      </c>
      <c r="AB703" s="757">
        <f t="shared" si="188"/>
        <v>117731156.8233334</v>
      </c>
      <c r="AC703" s="787">
        <f t="shared" si="188"/>
        <v>-608665589.31624961</v>
      </c>
      <c r="AD703" s="787">
        <f t="shared" si="188"/>
        <v>12470344.931666918</v>
      </c>
      <c r="AE703" s="381">
        <f>+AB703+Z703+Y703</f>
        <v>596195244.38458335</v>
      </c>
    </row>
    <row r="704" spans="1:32">
      <c r="A704" s="677">
        <v>695</v>
      </c>
      <c r="B704" s="677"/>
      <c r="C704" s="677"/>
      <c r="D704" s="677"/>
      <c r="E704" s="677" t="s">
        <v>1276</v>
      </c>
      <c r="F704" s="677"/>
      <c r="G704" s="677"/>
      <c r="H704" s="677"/>
      <c r="I704" s="677"/>
      <c r="J704" s="677"/>
      <c r="K704" s="677"/>
      <c r="L704" s="677"/>
      <c r="M704" s="677"/>
      <c r="N704" s="677"/>
      <c r="O704" s="677"/>
      <c r="P704" s="677"/>
      <c r="Q704" s="677"/>
      <c r="R704" s="677"/>
      <c r="S704" s="380"/>
      <c r="T704" s="677"/>
      <c r="U704" s="774" t="s">
        <v>1277</v>
      </c>
      <c r="V704" s="757">
        <f>+U703+V703</f>
        <v>12470344.931666613</v>
      </c>
      <c r="W704" s="775" t="s">
        <v>1278</v>
      </c>
      <c r="X704" s="770">
        <f>-W703-X703</f>
        <v>12470344.931666374</v>
      </c>
      <c r="Y704" s="770"/>
      <c r="Z704" s="770"/>
      <c r="AA704" s="380"/>
      <c r="AB704" s="770"/>
      <c r="AC704" s="381">
        <f>+AB703+Z703+Y703</f>
        <v>596195244.38458335</v>
      </c>
      <c r="AD704" s="677"/>
      <c r="AE704" s="381">
        <f>+AE703-X703</f>
        <v>0</v>
      </c>
    </row>
    <row r="705" spans="1:31">
      <c r="A705" s="677">
        <v>696</v>
      </c>
      <c r="B705" s="677"/>
      <c r="C705" s="677"/>
      <c r="D705" s="677"/>
      <c r="E705" s="677"/>
      <c r="F705" s="677"/>
      <c r="G705" s="677"/>
      <c r="H705" s="677"/>
      <c r="I705" s="677"/>
      <c r="J705" s="677"/>
      <c r="K705" s="677"/>
      <c r="L705" s="677"/>
      <c r="M705" s="677"/>
      <c r="N705" s="677"/>
      <c r="O705" s="677"/>
      <c r="P705" s="677"/>
      <c r="Q705" s="677"/>
      <c r="R705" s="677"/>
      <c r="S705" s="380"/>
      <c r="T705" s="677"/>
      <c r="U705" s="380"/>
      <c r="V705" s="770"/>
      <c r="W705" s="770"/>
      <c r="X705" s="757">
        <f>+X704-V704</f>
        <v>-2.384185791015625E-7</v>
      </c>
      <c r="Y705" s="770"/>
      <c r="Z705" s="770"/>
      <c r="AA705" s="380">
        <f>+Y703+Z703+AB703-X703</f>
        <v>0</v>
      </c>
      <c r="AB705" s="770"/>
      <c r="AC705" s="677"/>
      <c r="AD705" s="381"/>
      <c r="AE705" s="677"/>
    </row>
    <row r="706" spans="1:31">
      <c r="A706" s="677">
        <v>697</v>
      </c>
      <c r="B706" s="677"/>
      <c r="C706" s="677"/>
      <c r="D706" s="677"/>
      <c r="E706" s="677" t="s">
        <v>1279</v>
      </c>
      <c r="F706" s="677"/>
      <c r="G706" s="677"/>
      <c r="H706" s="677"/>
      <c r="I706" s="677"/>
      <c r="J706" s="677"/>
      <c r="K706" s="677"/>
      <c r="L706" s="677"/>
      <c r="M706" s="677"/>
      <c r="N706" s="677"/>
      <c r="O706" s="677"/>
      <c r="P706" s="677"/>
      <c r="Q706" s="677"/>
      <c r="R706" s="677"/>
      <c r="S706" s="380"/>
      <c r="T706" s="677"/>
      <c r="U706" s="380"/>
      <c r="V706" s="770"/>
      <c r="W706" s="770"/>
      <c r="X706" s="770">
        <f>+X703-Y703-Z703-AB703</f>
        <v>-1.1920928955078125E-7</v>
      </c>
      <c r="Y706" s="715">
        <f>+Y703/AC704</f>
        <v>0.60664004310961817</v>
      </c>
      <c r="Z706" s="715">
        <f>+Z703/AC704</f>
        <v>0.19588914857345169</v>
      </c>
      <c r="AA706" s="715"/>
      <c r="AB706" s="715">
        <f>+AB703/AC704</f>
        <v>0.19747080831693017</v>
      </c>
      <c r="AC706" s="677"/>
      <c r="AD706" s="677"/>
      <c r="AE706" s="677"/>
    </row>
    <row r="707" spans="1:31">
      <c r="A707" s="677">
        <v>698</v>
      </c>
      <c r="B707" s="677"/>
      <c r="C707" s="677"/>
      <c r="D707" s="677"/>
      <c r="E707" s="677"/>
      <c r="F707" s="677"/>
      <c r="G707" s="677"/>
      <c r="H707" s="677"/>
      <c r="I707" s="677"/>
      <c r="J707" s="677"/>
      <c r="K707" s="677"/>
      <c r="L707" s="677"/>
      <c r="M707" s="677"/>
      <c r="N707" s="677"/>
      <c r="O707" s="677"/>
      <c r="P707" s="677"/>
      <c r="Q707" s="677"/>
      <c r="R707" s="677"/>
      <c r="S707" s="380"/>
      <c r="T707" s="677"/>
      <c r="U707" s="380"/>
      <c r="V707" s="770"/>
      <c r="W707" s="770"/>
      <c r="X707" s="770"/>
      <c r="Y707" s="770"/>
      <c r="Z707" s="770"/>
      <c r="AA707" s="380"/>
      <c r="AB707" s="770"/>
      <c r="AC707" s="677"/>
      <c r="AD707" s="677"/>
      <c r="AE707" s="677"/>
    </row>
    <row r="708" spans="1:31">
      <c r="A708" s="677">
        <v>699</v>
      </c>
      <c r="B708" s="677"/>
      <c r="C708" s="677"/>
      <c r="D708" s="677"/>
      <c r="E708" s="677" t="s">
        <v>1280</v>
      </c>
      <c r="F708" s="677"/>
      <c r="G708" s="677"/>
      <c r="H708" s="677"/>
      <c r="I708" s="677"/>
      <c r="J708" s="677"/>
      <c r="K708" s="677"/>
      <c r="L708" s="677"/>
      <c r="M708" s="677"/>
      <c r="N708" s="677"/>
      <c r="O708" s="677"/>
      <c r="P708" s="677"/>
      <c r="Q708" s="677"/>
      <c r="R708" s="677"/>
      <c r="S708" s="380"/>
      <c r="T708" s="677"/>
      <c r="U708" s="380"/>
      <c r="V708" s="770"/>
      <c r="W708" s="770"/>
      <c r="X708" s="770"/>
      <c r="Y708" s="788">
        <f>+X704*Y706</f>
        <v>7565010.5869378978</v>
      </c>
      <c r="Z708" s="770">
        <f>+X704*Z706</f>
        <v>2442805.2510813847</v>
      </c>
      <c r="AA708" s="380"/>
      <c r="AB708" s="770">
        <f>+X704*AB706</f>
        <v>2462529.0936470921</v>
      </c>
      <c r="AC708" s="677"/>
      <c r="AD708" s="677"/>
      <c r="AE708" s="677"/>
    </row>
    <row r="709" spans="1:31">
      <c r="A709" s="677"/>
      <c r="B709" s="677"/>
      <c r="C709" s="677"/>
      <c r="D709" s="677"/>
      <c r="E709" s="677"/>
      <c r="F709" s="677"/>
      <c r="G709" s="677"/>
      <c r="H709" s="677"/>
      <c r="I709" s="677"/>
      <c r="J709" s="677"/>
      <c r="K709" s="677"/>
      <c r="L709" s="677"/>
      <c r="M709" s="677"/>
      <c r="N709" s="677"/>
      <c r="O709" s="677"/>
      <c r="P709" s="677"/>
      <c r="Q709" s="677"/>
      <c r="R709" s="677"/>
      <c r="S709" s="380"/>
      <c r="T709" s="677"/>
      <c r="U709" s="380"/>
      <c r="V709" s="770"/>
      <c r="W709" s="770"/>
      <c r="X709" s="770"/>
      <c r="Y709" s="770"/>
      <c r="Z709" s="770"/>
      <c r="AA709" s="380"/>
      <c r="AB709" s="770"/>
      <c r="AC709" s="677"/>
      <c r="AD709" s="677"/>
      <c r="AE709" s="677"/>
    </row>
    <row r="710" spans="1:31">
      <c r="A710" s="677"/>
      <c r="B710" s="677"/>
      <c r="C710" s="677"/>
      <c r="D710" s="677"/>
      <c r="E710" s="677"/>
      <c r="F710" s="677"/>
      <c r="G710" s="677"/>
      <c r="H710" s="677"/>
      <c r="I710" s="677"/>
      <c r="J710" s="677"/>
      <c r="K710" s="677"/>
      <c r="L710" s="677"/>
      <c r="M710" s="677"/>
      <c r="N710" s="677"/>
      <c r="O710" s="677"/>
      <c r="P710" s="677"/>
      <c r="Q710" s="677"/>
      <c r="R710" s="677"/>
      <c r="S710" s="380"/>
      <c r="T710" s="677"/>
      <c r="U710" s="380"/>
      <c r="V710" s="770"/>
      <c r="W710" s="770"/>
      <c r="X710" s="770"/>
      <c r="Y710" s="770"/>
      <c r="Z710" s="770"/>
      <c r="AA710" s="380"/>
      <c r="AB710" s="770"/>
      <c r="AC710" s="677"/>
      <c r="AD710" s="677"/>
      <c r="AE710" s="677"/>
    </row>
    <row r="711" spans="1:31">
      <c r="A711" s="677"/>
      <c r="B711" s="677"/>
      <c r="C711" s="677"/>
      <c r="D711" s="677"/>
      <c r="E711" s="677"/>
      <c r="F711" s="677"/>
      <c r="G711" s="677"/>
      <c r="H711" s="677"/>
      <c r="I711" s="677"/>
      <c r="J711" s="677"/>
      <c r="K711" s="677"/>
      <c r="L711" s="677"/>
      <c r="M711" s="677"/>
      <c r="N711" s="677"/>
      <c r="O711" s="677"/>
      <c r="P711" s="677"/>
      <c r="Q711" s="677"/>
      <c r="R711" s="677"/>
      <c r="S711" s="380"/>
      <c r="T711" s="677"/>
      <c r="U711" s="380"/>
      <c r="V711" s="770"/>
      <c r="W711" s="770"/>
      <c r="X711" s="770"/>
      <c r="Y711" s="770"/>
      <c r="Z711" s="770"/>
      <c r="AA711" s="380"/>
      <c r="AB711" s="770"/>
      <c r="AC711" s="677"/>
      <c r="AD711" s="677"/>
      <c r="AE711" s="677"/>
    </row>
    <row r="712" spans="1:31">
      <c r="A712" s="677"/>
      <c r="B712" s="677"/>
      <c r="C712" s="677"/>
      <c r="D712" s="677"/>
      <c r="E712" s="677"/>
      <c r="F712" s="677"/>
      <c r="G712" s="677"/>
      <c r="H712" s="677"/>
      <c r="I712" s="677"/>
      <c r="J712" s="677"/>
      <c r="K712" s="677"/>
      <c r="L712" s="677"/>
      <c r="M712" s="677"/>
      <c r="N712" s="677"/>
      <c r="O712" s="677"/>
      <c r="P712" s="677"/>
      <c r="Q712" s="677"/>
      <c r="R712" s="677"/>
      <c r="S712" s="380"/>
      <c r="T712" s="677"/>
      <c r="U712" s="380"/>
      <c r="V712" s="770"/>
      <c r="W712" s="770"/>
      <c r="X712" s="770"/>
      <c r="Y712" s="770"/>
      <c r="Z712" s="770"/>
      <c r="AA712" s="380"/>
      <c r="AB712" s="770"/>
      <c r="AC712" s="677"/>
      <c r="AD712" s="677"/>
      <c r="AE712" s="677"/>
    </row>
    <row r="713" spans="1:31">
      <c r="A713" s="677"/>
      <c r="B713" s="677"/>
      <c r="C713" s="677"/>
      <c r="D713" s="677"/>
      <c r="E713" s="677"/>
      <c r="F713" s="677"/>
      <c r="G713" s="677"/>
      <c r="H713" s="677"/>
      <c r="I713" s="677"/>
      <c r="J713" s="677"/>
      <c r="K713" s="677"/>
      <c r="L713" s="677"/>
      <c r="M713" s="677"/>
      <c r="N713" s="677"/>
      <c r="O713" s="677"/>
      <c r="P713" s="677"/>
      <c r="Q713" s="677"/>
      <c r="R713" s="677"/>
      <c r="S713" s="380"/>
      <c r="T713" s="677"/>
      <c r="U713" s="380"/>
      <c r="V713" s="770"/>
      <c r="W713" s="770"/>
      <c r="X713" s="770"/>
      <c r="Y713" s="770"/>
      <c r="Z713" s="770"/>
      <c r="AA713" s="380"/>
      <c r="AB713" s="770"/>
      <c r="AC713" s="677"/>
      <c r="AD713" s="677"/>
      <c r="AE713" s="677"/>
    </row>
    <row r="714" spans="1:31">
      <c r="A714" s="677"/>
      <c r="B714" s="677"/>
      <c r="C714" s="677"/>
      <c r="D714" s="677"/>
      <c r="E714" s="677"/>
      <c r="F714" s="677"/>
      <c r="G714" s="677"/>
      <c r="H714" s="677"/>
      <c r="I714" s="677"/>
      <c r="J714" s="677"/>
      <c r="K714" s="677"/>
      <c r="L714" s="677"/>
      <c r="M714" s="677"/>
      <c r="N714" s="677"/>
      <c r="O714" s="677"/>
      <c r="P714" s="677"/>
      <c r="Q714" s="677"/>
      <c r="R714" s="677"/>
      <c r="S714" s="380"/>
      <c r="T714" s="677"/>
      <c r="U714" s="380"/>
      <c r="V714" s="770"/>
      <c r="W714" s="770"/>
      <c r="X714" s="770"/>
      <c r="Y714" s="770"/>
      <c r="Z714" s="770"/>
      <c r="AA714" s="380"/>
      <c r="AB714" s="770"/>
      <c r="AC714" s="677"/>
      <c r="AD714" s="677"/>
      <c r="AE714" s="677"/>
    </row>
    <row r="715" spans="1:31">
      <c r="A715" s="677"/>
      <c r="B715" s="677"/>
      <c r="C715" s="677"/>
      <c r="D715" s="677"/>
      <c r="E715" s="677"/>
      <c r="F715" s="677"/>
      <c r="G715" s="677"/>
      <c r="H715" s="677"/>
      <c r="I715" s="677"/>
      <c r="J715" s="677"/>
      <c r="K715" s="677"/>
      <c r="L715" s="677"/>
      <c r="M715" s="677"/>
      <c r="N715" s="677"/>
      <c r="O715" s="677"/>
      <c r="P715" s="677"/>
      <c r="Q715" s="677"/>
      <c r="R715" s="677"/>
      <c r="S715" s="380"/>
      <c r="T715" s="677"/>
      <c r="U715" s="380"/>
      <c r="V715" s="770"/>
      <c r="W715" s="770"/>
      <c r="X715" s="770"/>
      <c r="Y715" s="770"/>
      <c r="Z715" s="770"/>
      <c r="AA715" s="380"/>
      <c r="AB715" s="770"/>
      <c r="AC715" s="677"/>
      <c r="AD715" s="677"/>
      <c r="AE715" s="677"/>
    </row>
    <row r="716" spans="1:31">
      <c r="A716" s="677"/>
      <c r="B716" s="677"/>
      <c r="C716" s="677"/>
      <c r="D716" s="677"/>
      <c r="E716" s="677"/>
      <c r="F716" s="677"/>
      <c r="G716" s="677"/>
      <c r="H716" s="677"/>
      <c r="I716" s="677"/>
      <c r="J716" s="677"/>
      <c r="K716" s="677"/>
      <c r="L716" s="677"/>
      <c r="M716" s="677"/>
      <c r="N716" s="677"/>
      <c r="O716" s="677"/>
      <c r="P716" s="677"/>
      <c r="Q716" s="677"/>
      <c r="R716" s="677"/>
      <c r="S716" s="380"/>
      <c r="T716" s="677"/>
      <c r="U716" s="380"/>
      <c r="V716" s="770"/>
      <c r="W716" s="770"/>
      <c r="X716" s="770"/>
      <c r="Y716" s="770"/>
      <c r="Z716" s="770"/>
      <c r="AA716" s="380"/>
      <c r="AB716" s="770"/>
      <c r="AC716" s="677"/>
      <c r="AD716" s="677"/>
      <c r="AE716" s="677"/>
    </row>
    <row r="717" spans="1:31">
      <c r="A717" s="677"/>
      <c r="B717" s="677"/>
      <c r="C717" s="677"/>
      <c r="D717" s="677"/>
      <c r="E717" s="677"/>
      <c r="F717" s="677"/>
      <c r="G717" s="677"/>
      <c r="H717" s="677"/>
      <c r="I717" s="677"/>
      <c r="J717" s="677"/>
      <c r="K717" s="677"/>
      <c r="L717" s="677"/>
      <c r="M717" s="677"/>
      <c r="N717" s="677"/>
      <c r="O717" s="677"/>
      <c r="P717" s="677"/>
      <c r="Q717" s="677"/>
      <c r="R717" s="677"/>
      <c r="S717" s="380"/>
      <c r="T717" s="677"/>
      <c r="U717" s="380"/>
      <c r="V717" s="770"/>
      <c r="W717" s="770"/>
      <c r="X717" s="770"/>
      <c r="Y717" s="770"/>
      <c r="Z717" s="770"/>
      <c r="AA717" s="380"/>
      <c r="AB717" s="770"/>
      <c r="AC717" s="677"/>
      <c r="AD717" s="677"/>
      <c r="AE717" s="677"/>
    </row>
    <row r="718" spans="1:31">
      <c r="A718" s="677"/>
      <c r="B718" s="677"/>
      <c r="C718" s="677"/>
      <c r="D718" s="677"/>
      <c r="E718" s="677"/>
      <c r="F718" s="677"/>
      <c r="G718" s="677"/>
      <c r="H718" s="677"/>
      <c r="I718" s="677"/>
      <c r="J718" s="677"/>
      <c r="K718" s="677"/>
      <c r="L718" s="677"/>
      <c r="M718" s="677"/>
      <c r="N718" s="677"/>
      <c r="O718" s="677"/>
      <c r="P718" s="677"/>
      <c r="Q718" s="677"/>
      <c r="R718" s="677"/>
      <c r="S718" s="380"/>
      <c r="T718" s="677"/>
      <c r="U718" s="380"/>
      <c r="V718" s="770"/>
      <c r="W718" s="770"/>
      <c r="X718" s="770"/>
      <c r="Y718" s="770"/>
      <c r="Z718" s="770"/>
      <c r="AA718" s="380"/>
      <c r="AB718" s="770"/>
      <c r="AC718" s="677"/>
      <c r="AD718" s="677"/>
      <c r="AE718" s="677"/>
    </row>
    <row r="719" spans="1:31">
      <c r="A719" s="677"/>
      <c r="B719" s="677"/>
      <c r="C719" s="677"/>
      <c r="D719" s="677"/>
      <c r="E719" s="677"/>
      <c r="F719" s="677"/>
      <c r="G719" s="677"/>
      <c r="H719" s="677"/>
      <c r="I719" s="677"/>
      <c r="J719" s="677"/>
      <c r="K719" s="677"/>
      <c r="L719" s="677"/>
      <c r="M719" s="677"/>
      <c r="N719" s="677"/>
      <c r="O719" s="677"/>
      <c r="P719" s="677"/>
      <c r="Q719" s="677"/>
      <c r="R719" s="677"/>
      <c r="S719" s="380"/>
      <c r="T719" s="677"/>
      <c r="U719" s="380"/>
      <c r="V719" s="770"/>
      <c r="W719" s="770"/>
      <c r="X719" s="770"/>
      <c r="Y719" s="770"/>
      <c r="Z719" s="770"/>
      <c r="AA719" s="380"/>
      <c r="AB719" s="770"/>
      <c r="AC719" s="677"/>
      <c r="AD719" s="677"/>
      <c r="AE719" s="677"/>
    </row>
    <row r="720" spans="1:31">
      <c r="A720" s="677"/>
      <c r="B720" s="677"/>
      <c r="C720" s="677"/>
      <c r="D720" s="677"/>
      <c r="E720" s="677"/>
      <c r="F720" s="677"/>
      <c r="G720" s="677"/>
      <c r="H720" s="677"/>
      <c r="I720" s="677"/>
      <c r="J720" s="677"/>
      <c r="K720" s="677"/>
      <c r="L720" s="677"/>
      <c r="M720" s="677"/>
      <c r="N720" s="677"/>
      <c r="O720" s="677"/>
      <c r="P720" s="677"/>
      <c r="Q720" s="677"/>
      <c r="R720" s="677"/>
      <c r="S720" s="380"/>
      <c r="T720" s="677"/>
      <c r="U720" s="380"/>
      <c r="V720" s="770"/>
      <c r="W720" s="770"/>
      <c r="X720" s="770"/>
      <c r="Y720" s="770"/>
      <c r="Z720" s="770"/>
      <c r="AA720" s="380"/>
      <c r="AB720" s="770"/>
      <c r="AC720" s="677"/>
      <c r="AD720" s="677"/>
      <c r="AE720" s="677"/>
    </row>
    <row r="721" spans="1:31">
      <c r="A721" s="677"/>
      <c r="B721" s="677"/>
      <c r="C721" s="677"/>
      <c r="D721" s="677"/>
      <c r="E721" s="677"/>
      <c r="F721" s="677"/>
      <c r="G721" s="677"/>
      <c r="H721" s="677"/>
      <c r="I721" s="677"/>
      <c r="J721" s="677"/>
      <c r="K721" s="677"/>
      <c r="L721" s="677"/>
      <c r="M721" s="677"/>
      <c r="N721" s="677"/>
      <c r="O721" s="677"/>
      <c r="P721" s="677"/>
      <c r="Q721" s="677"/>
      <c r="R721" s="677"/>
      <c r="S721" s="380"/>
      <c r="T721" s="677"/>
      <c r="U721" s="380"/>
      <c r="V721" s="770"/>
      <c r="W721" s="770"/>
      <c r="X721" s="770"/>
      <c r="Y721" s="770"/>
      <c r="Z721" s="770"/>
      <c r="AA721" s="380"/>
      <c r="AB721" s="770"/>
      <c r="AC721" s="677"/>
      <c r="AD721" s="677"/>
      <c r="AE721" s="677"/>
    </row>
    <row r="722" spans="1:31">
      <c r="A722" s="677"/>
      <c r="B722" s="677"/>
      <c r="C722" s="677"/>
      <c r="D722" s="677"/>
      <c r="E722" s="677"/>
      <c r="F722" s="677"/>
      <c r="G722" s="677"/>
      <c r="H722" s="677"/>
      <c r="I722" s="677"/>
      <c r="J722" s="677"/>
      <c r="K722" s="677"/>
      <c r="L722" s="677"/>
      <c r="M722" s="677"/>
      <c r="N722" s="677"/>
      <c r="O722" s="677"/>
      <c r="P722" s="677"/>
      <c r="Q722" s="677"/>
      <c r="R722" s="677"/>
      <c r="S722" s="380"/>
      <c r="T722" s="677"/>
      <c r="U722" s="380"/>
      <c r="V722" s="770"/>
      <c r="W722" s="770"/>
      <c r="X722" s="770"/>
      <c r="Y722" s="770"/>
      <c r="Z722" s="770"/>
      <c r="AA722" s="380"/>
      <c r="AB722" s="770"/>
      <c r="AC722" s="677"/>
      <c r="AD722" s="677"/>
      <c r="AE722" s="677"/>
    </row>
    <row r="723" spans="1:31">
      <c r="A723" s="677"/>
      <c r="B723" s="677"/>
      <c r="C723" s="677"/>
      <c r="D723" s="677"/>
      <c r="E723" s="677"/>
      <c r="F723" s="677"/>
      <c r="G723" s="677"/>
      <c r="H723" s="677"/>
      <c r="I723" s="677"/>
      <c r="J723" s="677"/>
      <c r="K723" s="677"/>
      <c r="L723" s="677"/>
      <c r="M723" s="677"/>
      <c r="N723" s="677"/>
      <c r="O723" s="677"/>
      <c r="P723" s="677"/>
      <c r="Q723" s="677"/>
      <c r="R723" s="677"/>
      <c r="S723" s="380"/>
      <c r="T723" s="677"/>
      <c r="U723" s="380"/>
      <c r="V723" s="770"/>
      <c r="W723" s="770"/>
      <c r="X723" s="770"/>
      <c r="Y723" s="770"/>
      <c r="Z723" s="770"/>
      <c r="AA723" s="380"/>
      <c r="AB723" s="770"/>
      <c r="AC723" s="677"/>
      <c r="AD723" s="677"/>
      <c r="AE723" s="677"/>
    </row>
    <row r="724" spans="1:31">
      <c r="A724" s="677"/>
      <c r="B724" s="677"/>
      <c r="C724" s="677"/>
      <c r="D724" s="677"/>
      <c r="E724" s="677"/>
      <c r="F724" s="677"/>
      <c r="G724" s="677"/>
      <c r="H724" s="677"/>
      <c r="I724" s="677"/>
      <c r="J724" s="677"/>
      <c r="K724" s="677"/>
      <c r="L724" s="677"/>
      <c r="M724" s="677"/>
      <c r="N724" s="677"/>
      <c r="O724" s="677"/>
      <c r="P724" s="677"/>
      <c r="Q724" s="677"/>
      <c r="R724" s="677"/>
      <c r="S724" s="380"/>
      <c r="T724" s="677"/>
      <c r="U724" s="380"/>
      <c r="V724" s="770"/>
      <c r="W724" s="770"/>
      <c r="X724" s="770"/>
      <c r="Y724" s="770"/>
      <c r="Z724" s="770"/>
      <c r="AA724" s="380"/>
      <c r="AB724" s="770"/>
      <c r="AC724" s="677"/>
      <c r="AD724" s="677"/>
      <c r="AE724" s="677"/>
    </row>
    <row r="725" spans="1:31">
      <c r="A725" s="677"/>
      <c r="B725" s="677"/>
      <c r="C725" s="677"/>
      <c r="D725" s="677"/>
      <c r="E725" s="677"/>
      <c r="F725" s="677"/>
      <c r="G725" s="677"/>
      <c r="H725" s="677"/>
      <c r="I725" s="677"/>
      <c r="J725" s="677"/>
      <c r="K725" s="677"/>
      <c r="L725" s="677"/>
      <c r="M725" s="677"/>
      <c r="N725" s="677"/>
      <c r="O725" s="677"/>
      <c r="P725" s="677"/>
      <c r="Q725" s="677"/>
      <c r="R725" s="677"/>
      <c r="S725" s="380"/>
      <c r="T725" s="677"/>
      <c r="U725" s="380"/>
      <c r="V725" s="770"/>
      <c r="W725" s="770"/>
      <c r="X725" s="770"/>
      <c r="Y725" s="770"/>
      <c r="Z725" s="770"/>
      <c r="AA725" s="380"/>
      <c r="AB725" s="770"/>
      <c r="AC725" s="677"/>
      <c r="AD725" s="677"/>
      <c r="AE725" s="677"/>
    </row>
    <row r="726" spans="1:31">
      <c r="A726" s="677"/>
      <c r="B726" s="677"/>
      <c r="C726" s="677"/>
      <c r="D726" s="677"/>
      <c r="E726" s="677"/>
      <c r="F726" s="677"/>
      <c r="G726" s="677"/>
      <c r="H726" s="677"/>
      <c r="I726" s="677"/>
      <c r="J726" s="677"/>
      <c r="K726" s="677"/>
      <c r="L726" s="677"/>
      <c r="M726" s="677"/>
      <c r="N726" s="677"/>
      <c r="O726" s="677"/>
      <c r="P726" s="677"/>
      <c r="Q726" s="677"/>
      <c r="R726" s="677"/>
      <c r="S726" s="380"/>
      <c r="T726" s="677"/>
      <c r="U726" s="380"/>
      <c r="V726" s="770"/>
      <c r="W726" s="770"/>
      <c r="X726" s="770"/>
      <c r="Y726" s="770"/>
      <c r="Z726" s="770"/>
      <c r="AA726" s="380"/>
      <c r="AB726" s="770"/>
      <c r="AC726" s="677"/>
      <c r="AD726" s="677"/>
      <c r="AE726" s="677"/>
    </row>
    <row r="727" spans="1:31">
      <c r="A727" s="677"/>
      <c r="B727" s="677"/>
      <c r="C727" s="677"/>
      <c r="D727" s="677"/>
      <c r="E727" s="677"/>
      <c r="F727" s="677"/>
      <c r="G727" s="677"/>
      <c r="H727" s="677"/>
      <c r="I727" s="677"/>
      <c r="J727" s="677"/>
      <c r="K727" s="677"/>
      <c r="L727" s="677"/>
      <c r="M727" s="677"/>
      <c r="N727" s="677"/>
      <c r="O727" s="677"/>
      <c r="P727" s="677"/>
      <c r="Q727" s="677"/>
      <c r="R727" s="677"/>
      <c r="S727" s="380"/>
      <c r="T727" s="677"/>
      <c r="U727" s="380"/>
      <c r="V727" s="770"/>
      <c r="W727" s="770"/>
      <c r="X727" s="770"/>
      <c r="Y727" s="770"/>
      <c r="Z727" s="770"/>
      <c r="AA727" s="380"/>
      <c r="AB727" s="770"/>
      <c r="AC727" s="677"/>
      <c r="AD727" s="677"/>
      <c r="AE727" s="677"/>
    </row>
    <row r="728" spans="1:31">
      <c r="A728" s="677"/>
      <c r="B728" s="677"/>
      <c r="C728" s="677"/>
      <c r="D728" s="677"/>
      <c r="E728" s="677"/>
      <c r="F728" s="677"/>
      <c r="G728" s="677"/>
      <c r="H728" s="677"/>
      <c r="I728" s="677"/>
      <c r="J728" s="677"/>
      <c r="K728" s="677"/>
      <c r="L728" s="677"/>
      <c r="M728" s="677"/>
      <c r="N728" s="677"/>
      <c r="O728" s="677"/>
      <c r="P728" s="677"/>
      <c r="Q728" s="677"/>
      <c r="R728" s="677"/>
      <c r="S728" s="380"/>
      <c r="T728" s="677"/>
      <c r="U728" s="380"/>
      <c r="V728" s="770"/>
      <c r="W728" s="770"/>
      <c r="X728" s="770"/>
      <c r="Y728" s="770"/>
      <c r="Z728" s="770"/>
      <c r="AA728" s="380"/>
      <c r="AB728" s="770"/>
      <c r="AC728" s="677"/>
      <c r="AD728" s="677"/>
      <c r="AE728" s="677"/>
    </row>
    <row r="729" spans="1:31">
      <c r="A729" s="677"/>
      <c r="B729" s="677"/>
      <c r="C729" s="677"/>
      <c r="D729" s="677"/>
      <c r="E729" s="677"/>
      <c r="F729" s="677"/>
      <c r="G729" s="677"/>
      <c r="H729" s="677"/>
      <c r="I729" s="677"/>
      <c r="J729" s="677"/>
      <c r="K729" s="677"/>
      <c r="L729" s="677"/>
      <c r="M729" s="677"/>
      <c r="N729" s="677"/>
      <c r="O729" s="677"/>
      <c r="P729" s="677"/>
      <c r="Q729" s="677"/>
      <c r="R729" s="677"/>
      <c r="S729" s="380"/>
      <c r="T729" s="677"/>
      <c r="U729" s="380"/>
      <c r="V729" s="770"/>
      <c r="W729" s="770"/>
      <c r="X729" s="770"/>
      <c r="Y729" s="770"/>
      <c r="Z729" s="770"/>
      <c r="AA729" s="380"/>
      <c r="AB729" s="770"/>
      <c r="AC729" s="677"/>
      <c r="AD729" s="677"/>
      <c r="AE729" s="677"/>
    </row>
    <row r="730" spans="1:31">
      <c r="A730" s="677"/>
      <c r="B730" s="677"/>
      <c r="C730" s="677"/>
      <c r="D730" s="677"/>
      <c r="E730" s="677"/>
      <c r="F730" s="677"/>
      <c r="G730" s="677"/>
      <c r="H730" s="677"/>
      <c r="I730" s="677"/>
      <c r="J730" s="677"/>
      <c r="K730" s="677"/>
      <c r="L730" s="677"/>
      <c r="M730" s="677"/>
      <c r="N730" s="677"/>
      <c r="O730" s="677"/>
      <c r="P730" s="677"/>
      <c r="Q730" s="677"/>
      <c r="R730" s="677"/>
      <c r="S730" s="380"/>
      <c r="T730" s="677"/>
      <c r="U730" s="380"/>
      <c r="V730" s="770"/>
      <c r="W730" s="770"/>
      <c r="X730" s="770"/>
      <c r="Y730" s="770"/>
      <c r="Z730" s="770"/>
      <c r="AA730" s="380"/>
      <c r="AB730" s="770"/>
      <c r="AC730" s="677"/>
      <c r="AD730" s="677"/>
      <c r="AE730" s="677"/>
    </row>
    <row r="731" spans="1:31">
      <c r="A731" s="677"/>
      <c r="B731" s="677"/>
      <c r="C731" s="677"/>
      <c r="D731" s="677"/>
      <c r="E731" s="677"/>
      <c r="F731" s="677"/>
      <c r="G731" s="677"/>
      <c r="H731" s="677"/>
      <c r="I731" s="677"/>
      <c r="J731" s="677"/>
      <c r="K731" s="677"/>
      <c r="L731" s="677"/>
      <c r="M731" s="677"/>
      <c r="N731" s="677"/>
      <c r="O731" s="677"/>
      <c r="P731" s="677"/>
      <c r="Q731" s="677"/>
      <c r="R731" s="677"/>
      <c r="S731" s="380"/>
      <c r="T731" s="677"/>
      <c r="U731" s="380"/>
      <c r="V731" s="770"/>
      <c r="W731" s="770"/>
      <c r="X731" s="770"/>
      <c r="Y731" s="770"/>
      <c r="Z731" s="770"/>
      <c r="AA731" s="380"/>
      <c r="AB731" s="770"/>
      <c r="AC731" s="677"/>
      <c r="AD731" s="677"/>
      <c r="AE731" s="677"/>
    </row>
    <row r="732" spans="1:31">
      <c r="A732" s="677"/>
      <c r="B732" s="677"/>
      <c r="C732" s="677"/>
      <c r="D732" s="677"/>
      <c r="E732" s="677"/>
      <c r="F732" s="677"/>
      <c r="G732" s="677"/>
      <c r="H732" s="677"/>
      <c r="I732" s="677"/>
      <c r="J732" s="677"/>
      <c r="K732" s="677"/>
      <c r="L732" s="677"/>
      <c r="M732" s="677"/>
      <c r="N732" s="677"/>
      <c r="O732" s="677"/>
      <c r="P732" s="677"/>
      <c r="Q732" s="677"/>
      <c r="R732" s="677"/>
      <c r="S732" s="380"/>
      <c r="T732" s="677"/>
      <c r="U732" s="380"/>
      <c r="V732" s="770"/>
      <c r="W732" s="770"/>
      <c r="X732" s="770"/>
      <c r="Y732" s="770"/>
      <c r="Z732" s="770"/>
      <c r="AA732" s="380"/>
      <c r="AB732" s="770"/>
      <c r="AC732" s="677"/>
      <c r="AD732" s="677"/>
      <c r="AE732" s="677"/>
    </row>
    <row r="733" spans="1:31">
      <c r="A733" s="677"/>
      <c r="B733" s="677"/>
      <c r="C733" s="677"/>
      <c r="D733" s="677"/>
      <c r="E733" s="677"/>
      <c r="F733" s="677"/>
      <c r="G733" s="677"/>
      <c r="H733" s="677"/>
      <c r="I733" s="677"/>
      <c r="J733" s="677"/>
      <c r="K733" s="677"/>
      <c r="L733" s="677"/>
      <c r="M733" s="677"/>
      <c r="N733" s="677"/>
      <c r="O733" s="677"/>
      <c r="P733" s="677"/>
      <c r="Q733" s="677"/>
      <c r="R733" s="677"/>
      <c r="S733" s="380"/>
      <c r="T733" s="677"/>
      <c r="U733" s="380"/>
      <c r="V733" s="770"/>
      <c r="W733" s="770"/>
      <c r="X733" s="770"/>
      <c r="Y733" s="770"/>
      <c r="Z733" s="770"/>
      <c r="AA733" s="380"/>
      <c r="AB733" s="770"/>
      <c r="AC733" s="677"/>
      <c r="AD733" s="677"/>
      <c r="AE733" s="677"/>
    </row>
    <row r="734" spans="1:31">
      <c r="A734" s="677"/>
      <c r="B734" s="677"/>
      <c r="C734" s="677"/>
      <c r="D734" s="677"/>
      <c r="E734" s="677"/>
      <c r="F734" s="677"/>
      <c r="G734" s="677"/>
      <c r="H734" s="677"/>
      <c r="I734" s="677"/>
      <c r="J734" s="677"/>
      <c r="K734" s="677"/>
      <c r="L734" s="677"/>
      <c r="M734" s="677"/>
      <c r="N734" s="677"/>
      <c r="O734" s="677"/>
      <c r="P734" s="677"/>
      <c r="Q734" s="677"/>
      <c r="R734" s="677"/>
      <c r="S734" s="380"/>
      <c r="T734" s="677"/>
      <c r="U734" s="380"/>
      <c r="V734" s="770"/>
      <c r="W734" s="770"/>
      <c r="X734" s="770"/>
      <c r="Y734" s="770"/>
      <c r="Z734" s="770"/>
      <c r="AA734" s="380"/>
      <c r="AB734" s="770"/>
      <c r="AC734" s="677"/>
      <c r="AD734" s="677"/>
      <c r="AE734" s="677"/>
    </row>
    <row r="735" spans="1:31">
      <c r="A735" s="677"/>
      <c r="B735" s="677"/>
      <c r="C735" s="677"/>
      <c r="D735" s="677"/>
      <c r="E735" s="677"/>
      <c r="F735" s="677"/>
      <c r="G735" s="677"/>
      <c r="H735" s="677"/>
      <c r="I735" s="677"/>
      <c r="J735" s="677"/>
      <c r="K735" s="677"/>
      <c r="L735" s="677"/>
      <c r="M735" s="677"/>
      <c r="N735" s="677"/>
      <c r="O735" s="677"/>
      <c r="P735" s="677"/>
      <c r="Q735" s="677"/>
      <c r="R735" s="677"/>
      <c r="S735" s="380"/>
      <c r="T735" s="677"/>
      <c r="U735" s="380"/>
      <c r="V735" s="770"/>
      <c r="W735" s="770"/>
      <c r="X735" s="770"/>
      <c r="Y735" s="770"/>
      <c r="Z735" s="770"/>
      <c r="AA735" s="380"/>
      <c r="AB735" s="770"/>
      <c r="AC735" s="677"/>
      <c r="AD735" s="677"/>
      <c r="AE735" s="677"/>
    </row>
    <row r="736" spans="1:31">
      <c r="A736" s="677"/>
      <c r="B736" s="677"/>
      <c r="C736" s="677"/>
      <c r="D736" s="677"/>
      <c r="E736" s="677"/>
      <c r="F736" s="677"/>
      <c r="G736" s="677"/>
      <c r="H736" s="677"/>
      <c r="I736" s="677"/>
      <c r="J736" s="677"/>
      <c r="K736" s="677"/>
      <c r="L736" s="677"/>
      <c r="M736" s="677"/>
      <c r="N736" s="677"/>
      <c r="O736" s="677"/>
      <c r="P736" s="677"/>
      <c r="Q736" s="677"/>
      <c r="R736" s="677"/>
      <c r="S736" s="380"/>
      <c r="T736" s="677"/>
      <c r="U736" s="380"/>
      <c r="V736" s="770"/>
      <c r="W736" s="770"/>
      <c r="X736" s="770"/>
      <c r="Y736" s="770"/>
      <c r="Z736" s="770"/>
      <c r="AA736" s="380"/>
      <c r="AB736" s="770"/>
      <c r="AC736" s="677"/>
      <c r="AD736" s="677"/>
      <c r="AE736" s="677"/>
    </row>
    <row r="737" spans="1:31">
      <c r="A737" s="677"/>
      <c r="B737" s="677"/>
      <c r="C737" s="677"/>
      <c r="D737" s="677"/>
      <c r="E737" s="677"/>
      <c r="F737" s="677"/>
      <c r="G737" s="677"/>
      <c r="H737" s="677"/>
      <c r="I737" s="677"/>
      <c r="J737" s="677"/>
      <c r="K737" s="677"/>
      <c r="L737" s="677"/>
      <c r="M737" s="677"/>
      <c r="N737" s="677"/>
      <c r="O737" s="677"/>
      <c r="P737" s="677"/>
      <c r="Q737" s="677"/>
      <c r="R737" s="677"/>
      <c r="S737" s="380"/>
      <c r="T737" s="677"/>
      <c r="U737" s="380"/>
      <c r="V737" s="770"/>
      <c r="W737" s="770"/>
      <c r="X737" s="770"/>
      <c r="Y737" s="770"/>
      <c r="Z737" s="770"/>
      <c r="AA737" s="380"/>
      <c r="AB737" s="770"/>
      <c r="AC737" s="677"/>
      <c r="AD737" s="677"/>
      <c r="AE737" s="677"/>
    </row>
    <row r="738" spans="1:31">
      <c r="A738" s="677"/>
      <c r="B738" s="677"/>
      <c r="C738" s="677"/>
      <c r="D738" s="677"/>
      <c r="E738" s="677"/>
      <c r="F738" s="677"/>
      <c r="G738" s="677"/>
      <c r="H738" s="677"/>
      <c r="I738" s="677"/>
      <c r="J738" s="677"/>
      <c r="K738" s="677"/>
      <c r="L738" s="677"/>
      <c r="M738" s="677"/>
      <c r="N738" s="677"/>
      <c r="O738" s="677"/>
      <c r="P738" s="677"/>
      <c r="Q738" s="677"/>
      <c r="R738" s="677"/>
      <c r="S738" s="380"/>
      <c r="T738" s="677"/>
      <c r="U738" s="380"/>
      <c r="V738" s="770"/>
      <c r="W738" s="770"/>
      <c r="X738" s="770"/>
      <c r="Y738" s="770"/>
      <c r="Z738" s="770"/>
      <c r="AA738" s="380"/>
      <c r="AB738" s="770"/>
      <c r="AC738" s="677"/>
      <c r="AD738" s="677"/>
      <c r="AE738" s="677"/>
    </row>
    <row r="739" spans="1:31">
      <c r="A739" s="677"/>
      <c r="B739" s="677"/>
      <c r="C739" s="677"/>
      <c r="D739" s="677"/>
      <c r="E739" s="677"/>
      <c r="F739" s="677"/>
      <c r="G739" s="677"/>
      <c r="H739" s="677"/>
      <c r="I739" s="677"/>
      <c r="J739" s="677"/>
      <c r="K739" s="677"/>
      <c r="L739" s="677"/>
      <c r="M739" s="677"/>
      <c r="N739" s="677"/>
      <c r="O739" s="677"/>
      <c r="P739" s="677"/>
      <c r="Q739" s="677"/>
      <c r="R739" s="677"/>
      <c r="S739" s="380"/>
      <c r="T739" s="677"/>
      <c r="U739" s="380"/>
      <c r="V739" s="770"/>
      <c r="W739" s="770"/>
      <c r="X739" s="770"/>
      <c r="Y739" s="770"/>
      <c r="Z739" s="770"/>
      <c r="AA739" s="380"/>
      <c r="AB739" s="770"/>
      <c r="AC739" s="677"/>
      <c r="AD739" s="677"/>
      <c r="AE739" s="677"/>
    </row>
    <row r="740" spans="1:31">
      <c r="A740" s="677"/>
      <c r="B740" s="677"/>
      <c r="C740" s="677"/>
      <c r="D740" s="677"/>
      <c r="E740" s="677"/>
      <c r="F740" s="677"/>
      <c r="G740" s="677"/>
      <c r="H740" s="677"/>
      <c r="I740" s="677"/>
      <c r="J740" s="677"/>
      <c r="K740" s="677"/>
      <c r="L740" s="677"/>
      <c r="M740" s="677"/>
      <c r="N740" s="677"/>
      <c r="O740" s="677"/>
      <c r="P740" s="677"/>
      <c r="Q740" s="677"/>
      <c r="R740" s="677"/>
      <c r="S740" s="380"/>
      <c r="T740" s="677"/>
      <c r="U740" s="380"/>
      <c r="V740" s="770"/>
      <c r="W740" s="770"/>
      <c r="X740" s="770"/>
      <c r="Y740" s="770"/>
      <c r="Z740" s="770"/>
      <c r="AA740" s="380"/>
      <c r="AB740" s="770"/>
      <c r="AC740" s="677"/>
      <c r="AD740" s="677"/>
      <c r="AE740" s="677"/>
    </row>
    <row r="741" spans="1:31">
      <c r="A741" s="677"/>
      <c r="B741" s="677"/>
      <c r="C741" s="677"/>
      <c r="D741" s="677"/>
      <c r="E741" s="677"/>
      <c r="F741" s="677"/>
      <c r="G741" s="677"/>
      <c r="H741" s="677"/>
      <c r="I741" s="677"/>
      <c r="J741" s="677"/>
      <c r="K741" s="677"/>
      <c r="L741" s="677"/>
      <c r="M741" s="677"/>
      <c r="N741" s="677"/>
      <c r="O741" s="677"/>
      <c r="P741" s="677"/>
      <c r="Q741" s="677"/>
      <c r="R741" s="677"/>
      <c r="S741" s="380"/>
      <c r="T741" s="677"/>
      <c r="U741" s="380"/>
      <c r="V741" s="770"/>
      <c r="W741" s="770"/>
      <c r="X741" s="770"/>
      <c r="Y741" s="770"/>
      <c r="Z741" s="770"/>
      <c r="AA741" s="380"/>
      <c r="AB741" s="770"/>
      <c r="AC741" s="677"/>
      <c r="AD741" s="677"/>
      <c r="AE741" s="677"/>
    </row>
    <row r="742" spans="1:31">
      <c r="A742" s="677"/>
      <c r="B742" s="677"/>
      <c r="C742" s="677"/>
      <c r="D742" s="677"/>
      <c r="E742" s="677"/>
      <c r="F742" s="677"/>
      <c r="G742" s="677"/>
      <c r="H742" s="677"/>
      <c r="I742" s="677"/>
      <c r="J742" s="677"/>
      <c r="K742" s="677"/>
      <c r="L742" s="677"/>
      <c r="M742" s="677"/>
      <c r="N742" s="677"/>
      <c r="O742" s="677"/>
      <c r="P742" s="677"/>
      <c r="Q742" s="677"/>
      <c r="R742" s="677"/>
      <c r="S742" s="380"/>
      <c r="T742" s="677"/>
      <c r="U742" s="380"/>
      <c r="V742" s="770"/>
      <c r="W742" s="770"/>
      <c r="X742" s="770"/>
      <c r="Y742" s="770"/>
      <c r="Z742" s="770"/>
      <c r="AA742" s="380"/>
      <c r="AB742" s="770"/>
      <c r="AC742" s="677"/>
      <c r="AD742" s="677"/>
      <c r="AE742" s="677"/>
    </row>
    <row r="743" spans="1:31">
      <c r="A743" s="677"/>
      <c r="B743" s="677"/>
      <c r="C743" s="677"/>
      <c r="D743" s="677"/>
      <c r="E743" s="677"/>
      <c r="F743" s="677"/>
      <c r="G743" s="677"/>
      <c r="H743" s="677"/>
      <c r="I743" s="677"/>
      <c r="J743" s="677"/>
      <c r="K743" s="677"/>
      <c r="L743" s="677"/>
      <c r="M743" s="677"/>
      <c r="N743" s="677"/>
      <c r="O743" s="677"/>
      <c r="P743" s="677"/>
      <c r="Q743" s="677"/>
      <c r="R743" s="677"/>
      <c r="S743" s="380"/>
      <c r="T743" s="677"/>
      <c r="U743" s="380"/>
      <c r="V743" s="770"/>
      <c r="W743" s="770"/>
      <c r="X743" s="770"/>
      <c r="Y743" s="770"/>
      <c r="Z743" s="770"/>
      <c r="AA743" s="380"/>
      <c r="AB743" s="770"/>
      <c r="AC743" s="677"/>
      <c r="AD743" s="677"/>
      <c r="AE743" s="677"/>
    </row>
    <row r="744" spans="1:31">
      <c r="A744" s="677"/>
      <c r="B744" s="677"/>
      <c r="C744" s="677"/>
      <c r="D744" s="677"/>
      <c r="E744" s="677"/>
      <c r="F744" s="677"/>
      <c r="G744" s="677"/>
      <c r="H744" s="677"/>
      <c r="I744" s="677"/>
      <c r="J744" s="677"/>
      <c r="K744" s="677"/>
      <c r="L744" s="677"/>
      <c r="M744" s="677"/>
      <c r="N744" s="677"/>
      <c r="O744" s="677"/>
      <c r="P744" s="677"/>
      <c r="Q744" s="677"/>
      <c r="R744" s="677"/>
      <c r="S744" s="380"/>
      <c r="T744" s="677"/>
      <c r="U744" s="380"/>
      <c r="V744" s="770"/>
      <c r="W744" s="770"/>
      <c r="X744" s="770"/>
      <c r="Y744" s="770"/>
      <c r="Z744" s="770"/>
      <c r="AA744" s="380"/>
      <c r="AB744" s="770"/>
      <c r="AC744" s="677"/>
      <c r="AD744" s="677"/>
      <c r="AE744" s="677"/>
    </row>
    <row r="745" spans="1:31">
      <c r="A745" s="677"/>
      <c r="B745" s="677"/>
      <c r="C745" s="677"/>
      <c r="D745" s="677"/>
      <c r="E745" s="677"/>
      <c r="F745" s="677"/>
      <c r="G745" s="677"/>
      <c r="H745" s="677"/>
      <c r="I745" s="677"/>
      <c r="J745" s="677"/>
      <c r="K745" s="677"/>
      <c r="L745" s="677"/>
      <c r="M745" s="677"/>
      <c r="N745" s="677"/>
      <c r="O745" s="677"/>
      <c r="P745" s="677"/>
      <c r="Q745" s="677"/>
      <c r="R745" s="677"/>
      <c r="S745" s="380"/>
      <c r="T745" s="677"/>
      <c r="U745" s="380"/>
      <c r="V745" s="770"/>
      <c r="W745" s="770"/>
      <c r="X745" s="770"/>
      <c r="Y745" s="770"/>
      <c r="Z745" s="770"/>
      <c r="AA745" s="380"/>
      <c r="AB745" s="770"/>
      <c r="AC745" s="677"/>
      <c r="AD745" s="677"/>
      <c r="AE745" s="677"/>
    </row>
    <row r="746" spans="1:31">
      <c r="A746" s="677"/>
      <c r="B746" s="677"/>
      <c r="C746" s="677"/>
      <c r="D746" s="677"/>
      <c r="E746" s="677"/>
      <c r="F746" s="677"/>
      <c r="G746" s="677"/>
      <c r="H746" s="677"/>
      <c r="I746" s="677"/>
      <c r="J746" s="677"/>
      <c r="K746" s="677"/>
      <c r="L746" s="677"/>
      <c r="M746" s="677"/>
      <c r="N746" s="677"/>
      <c r="O746" s="677"/>
      <c r="P746" s="677"/>
      <c r="Q746" s="677"/>
      <c r="R746" s="677"/>
      <c r="S746" s="380"/>
      <c r="T746" s="677"/>
      <c r="U746" s="380"/>
      <c r="V746" s="770"/>
      <c r="W746" s="770"/>
      <c r="X746" s="770"/>
      <c r="Y746" s="770"/>
      <c r="Z746" s="770"/>
      <c r="AA746" s="380"/>
      <c r="AB746" s="770"/>
      <c r="AC746" s="677"/>
      <c r="AD746" s="677"/>
      <c r="AE746" s="677"/>
    </row>
    <row r="747" spans="1:31">
      <c r="A747" s="677"/>
      <c r="B747" s="677"/>
      <c r="C747" s="677"/>
      <c r="D747" s="677"/>
      <c r="E747" s="677"/>
      <c r="F747" s="677"/>
      <c r="G747" s="677"/>
      <c r="H747" s="677"/>
      <c r="I747" s="677"/>
      <c r="J747" s="677"/>
      <c r="K747" s="677"/>
      <c r="L747" s="677"/>
      <c r="M747" s="677"/>
      <c r="N747" s="677"/>
      <c r="O747" s="677"/>
      <c r="P747" s="677"/>
      <c r="Q747" s="677"/>
      <c r="R747" s="677"/>
      <c r="S747" s="380"/>
      <c r="T747" s="677"/>
      <c r="U747" s="380"/>
      <c r="V747" s="770"/>
      <c r="W747" s="770"/>
      <c r="X747" s="770"/>
      <c r="Y747" s="770"/>
      <c r="Z747" s="770"/>
      <c r="AA747" s="380"/>
      <c r="AB747" s="770"/>
      <c r="AC747" s="677"/>
      <c r="AD747" s="677"/>
      <c r="AE747" s="677"/>
    </row>
    <row r="748" spans="1:31">
      <c r="A748" s="677"/>
      <c r="B748" s="677"/>
      <c r="C748" s="677"/>
      <c r="D748" s="677"/>
      <c r="E748" s="677"/>
      <c r="F748" s="677"/>
      <c r="G748" s="677"/>
      <c r="H748" s="677"/>
      <c r="I748" s="677"/>
      <c r="J748" s="677"/>
      <c r="K748" s="677"/>
      <c r="L748" s="677"/>
      <c r="M748" s="677"/>
      <c r="N748" s="677"/>
      <c r="O748" s="677"/>
      <c r="P748" s="677"/>
      <c r="Q748" s="677"/>
      <c r="R748" s="677"/>
      <c r="S748" s="380"/>
      <c r="T748" s="677"/>
      <c r="U748" s="380"/>
      <c r="V748" s="770"/>
      <c r="W748" s="770"/>
      <c r="X748" s="770"/>
      <c r="Y748" s="770"/>
      <c r="Z748" s="770"/>
      <c r="AA748" s="380"/>
      <c r="AB748" s="770"/>
      <c r="AC748" s="677"/>
      <c r="AD748" s="677"/>
      <c r="AE748" s="677"/>
    </row>
    <row r="749" spans="1:31">
      <c r="A749" s="677"/>
      <c r="B749" s="677"/>
      <c r="C749" s="677"/>
      <c r="D749" s="677"/>
      <c r="E749" s="677"/>
      <c r="F749" s="677"/>
      <c r="G749" s="677"/>
      <c r="H749" s="677"/>
      <c r="I749" s="677"/>
      <c r="J749" s="677"/>
      <c r="K749" s="677"/>
      <c r="L749" s="677"/>
      <c r="M749" s="677"/>
      <c r="N749" s="677"/>
      <c r="O749" s="677"/>
      <c r="P749" s="677"/>
      <c r="Q749" s="677"/>
      <c r="R749" s="677"/>
      <c r="S749" s="380"/>
      <c r="T749" s="677"/>
      <c r="U749" s="380"/>
      <c r="V749" s="770"/>
      <c r="W749" s="770"/>
      <c r="X749" s="770"/>
      <c r="Y749" s="770"/>
      <c r="Z749" s="770"/>
      <c r="AA749" s="380"/>
      <c r="AB749" s="770"/>
      <c r="AC749" s="677"/>
      <c r="AD749" s="677"/>
      <c r="AE749" s="677"/>
    </row>
    <row r="750" spans="1:31">
      <c r="A750" s="677"/>
      <c r="B750" s="677"/>
      <c r="C750" s="677"/>
      <c r="D750" s="677"/>
      <c r="E750" s="677"/>
      <c r="F750" s="677"/>
      <c r="G750" s="677"/>
      <c r="H750" s="677"/>
      <c r="I750" s="677"/>
      <c r="J750" s="677"/>
      <c r="K750" s="677"/>
      <c r="L750" s="677"/>
      <c r="M750" s="677"/>
      <c r="N750" s="677"/>
      <c r="O750" s="677"/>
      <c r="P750" s="677"/>
      <c r="Q750" s="677"/>
      <c r="R750" s="677"/>
      <c r="S750" s="380"/>
      <c r="T750" s="677"/>
      <c r="U750" s="380"/>
      <c r="V750" s="770"/>
      <c r="W750" s="770"/>
      <c r="X750" s="770"/>
      <c r="Y750" s="770"/>
      <c r="Z750" s="770"/>
      <c r="AA750" s="380"/>
      <c r="AB750" s="770"/>
      <c r="AC750" s="677"/>
      <c r="AD750" s="677"/>
      <c r="AE750" s="677"/>
    </row>
    <row r="751" spans="1:31">
      <c r="A751" s="677"/>
      <c r="B751" s="677"/>
      <c r="C751" s="677"/>
      <c r="D751" s="677"/>
      <c r="E751" s="677"/>
      <c r="F751" s="677"/>
      <c r="G751" s="677"/>
      <c r="H751" s="677"/>
      <c r="I751" s="677"/>
      <c r="J751" s="677"/>
      <c r="K751" s="677"/>
      <c r="L751" s="677"/>
      <c r="M751" s="677"/>
      <c r="N751" s="677"/>
      <c r="O751" s="677"/>
      <c r="P751" s="677"/>
      <c r="Q751" s="677"/>
      <c r="R751" s="677"/>
      <c r="S751" s="380"/>
      <c r="T751" s="677"/>
      <c r="U751" s="380"/>
      <c r="V751" s="770"/>
      <c r="W751" s="770"/>
      <c r="X751" s="770"/>
      <c r="Y751" s="770"/>
      <c r="Z751" s="770"/>
      <c r="AA751" s="380"/>
      <c r="AB751" s="770"/>
      <c r="AC751" s="677"/>
      <c r="AD751" s="677"/>
      <c r="AE751" s="677"/>
    </row>
    <row r="752" spans="1:31">
      <c r="A752" s="677"/>
      <c r="B752" s="677"/>
      <c r="C752" s="677"/>
      <c r="D752" s="677"/>
      <c r="E752" s="677"/>
      <c r="F752" s="677"/>
      <c r="G752" s="677"/>
      <c r="H752" s="677"/>
      <c r="I752" s="677"/>
      <c r="J752" s="677"/>
      <c r="K752" s="677"/>
      <c r="L752" s="677"/>
      <c r="M752" s="677"/>
      <c r="N752" s="677"/>
      <c r="O752" s="677"/>
      <c r="P752" s="677"/>
      <c r="Q752" s="677"/>
      <c r="R752" s="677"/>
      <c r="S752" s="380"/>
      <c r="T752" s="677"/>
      <c r="U752" s="380"/>
      <c r="V752" s="770"/>
      <c r="W752" s="770"/>
      <c r="X752" s="770"/>
      <c r="Y752" s="770"/>
      <c r="Z752" s="770"/>
      <c r="AA752" s="380"/>
      <c r="AB752" s="770"/>
      <c r="AC752" s="677"/>
      <c r="AD752" s="677"/>
      <c r="AE752" s="677"/>
    </row>
    <row r="753" spans="1:31">
      <c r="A753" s="677"/>
      <c r="B753" s="677"/>
      <c r="C753" s="677"/>
      <c r="D753" s="677"/>
      <c r="E753" s="677"/>
      <c r="F753" s="677"/>
      <c r="G753" s="677"/>
      <c r="H753" s="677"/>
      <c r="I753" s="677"/>
      <c r="J753" s="677"/>
      <c r="K753" s="677"/>
      <c r="L753" s="677"/>
      <c r="M753" s="677"/>
      <c r="N753" s="677"/>
      <c r="O753" s="677"/>
      <c r="P753" s="677"/>
      <c r="Q753" s="677"/>
      <c r="R753" s="677"/>
      <c r="S753" s="380"/>
      <c r="T753" s="677"/>
      <c r="U753" s="380"/>
      <c r="V753" s="770"/>
      <c r="W753" s="770"/>
      <c r="X753" s="770"/>
      <c r="Y753" s="770"/>
      <c r="Z753" s="770"/>
      <c r="AA753" s="380"/>
      <c r="AB753" s="770"/>
      <c r="AC753" s="677"/>
      <c r="AD753" s="677"/>
      <c r="AE753" s="677"/>
    </row>
    <row r="754" spans="1:31">
      <c r="A754" s="677"/>
      <c r="B754" s="677"/>
      <c r="C754" s="677"/>
      <c r="D754" s="677"/>
      <c r="E754" s="677"/>
      <c r="F754" s="677"/>
      <c r="G754" s="677"/>
      <c r="H754" s="677"/>
      <c r="I754" s="677"/>
      <c r="J754" s="677"/>
      <c r="K754" s="677"/>
      <c r="L754" s="677"/>
      <c r="M754" s="677"/>
      <c r="N754" s="677"/>
      <c r="O754" s="677"/>
      <c r="P754" s="677"/>
      <c r="Q754" s="677"/>
      <c r="R754" s="677"/>
      <c r="S754" s="380"/>
      <c r="T754" s="677"/>
      <c r="U754" s="380"/>
      <c r="V754" s="770"/>
      <c r="W754" s="770"/>
      <c r="X754" s="770"/>
      <c r="Y754" s="770"/>
      <c r="Z754" s="770"/>
      <c r="AA754" s="380"/>
      <c r="AB754" s="770"/>
      <c r="AC754" s="677"/>
      <c r="AD754" s="677"/>
      <c r="AE754" s="677"/>
    </row>
    <row r="755" spans="1:31">
      <c r="A755" s="677"/>
      <c r="B755" s="677"/>
      <c r="C755" s="677"/>
      <c r="D755" s="677"/>
      <c r="E755" s="677"/>
      <c r="F755" s="677"/>
      <c r="G755" s="677"/>
      <c r="H755" s="677"/>
      <c r="I755" s="677"/>
      <c r="J755" s="677"/>
      <c r="K755" s="677"/>
      <c r="L755" s="677"/>
      <c r="M755" s="677"/>
      <c r="N755" s="677"/>
      <c r="O755" s="677"/>
      <c r="P755" s="677"/>
      <c r="Q755" s="677"/>
      <c r="R755" s="677"/>
      <c r="S755" s="380"/>
      <c r="T755" s="677"/>
      <c r="U755" s="380"/>
      <c r="V755" s="770"/>
      <c r="W755" s="770"/>
      <c r="X755" s="770"/>
      <c r="Y755" s="770"/>
      <c r="Z755" s="770"/>
      <c r="AA755" s="380"/>
      <c r="AB755" s="770"/>
      <c r="AC755" s="677"/>
      <c r="AD755" s="677"/>
      <c r="AE755" s="677"/>
    </row>
    <row r="756" spans="1:31">
      <c r="A756" s="677"/>
      <c r="B756" s="677"/>
      <c r="C756" s="677"/>
      <c r="D756" s="677"/>
      <c r="E756" s="677"/>
      <c r="F756" s="677"/>
      <c r="G756" s="677"/>
      <c r="H756" s="677"/>
      <c r="I756" s="677"/>
      <c r="J756" s="677"/>
      <c r="K756" s="677"/>
      <c r="L756" s="677"/>
      <c r="M756" s="677"/>
      <c r="N756" s="677"/>
      <c r="O756" s="677"/>
      <c r="P756" s="677"/>
      <c r="Q756" s="677"/>
      <c r="R756" s="677"/>
      <c r="S756" s="380"/>
      <c r="T756" s="677"/>
      <c r="U756" s="380"/>
      <c r="V756" s="770"/>
      <c r="W756" s="770"/>
      <c r="X756" s="770"/>
      <c r="Y756" s="770"/>
      <c r="Z756" s="770"/>
      <c r="AA756" s="380"/>
      <c r="AB756" s="770"/>
      <c r="AC756" s="677"/>
      <c r="AD756" s="677"/>
      <c r="AE756" s="677"/>
    </row>
    <row r="757" spans="1:31">
      <c r="A757" s="677"/>
      <c r="B757" s="677"/>
      <c r="C757" s="677"/>
      <c r="D757" s="677"/>
      <c r="E757" s="677"/>
      <c r="F757" s="677"/>
      <c r="G757" s="677"/>
      <c r="H757" s="677"/>
      <c r="I757" s="677"/>
      <c r="J757" s="677"/>
      <c r="K757" s="677"/>
      <c r="L757" s="677"/>
      <c r="M757" s="677"/>
      <c r="N757" s="677"/>
      <c r="O757" s="677"/>
      <c r="P757" s="677"/>
      <c r="Q757" s="677"/>
      <c r="R757" s="677"/>
      <c r="S757" s="380"/>
      <c r="T757" s="677"/>
      <c r="U757" s="380"/>
      <c r="V757" s="770"/>
      <c r="W757" s="770"/>
      <c r="X757" s="770"/>
      <c r="Y757" s="770"/>
      <c r="Z757" s="770"/>
      <c r="AA757" s="380"/>
      <c r="AB757" s="770"/>
      <c r="AC757" s="677"/>
      <c r="AD757" s="677"/>
      <c r="AE757" s="677"/>
    </row>
    <row r="758" spans="1:31">
      <c r="A758" s="677"/>
      <c r="B758" s="677"/>
      <c r="C758" s="677"/>
      <c r="D758" s="677"/>
      <c r="E758" s="677"/>
      <c r="F758" s="677"/>
      <c r="G758" s="677"/>
      <c r="H758" s="677"/>
      <c r="I758" s="677"/>
      <c r="J758" s="677"/>
      <c r="K758" s="677"/>
      <c r="L758" s="677"/>
      <c r="M758" s="677"/>
      <c r="N758" s="677"/>
      <c r="O758" s="677"/>
      <c r="P758" s="677"/>
      <c r="Q758" s="677"/>
      <c r="R758" s="677"/>
      <c r="S758" s="380"/>
      <c r="T758" s="677"/>
      <c r="U758" s="380"/>
      <c r="V758" s="770"/>
      <c r="W758" s="770"/>
      <c r="X758" s="770"/>
      <c r="Y758" s="770"/>
      <c r="Z758" s="770"/>
      <c r="AA758" s="380"/>
      <c r="AB758" s="770"/>
      <c r="AC758" s="677"/>
      <c r="AD758" s="677"/>
      <c r="AE758" s="677"/>
    </row>
    <row r="759" spans="1:31">
      <c r="A759" s="677"/>
      <c r="B759" s="677"/>
      <c r="C759" s="677"/>
      <c r="D759" s="677"/>
      <c r="E759" s="677"/>
      <c r="F759" s="677"/>
      <c r="G759" s="677"/>
      <c r="H759" s="677"/>
      <c r="I759" s="677"/>
      <c r="J759" s="677"/>
      <c r="K759" s="677"/>
      <c r="L759" s="677"/>
      <c r="M759" s="677"/>
      <c r="N759" s="677"/>
      <c r="O759" s="677"/>
      <c r="P759" s="677"/>
      <c r="Q759" s="677"/>
      <c r="R759" s="677"/>
      <c r="S759" s="380"/>
      <c r="T759" s="677"/>
      <c r="U759" s="380"/>
      <c r="V759" s="770"/>
      <c r="W759" s="770"/>
      <c r="X759" s="770"/>
      <c r="Y759" s="770"/>
      <c r="Z759" s="770"/>
      <c r="AA759" s="380"/>
      <c r="AB759" s="770"/>
      <c r="AC759" s="677"/>
      <c r="AD759" s="677"/>
      <c r="AE759" s="677"/>
    </row>
    <row r="760" spans="1:31">
      <c r="A760" s="677"/>
      <c r="B760" s="677"/>
      <c r="C760" s="677"/>
      <c r="D760" s="677"/>
      <c r="E760" s="677"/>
      <c r="F760" s="677"/>
      <c r="G760" s="677"/>
      <c r="H760" s="677"/>
      <c r="I760" s="677"/>
      <c r="J760" s="677"/>
      <c r="K760" s="677"/>
      <c r="L760" s="677"/>
      <c r="M760" s="677"/>
      <c r="N760" s="677"/>
      <c r="O760" s="677"/>
      <c r="P760" s="677"/>
      <c r="Q760" s="677"/>
      <c r="R760" s="677"/>
      <c r="S760" s="380"/>
      <c r="T760" s="677"/>
      <c r="U760" s="380"/>
      <c r="V760" s="770"/>
      <c r="W760" s="770"/>
      <c r="X760" s="770"/>
      <c r="Y760" s="770"/>
      <c r="Z760" s="770"/>
      <c r="AA760" s="380"/>
      <c r="AB760" s="770"/>
      <c r="AC760" s="677"/>
      <c r="AD760" s="677"/>
      <c r="AE760" s="677"/>
    </row>
    <row r="761" spans="1:31">
      <c r="A761" s="677"/>
      <c r="B761" s="677"/>
      <c r="C761" s="677"/>
      <c r="D761" s="677"/>
      <c r="E761" s="677"/>
      <c r="F761" s="677"/>
      <c r="G761" s="677"/>
      <c r="H761" s="677"/>
      <c r="I761" s="677"/>
      <c r="J761" s="677"/>
      <c r="K761" s="677"/>
      <c r="L761" s="677"/>
      <c r="M761" s="677"/>
      <c r="N761" s="677"/>
      <c r="O761" s="677"/>
      <c r="P761" s="677"/>
      <c r="Q761" s="677"/>
      <c r="R761" s="677"/>
      <c r="S761" s="380"/>
      <c r="T761" s="677"/>
      <c r="U761" s="380"/>
      <c r="V761" s="770"/>
      <c r="W761" s="770"/>
      <c r="X761" s="770"/>
      <c r="Y761" s="770"/>
      <c r="Z761" s="770"/>
      <c r="AA761" s="380"/>
      <c r="AB761" s="770"/>
      <c r="AC761" s="677"/>
      <c r="AD761" s="677"/>
      <c r="AE761" s="677"/>
    </row>
    <row r="762" spans="1:31">
      <c r="A762" s="677"/>
      <c r="B762" s="677"/>
      <c r="C762" s="677"/>
      <c r="D762" s="677"/>
      <c r="E762" s="677"/>
      <c r="F762" s="677"/>
      <c r="G762" s="677"/>
      <c r="H762" s="677"/>
      <c r="I762" s="677"/>
      <c r="J762" s="677"/>
      <c r="K762" s="677"/>
      <c r="L762" s="677"/>
      <c r="M762" s="677"/>
      <c r="N762" s="677"/>
      <c r="O762" s="677"/>
      <c r="P762" s="677"/>
      <c r="Q762" s="677"/>
      <c r="R762" s="677"/>
      <c r="S762" s="380"/>
      <c r="T762" s="677"/>
      <c r="U762" s="380"/>
      <c r="V762" s="770"/>
      <c r="W762" s="770"/>
      <c r="X762" s="770"/>
      <c r="Y762" s="770"/>
      <c r="Z762" s="770"/>
      <c r="AA762" s="380"/>
      <c r="AB762" s="770"/>
      <c r="AC762" s="677"/>
      <c r="AD762" s="677"/>
      <c r="AE762" s="677"/>
    </row>
    <row r="763" spans="1:31">
      <c r="A763" s="677"/>
      <c r="B763" s="677"/>
      <c r="C763" s="677"/>
      <c r="D763" s="677"/>
      <c r="E763" s="677"/>
      <c r="F763" s="677"/>
      <c r="G763" s="677"/>
      <c r="H763" s="677"/>
      <c r="I763" s="677"/>
      <c r="J763" s="677"/>
      <c r="K763" s="677"/>
      <c r="L763" s="677"/>
      <c r="M763" s="677"/>
      <c r="N763" s="677"/>
      <c r="O763" s="677"/>
      <c r="P763" s="677"/>
      <c r="Q763" s="677"/>
      <c r="R763" s="677"/>
      <c r="S763" s="380"/>
      <c r="T763" s="677"/>
      <c r="U763" s="380"/>
      <c r="V763" s="770"/>
      <c r="W763" s="770"/>
      <c r="X763" s="770"/>
      <c r="Y763" s="770"/>
      <c r="Z763" s="770"/>
      <c r="AA763" s="380"/>
      <c r="AB763" s="770"/>
      <c r="AC763" s="677"/>
      <c r="AD763" s="677"/>
      <c r="AE763" s="677"/>
    </row>
    <row r="764" spans="1:31">
      <c r="A764" s="677"/>
      <c r="B764" s="677"/>
      <c r="C764" s="677"/>
      <c r="D764" s="677"/>
      <c r="E764" s="677"/>
      <c r="F764" s="677"/>
      <c r="G764" s="677"/>
      <c r="H764" s="677"/>
      <c r="I764" s="677"/>
      <c r="J764" s="677"/>
      <c r="K764" s="677"/>
      <c r="L764" s="677"/>
      <c r="M764" s="677"/>
      <c r="N764" s="677"/>
      <c r="O764" s="677"/>
      <c r="P764" s="677"/>
      <c r="Q764" s="677"/>
      <c r="R764" s="677"/>
      <c r="S764" s="380"/>
      <c r="T764" s="677"/>
      <c r="U764" s="380"/>
      <c r="V764" s="770"/>
      <c r="W764" s="770"/>
      <c r="X764" s="770"/>
      <c r="Y764" s="770"/>
      <c r="Z764" s="770"/>
      <c r="AA764" s="380"/>
      <c r="AB764" s="770"/>
      <c r="AC764" s="677"/>
      <c r="AD764" s="677"/>
      <c r="AE764" s="677"/>
    </row>
    <row r="765" spans="1:31">
      <c r="A765" s="677"/>
      <c r="B765" s="677"/>
      <c r="C765" s="677"/>
      <c r="D765" s="677"/>
      <c r="E765" s="677"/>
      <c r="F765" s="677"/>
      <c r="G765" s="677"/>
      <c r="H765" s="677"/>
      <c r="I765" s="677"/>
      <c r="J765" s="677"/>
      <c r="K765" s="677"/>
      <c r="L765" s="677"/>
      <c r="M765" s="677"/>
      <c r="N765" s="677"/>
      <c r="O765" s="677"/>
      <c r="P765" s="677"/>
      <c r="Q765" s="677"/>
      <c r="R765" s="677"/>
      <c r="S765" s="380"/>
      <c r="T765" s="677"/>
      <c r="U765" s="380"/>
      <c r="V765" s="770"/>
      <c r="W765" s="770"/>
      <c r="X765" s="770"/>
      <c r="Y765" s="770"/>
      <c r="Z765" s="770"/>
      <c r="AA765" s="380"/>
      <c r="AB765" s="770"/>
      <c r="AC765" s="677"/>
      <c r="AD765" s="677"/>
      <c r="AE765" s="677"/>
    </row>
    <row r="766" spans="1:31">
      <c r="A766" s="677"/>
      <c r="B766" s="677"/>
      <c r="C766" s="677"/>
      <c r="D766" s="677"/>
      <c r="E766" s="677"/>
      <c r="F766" s="677"/>
      <c r="G766" s="677"/>
      <c r="H766" s="677"/>
      <c r="I766" s="677"/>
      <c r="J766" s="677"/>
      <c r="K766" s="677"/>
      <c r="L766" s="677"/>
      <c r="M766" s="677"/>
      <c r="N766" s="677"/>
      <c r="O766" s="677"/>
      <c r="P766" s="677"/>
      <c r="Q766" s="677"/>
      <c r="R766" s="677"/>
      <c r="S766" s="380"/>
      <c r="T766" s="677"/>
      <c r="U766" s="380"/>
      <c r="V766" s="770"/>
      <c r="W766" s="770"/>
      <c r="X766" s="770"/>
      <c r="Y766" s="770"/>
      <c r="Z766" s="770"/>
      <c r="AA766" s="380"/>
      <c r="AB766" s="770"/>
      <c r="AC766" s="677"/>
      <c r="AD766" s="677"/>
      <c r="AE766" s="677"/>
    </row>
    <row r="767" spans="1:31">
      <c r="A767" s="677"/>
      <c r="B767" s="677"/>
      <c r="C767" s="677"/>
      <c r="D767" s="677"/>
      <c r="E767" s="677"/>
      <c r="F767" s="677"/>
      <c r="G767" s="677"/>
      <c r="H767" s="677"/>
      <c r="I767" s="677"/>
      <c r="J767" s="677"/>
      <c r="K767" s="677"/>
      <c r="L767" s="677"/>
      <c r="M767" s="677"/>
      <c r="N767" s="677"/>
      <c r="O767" s="677"/>
      <c r="P767" s="677"/>
      <c r="Q767" s="677"/>
      <c r="R767" s="677"/>
      <c r="S767" s="380"/>
      <c r="T767" s="677"/>
      <c r="U767" s="380"/>
      <c r="V767" s="770"/>
      <c r="W767" s="770"/>
      <c r="X767" s="770"/>
      <c r="Y767" s="770"/>
      <c r="Z767" s="770"/>
      <c r="AA767" s="380"/>
      <c r="AB767" s="770"/>
      <c r="AC767" s="677"/>
      <c r="AD767" s="677"/>
      <c r="AE767" s="677"/>
    </row>
    <row r="768" spans="1:31">
      <c r="A768" s="677"/>
      <c r="B768" s="677"/>
      <c r="C768" s="677"/>
      <c r="D768" s="677"/>
      <c r="E768" s="677"/>
      <c r="F768" s="677"/>
      <c r="G768" s="677"/>
      <c r="H768" s="677"/>
      <c r="I768" s="677"/>
      <c r="J768" s="677"/>
      <c r="K768" s="677"/>
      <c r="L768" s="677"/>
      <c r="M768" s="677"/>
      <c r="N768" s="677"/>
      <c r="O768" s="677"/>
      <c r="P768" s="677"/>
      <c r="Q768" s="677"/>
      <c r="R768" s="677"/>
      <c r="S768" s="380"/>
      <c r="T768" s="677"/>
      <c r="U768" s="380"/>
      <c r="V768" s="770"/>
      <c r="W768" s="770"/>
      <c r="X768" s="770"/>
      <c r="Y768" s="770"/>
      <c r="Z768" s="770"/>
      <c r="AA768" s="380"/>
      <c r="AB768" s="770"/>
      <c r="AC768" s="677"/>
      <c r="AD768" s="677"/>
      <c r="AE768" s="677"/>
    </row>
    <row r="769" spans="1:31">
      <c r="A769" s="677"/>
      <c r="B769" s="677"/>
      <c r="C769" s="677"/>
      <c r="D769" s="677"/>
      <c r="E769" s="677"/>
      <c r="F769" s="677"/>
      <c r="G769" s="677"/>
      <c r="H769" s="677"/>
      <c r="I769" s="677"/>
      <c r="J769" s="677"/>
      <c r="K769" s="677"/>
      <c r="L769" s="677"/>
      <c r="M769" s="677"/>
      <c r="N769" s="677"/>
      <c r="O769" s="677"/>
      <c r="P769" s="677"/>
      <c r="Q769" s="677"/>
      <c r="R769" s="677"/>
      <c r="S769" s="380"/>
      <c r="T769" s="677"/>
      <c r="U769" s="380"/>
      <c r="V769" s="770"/>
      <c r="W769" s="770"/>
      <c r="X769" s="770"/>
      <c r="Y769" s="770"/>
      <c r="Z769" s="770"/>
      <c r="AA769" s="380"/>
      <c r="AB769" s="770"/>
      <c r="AC769" s="677"/>
      <c r="AD769" s="677"/>
      <c r="AE769" s="677"/>
    </row>
    <row r="770" spans="1:31">
      <c r="A770" s="677"/>
      <c r="B770" s="677"/>
      <c r="C770" s="677"/>
      <c r="D770" s="677"/>
      <c r="E770" s="677"/>
      <c r="F770" s="677"/>
      <c r="G770" s="677"/>
      <c r="H770" s="677"/>
      <c r="I770" s="677"/>
      <c r="J770" s="677"/>
      <c r="K770" s="677"/>
      <c r="L770" s="677"/>
      <c r="M770" s="677"/>
      <c r="N770" s="677"/>
      <c r="O770" s="677"/>
      <c r="P770" s="677"/>
      <c r="Q770" s="677"/>
      <c r="R770" s="677"/>
      <c r="S770" s="380"/>
      <c r="T770" s="677"/>
      <c r="U770" s="380"/>
      <c r="V770" s="770"/>
      <c r="W770" s="770"/>
      <c r="X770" s="770"/>
      <c r="Y770" s="770"/>
      <c r="Z770" s="770"/>
      <c r="AA770" s="380"/>
      <c r="AB770" s="770"/>
      <c r="AC770" s="677"/>
      <c r="AD770" s="677"/>
      <c r="AE770" s="677"/>
    </row>
    <row r="771" spans="1:31">
      <c r="A771" s="677"/>
      <c r="B771" s="677"/>
      <c r="C771" s="677"/>
      <c r="D771" s="677"/>
      <c r="E771" s="677"/>
      <c r="F771" s="677"/>
      <c r="G771" s="677"/>
      <c r="H771" s="677"/>
      <c r="I771" s="677"/>
      <c r="J771" s="677"/>
      <c r="K771" s="677"/>
      <c r="L771" s="677"/>
      <c r="M771" s="677"/>
      <c r="N771" s="677"/>
      <c r="O771" s="677"/>
      <c r="P771" s="677"/>
      <c r="Q771" s="677"/>
      <c r="R771" s="677"/>
      <c r="S771" s="380"/>
      <c r="T771" s="677"/>
      <c r="U771" s="380"/>
      <c r="V771" s="770"/>
      <c r="W771" s="770"/>
      <c r="X771" s="770"/>
      <c r="Y771" s="770"/>
      <c r="Z771" s="770"/>
      <c r="AA771" s="380"/>
      <c r="AB771" s="770"/>
      <c r="AC771" s="677"/>
      <c r="AD771" s="677"/>
      <c r="AE771" s="677"/>
    </row>
    <row r="772" spans="1:31">
      <c r="A772" s="677"/>
      <c r="B772" s="677"/>
      <c r="C772" s="677"/>
      <c r="D772" s="677"/>
      <c r="E772" s="677"/>
      <c r="F772" s="677"/>
      <c r="G772" s="677"/>
      <c r="H772" s="677"/>
      <c r="I772" s="677"/>
      <c r="J772" s="677"/>
      <c r="K772" s="677"/>
      <c r="L772" s="677"/>
      <c r="M772" s="677"/>
      <c r="N772" s="677"/>
      <c r="O772" s="677"/>
      <c r="P772" s="677"/>
      <c r="Q772" s="677"/>
      <c r="R772" s="677"/>
      <c r="S772" s="380"/>
      <c r="T772" s="677"/>
      <c r="U772" s="380"/>
      <c r="V772" s="770"/>
      <c r="W772" s="770"/>
      <c r="X772" s="770"/>
      <c r="Y772" s="770"/>
      <c r="Z772" s="770"/>
      <c r="AA772" s="380"/>
      <c r="AB772" s="770"/>
      <c r="AC772" s="677"/>
      <c r="AD772" s="677"/>
      <c r="AE772" s="677"/>
    </row>
    <row r="773" spans="1:31">
      <c r="A773" s="677"/>
      <c r="B773" s="677"/>
      <c r="C773" s="677"/>
      <c r="D773" s="677"/>
      <c r="E773" s="677"/>
      <c r="F773" s="677"/>
      <c r="G773" s="677"/>
      <c r="H773" s="677"/>
      <c r="I773" s="677"/>
      <c r="J773" s="677"/>
      <c r="K773" s="677"/>
      <c r="L773" s="677"/>
      <c r="M773" s="677"/>
      <c r="N773" s="677"/>
      <c r="O773" s="677"/>
      <c r="P773" s="677"/>
      <c r="Q773" s="677"/>
      <c r="R773" s="677"/>
      <c r="S773" s="380"/>
      <c r="T773" s="677"/>
      <c r="U773" s="380"/>
      <c r="V773" s="770"/>
      <c r="W773" s="770"/>
      <c r="X773" s="770"/>
      <c r="Y773" s="770"/>
      <c r="Z773" s="770"/>
      <c r="AA773" s="380"/>
      <c r="AB773" s="770"/>
      <c r="AC773" s="677"/>
      <c r="AD773" s="677"/>
      <c r="AE773" s="677"/>
    </row>
    <row r="774" spans="1:31">
      <c r="A774" s="677"/>
      <c r="B774" s="677"/>
      <c r="C774" s="677"/>
      <c r="D774" s="677"/>
      <c r="E774" s="677"/>
      <c r="F774" s="677"/>
      <c r="G774" s="677"/>
      <c r="H774" s="677"/>
      <c r="I774" s="677"/>
      <c r="J774" s="677"/>
      <c r="K774" s="677"/>
      <c r="L774" s="677"/>
      <c r="M774" s="677"/>
      <c r="N774" s="677"/>
      <c r="O774" s="677"/>
      <c r="P774" s="677"/>
      <c r="Q774" s="677"/>
      <c r="R774" s="677"/>
      <c r="S774" s="380"/>
      <c r="T774" s="677"/>
      <c r="U774" s="380"/>
      <c r="V774" s="770"/>
      <c r="W774" s="770"/>
      <c r="X774" s="770"/>
      <c r="Y774" s="770"/>
      <c r="Z774" s="770"/>
      <c r="AA774" s="380"/>
      <c r="AB774" s="770"/>
      <c r="AC774" s="677"/>
      <c r="AD774" s="677"/>
      <c r="AE774" s="677"/>
    </row>
    <row r="775" spans="1:31">
      <c r="A775" s="677"/>
      <c r="B775" s="677"/>
      <c r="C775" s="677"/>
      <c r="D775" s="677"/>
      <c r="E775" s="677"/>
      <c r="F775" s="677"/>
      <c r="G775" s="677"/>
      <c r="H775" s="677"/>
      <c r="I775" s="677"/>
      <c r="J775" s="677"/>
      <c r="K775" s="677"/>
      <c r="L775" s="677"/>
      <c r="M775" s="677"/>
      <c r="N775" s="677"/>
      <c r="O775" s="677"/>
      <c r="P775" s="677"/>
      <c r="Q775" s="677"/>
      <c r="R775" s="677"/>
      <c r="S775" s="380"/>
      <c r="T775" s="677"/>
      <c r="U775" s="380"/>
      <c r="V775" s="770"/>
      <c r="W775" s="770"/>
      <c r="X775" s="770"/>
      <c r="Y775" s="770"/>
      <c r="Z775" s="770"/>
      <c r="AA775" s="380"/>
      <c r="AB775" s="770"/>
      <c r="AC775" s="677"/>
      <c r="AD775" s="677"/>
      <c r="AE775" s="677"/>
    </row>
    <row r="776" spans="1:31">
      <c r="A776" s="677"/>
      <c r="B776" s="677"/>
      <c r="C776" s="677"/>
      <c r="D776" s="677"/>
      <c r="E776" s="677"/>
      <c r="F776" s="677"/>
      <c r="G776" s="677"/>
      <c r="H776" s="677"/>
      <c r="I776" s="677"/>
      <c r="J776" s="677"/>
      <c r="K776" s="677"/>
      <c r="L776" s="677"/>
      <c r="M776" s="677"/>
      <c r="N776" s="677"/>
      <c r="O776" s="677"/>
      <c r="P776" s="677"/>
      <c r="Q776" s="677"/>
      <c r="R776" s="677"/>
      <c r="S776" s="380"/>
      <c r="T776" s="677"/>
      <c r="U776" s="380"/>
      <c r="V776" s="770"/>
      <c r="W776" s="770"/>
      <c r="X776" s="770"/>
      <c r="Y776" s="770"/>
      <c r="Z776" s="770"/>
      <c r="AA776" s="380"/>
      <c r="AB776" s="770"/>
      <c r="AC776" s="677"/>
      <c r="AD776" s="677"/>
      <c r="AE776" s="677"/>
    </row>
    <row r="777" spans="1:31">
      <c r="A777" s="677"/>
      <c r="B777" s="677"/>
      <c r="C777" s="677"/>
      <c r="D777" s="677"/>
      <c r="E777" s="677"/>
      <c r="F777" s="677"/>
      <c r="G777" s="677"/>
      <c r="H777" s="677"/>
      <c r="I777" s="677"/>
      <c r="J777" s="677"/>
      <c r="K777" s="677"/>
      <c r="L777" s="677"/>
      <c r="M777" s="677"/>
      <c r="N777" s="677"/>
      <c r="O777" s="677"/>
      <c r="P777" s="677"/>
      <c r="Q777" s="677"/>
      <c r="R777" s="677"/>
      <c r="S777" s="380"/>
      <c r="T777" s="677"/>
      <c r="U777" s="380"/>
      <c r="V777" s="770"/>
      <c r="W777" s="770"/>
      <c r="X777" s="770"/>
      <c r="Y777" s="770"/>
      <c r="Z777" s="770"/>
      <c r="AA777" s="380"/>
      <c r="AB777" s="770"/>
      <c r="AC777" s="677"/>
      <c r="AD777" s="677"/>
      <c r="AE777" s="677"/>
    </row>
    <row r="778" spans="1:31">
      <c r="A778" s="677"/>
      <c r="B778" s="677"/>
      <c r="C778" s="677"/>
      <c r="D778" s="677"/>
      <c r="E778" s="677"/>
      <c r="F778" s="677"/>
      <c r="G778" s="677"/>
      <c r="H778" s="677"/>
      <c r="I778" s="677"/>
      <c r="J778" s="677"/>
      <c r="K778" s="677"/>
      <c r="L778" s="677"/>
      <c r="M778" s="677"/>
      <c r="N778" s="677"/>
      <c r="O778" s="677"/>
      <c r="P778" s="677"/>
      <c r="Q778" s="677"/>
      <c r="R778" s="677"/>
      <c r="S778" s="380"/>
      <c r="T778" s="677"/>
      <c r="U778" s="380"/>
      <c r="V778" s="770"/>
      <c r="W778" s="770"/>
      <c r="X778" s="770"/>
      <c r="Y778" s="770"/>
      <c r="Z778" s="770"/>
      <c r="AA778" s="380"/>
      <c r="AB778" s="770"/>
      <c r="AC778" s="677"/>
      <c r="AD778" s="677"/>
      <c r="AE778" s="677"/>
    </row>
    <row r="779" spans="1:31">
      <c r="A779" s="677"/>
      <c r="B779" s="677"/>
      <c r="C779" s="677"/>
      <c r="D779" s="677"/>
      <c r="E779" s="677"/>
      <c r="F779" s="677"/>
      <c r="G779" s="677"/>
      <c r="H779" s="677"/>
      <c r="I779" s="677"/>
      <c r="J779" s="677"/>
      <c r="K779" s="677"/>
      <c r="L779" s="677"/>
      <c r="M779" s="677"/>
      <c r="N779" s="677"/>
      <c r="O779" s="677"/>
      <c r="P779" s="677"/>
      <c r="Q779" s="677"/>
      <c r="R779" s="677"/>
      <c r="S779" s="380"/>
      <c r="T779" s="677"/>
      <c r="U779" s="380"/>
      <c r="V779" s="770"/>
      <c r="W779" s="770"/>
      <c r="X779" s="770"/>
      <c r="Y779" s="770"/>
      <c r="Z779" s="770"/>
      <c r="AA779" s="380"/>
      <c r="AB779" s="770"/>
      <c r="AC779" s="677"/>
      <c r="AD779" s="677"/>
      <c r="AE779" s="677"/>
    </row>
    <row r="780" spans="1:31">
      <c r="A780" s="677"/>
      <c r="B780" s="677"/>
      <c r="C780" s="677"/>
      <c r="D780" s="677"/>
      <c r="E780" s="677"/>
      <c r="F780" s="677"/>
      <c r="G780" s="677"/>
      <c r="H780" s="677"/>
      <c r="I780" s="677"/>
      <c r="J780" s="677"/>
      <c r="K780" s="677"/>
      <c r="L780" s="677"/>
      <c r="M780" s="677"/>
      <c r="N780" s="677"/>
      <c r="O780" s="677"/>
      <c r="P780" s="677"/>
      <c r="Q780" s="677"/>
      <c r="R780" s="677"/>
      <c r="S780" s="380"/>
      <c r="T780" s="677"/>
      <c r="U780" s="380"/>
      <c r="V780" s="770"/>
      <c r="W780" s="770"/>
      <c r="X780" s="770"/>
      <c r="Y780" s="770"/>
      <c r="Z780" s="770"/>
      <c r="AA780" s="380"/>
      <c r="AB780" s="770"/>
      <c r="AC780" s="677"/>
      <c r="AD780" s="677"/>
      <c r="AE780" s="677"/>
    </row>
    <row r="781" spans="1:31">
      <c r="A781" s="677"/>
      <c r="B781" s="677"/>
      <c r="C781" s="677"/>
      <c r="D781" s="677"/>
      <c r="E781" s="677"/>
      <c r="F781" s="677"/>
      <c r="G781" s="677"/>
      <c r="H781" s="677"/>
      <c r="I781" s="677"/>
      <c r="J781" s="677"/>
      <c r="K781" s="677"/>
      <c r="L781" s="677"/>
      <c r="M781" s="677"/>
      <c r="N781" s="677"/>
      <c r="O781" s="677"/>
      <c r="P781" s="677"/>
      <c r="Q781" s="677"/>
      <c r="R781" s="677"/>
      <c r="S781" s="380"/>
      <c r="T781" s="677"/>
      <c r="U781" s="380"/>
      <c r="V781" s="770"/>
      <c r="W781" s="770"/>
      <c r="X781" s="770"/>
      <c r="Y781" s="770"/>
      <c r="Z781" s="770"/>
      <c r="AA781" s="380"/>
      <c r="AB781" s="770"/>
      <c r="AC781" s="677"/>
      <c r="AD781" s="677"/>
      <c r="AE781" s="677"/>
    </row>
    <row r="782" spans="1:31">
      <c r="A782" s="677"/>
      <c r="B782" s="677"/>
      <c r="C782" s="677"/>
      <c r="D782" s="677"/>
      <c r="E782" s="677"/>
      <c r="F782" s="677"/>
      <c r="G782" s="677"/>
      <c r="H782" s="677"/>
      <c r="I782" s="677"/>
      <c r="J782" s="677"/>
      <c r="K782" s="677"/>
      <c r="L782" s="677"/>
      <c r="M782" s="677"/>
      <c r="N782" s="677"/>
      <c r="O782" s="677"/>
      <c r="P782" s="677"/>
      <c r="Q782" s="677"/>
      <c r="R782" s="677"/>
      <c r="S782" s="380"/>
      <c r="T782" s="677"/>
      <c r="U782" s="380"/>
      <c r="V782" s="770"/>
      <c r="W782" s="770"/>
      <c r="X782" s="770"/>
      <c r="Y782" s="770"/>
      <c r="Z782" s="770"/>
      <c r="AA782" s="380"/>
      <c r="AB782" s="770"/>
      <c r="AC782" s="677"/>
      <c r="AD782" s="677"/>
      <c r="AE782" s="677"/>
    </row>
    <row r="783" spans="1:31">
      <c r="A783" s="677"/>
      <c r="B783" s="677"/>
      <c r="C783" s="677"/>
      <c r="D783" s="677"/>
      <c r="E783" s="677"/>
      <c r="F783" s="677"/>
      <c r="G783" s="677"/>
      <c r="H783" s="677"/>
      <c r="I783" s="677"/>
      <c r="J783" s="677"/>
      <c r="K783" s="677"/>
      <c r="L783" s="677"/>
      <c r="M783" s="677"/>
      <c r="N783" s="677"/>
      <c r="O783" s="677"/>
      <c r="P783" s="677"/>
      <c r="Q783" s="677"/>
      <c r="R783" s="677"/>
      <c r="S783" s="380"/>
      <c r="T783" s="677"/>
      <c r="U783" s="380"/>
      <c r="V783" s="770"/>
      <c r="W783" s="770"/>
      <c r="X783" s="770"/>
      <c r="Y783" s="770"/>
      <c r="Z783" s="770"/>
      <c r="AA783" s="380"/>
      <c r="AB783" s="770"/>
      <c r="AC783" s="677"/>
      <c r="AD783" s="677"/>
      <c r="AE783" s="677"/>
    </row>
    <row r="784" spans="1:31">
      <c r="A784" s="677"/>
      <c r="B784" s="677"/>
      <c r="C784" s="677"/>
      <c r="D784" s="677"/>
      <c r="E784" s="677"/>
      <c r="F784" s="677"/>
      <c r="G784" s="677"/>
      <c r="H784" s="677"/>
      <c r="I784" s="677"/>
      <c r="J784" s="677"/>
      <c r="K784" s="677"/>
      <c r="L784" s="677"/>
      <c r="M784" s="677"/>
      <c r="N784" s="677"/>
      <c r="O784" s="677"/>
      <c r="P784" s="677"/>
      <c r="Q784" s="677"/>
      <c r="R784" s="677"/>
      <c r="S784" s="380"/>
      <c r="T784" s="677"/>
      <c r="U784" s="380"/>
      <c r="V784" s="770"/>
      <c r="W784" s="770"/>
      <c r="X784" s="770"/>
      <c r="Y784" s="770"/>
      <c r="Z784" s="770"/>
      <c r="AA784" s="380"/>
      <c r="AB784" s="770"/>
      <c r="AC784" s="677"/>
      <c r="AD784" s="677"/>
      <c r="AE784" s="677"/>
    </row>
    <row r="785" spans="1:31">
      <c r="A785" s="677"/>
      <c r="B785" s="677"/>
      <c r="C785" s="677"/>
      <c r="D785" s="677"/>
      <c r="E785" s="677"/>
      <c r="F785" s="677"/>
      <c r="G785" s="677"/>
      <c r="H785" s="677"/>
      <c r="I785" s="677"/>
      <c r="J785" s="677"/>
      <c r="K785" s="677"/>
      <c r="L785" s="677"/>
      <c r="M785" s="677"/>
      <c r="N785" s="677"/>
      <c r="O785" s="677"/>
      <c r="P785" s="677"/>
      <c r="Q785" s="677"/>
      <c r="R785" s="677"/>
      <c r="S785" s="380"/>
      <c r="T785" s="677"/>
      <c r="U785" s="380"/>
      <c r="V785" s="770"/>
      <c r="W785" s="770"/>
      <c r="X785" s="770"/>
      <c r="Y785" s="770"/>
      <c r="Z785" s="770"/>
      <c r="AA785" s="380"/>
      <c r="AB785" s="770"/>
      <c r="AC785" s="677"/>
      <c r="AD785" s="677"/>
      <c r="AE785" s="677"/>
    </row>
    <row r="786" spans="1:31">
      <c r="A786" s="677"/>
      <c r="B786" s="677"/>
      <c r="C786" s="677"/>
      <c r="D786" s="677"/>
      <c r="E786" s="677"/>
      <c r="F786" s="677"/>
      <c r="G786" s="677"/>
      <c r="H786" s="677"/>
      <c r="I786" s="677"/>
      <c r="J786" s="677"/>
      <c r="K786" s="677"/>
      <c r="L786" s="677"/>
      <c r="M786" s="677"/>
      <c r="N786" s="677"/>
      <c r="O786" s="677"/>
      <c r="P786" s="677"/>
      <c r="Q786" s="677"/>
      <c r="R786" s="677"/>
      <c r="S786" s="380"/>
      <c r="T786" s="677"/>
      <c r="U786" s="380"/>
      <c r="V786" s="770"/>
      <c r="W786" s="770"/>
      <c r="X786" s="770"/>
      <c r="Y786" s="770"/>
      <c r="Z786" s="770"/>
      <c r="AA786" s="380"/>
      <c r="AB786" s="770"/>
      <c r="AC786" s="677"/>
      <c r="AD786" s="677"/>
      <c r="AE786" s="677"/>
    </row>
    <row r="787" spans="1:31">
      <c r="A787" s="677"/>
      <c r="B787" s="677"/>
      <c r="C787" s="677"/>
      <c r="D787" s="677"/>
      <c r="E787" s="677"/>
      <c r="F787" s="677"/>
      <c r="G787" s="677"/>
      <c r="H787" s="677"/>
      <c r="I787" s="677"/>
      <c r="J787" s="677"/>
      <c r="K787" s="677"/>
      <c r="L787" s="677"/>
      <c r="M787" s="677"/>
      <c r="N787" s="677"/>
      <c r="O787" s="677"/>
      <c r="P787" s="677"/>
      <c r="Q787" s="677"/>
      <c r="R787" s="677"/>
      <c r="S787" s="380"/>
      <c r="T787" s="677"/>
      <c r="U787" s="380"/>
      <c r="V787" s="770"/>
      <c r="W787" s="770"/>
      <c r="X787" s="770"/>
      <c r="Y787" s="770"/>
      <c r="Z787" s="770"/>
      <c r="AA787" s="380"/>
      <c r="AB787" s="770"/>
      <c r="AC787" s="677"/>
      <c r="AD787" s="677"/>
      <c r="AE787" s="677"/>
    </row>
    <row r="788" spans="1:31">
      <c r="A788" s="677"/>
      <c r="B788" s="677"/>
      <c r="C788" s="677"/>
      <c r="D788" s="677"/>
      <c r="E788" s="677"/>
      <c r="F788" s="677"/>
      <c r="G788" s="677"/>
      <c r="H788" s="677"/>
      <c r="I788" s="677"/>
      <c r="J788" s="677"/>
      <c r="K788" s="677"/>
      <c r="L788" s="677"/>
      <c r="M788" s="677"/>
      <c r="N788" s="677"/>
      <c r="O788" s="677"/>
      <c r="P788" s="677"/>
      <c r="Q788" s="677"/>
      <c r="R788" s="677"/>
      <c r="S788" s="380"/>
      <c r="T788" s="677"/>
      <c r="U788" s="380"/>
      <c r="V788" s="770"/>
      <c r="W788" s="770"/>
      <c r="X788" s="770"/>
      <c r="Y788" s="770"/>
      <c r="Z788" s="770"/>
      <c r="AA788" s="380"/>
      <c r="AB788" s="770"/>
      <c r="AC788" s="677"/>
      <c r="AD788" s="677"/>
      <c r="AE788" s="677"/>
    </row>
    <row r="789" spans="1:31">
      <c r="A789" s="677"/>
      <c r="B789" s="677"/>
      <c r="C789" s="677"/>
      <c r="D789" s="677"/>
      <c r="E789" s="677"/>
      <c r="F789" s="677"/>
      <c r="G789" s="677"/>
      <c r="H789" s="677"/>
      <c r="I789" s="677"/>
      <c r="J789" s="677"/>
      <c r="K789" s="677"/>
      <c r="L789" s="677"/>
      <c r="M789" s="677"/>
      <c r="N789" s="677"/>
      <c r="O789" s="677"/>
      <c r="P789" s="677"/>
      <c r="Q789" s="677"/>
      <c r="R789" s="677"/>
      <c r="S789" s="380"/>
      <c r="T789" s="677"/>
      <c r="U789" s="380"/>
      <c r="V789" s="770"/>
      <c r="W789" s="770"/>
      <c r="X789" s="770"/>
      <c r="Y789" s="770"/>
      <c r="Z789" s="770"/>
      <c r="AA789" s="380"/>
      <c r="AB789" s="770"/>
      <c r="AC789" s="677"/>
      <c r="AD789" s="677"/>
      <c r="AE789" s="677"/>
    </row>
    <row r="790" spans="1:31">
      <c r="A790" s="677"/>
      <c r="B790" s="677"/>
      <c r="C790" s="677"/>
      <c r="D790" s="677"/>
      <c r="E790" s="677"/>
      <c r="F790" s="677"/>
      <c r="G790" s="677"/>
      <c r="H790" s="677"/>
      <c r="I790" s="677"/>
      <c r="J790" s="677"/>
      <c r="K790" s="677"/>
      <c r="L790" s="677"/>
      <c r="M790" s="677"/>
      <c r="N790" s="677"/>
      <c r="O790" s="677"/>
      <c r="P790" s="677"/>
      <c r="Q790" s="677"/>
      <c r="R790" s="677"/>
      <c r="S790" s="380"/>
      <c r="T790" s="677"/>
      <c r="U790" s="380"/>
      <c r="V790" s="770"/>
      <c r="W790" s="770"/>
      <c r="X790" s="770"/>
      <c r="Y790" s="770"/>
      <c r="Z790" s="770"/>
      <c r="AA790" s="380"/>
      <c r="AB790" s="770"/>
      <c r="AC790" s="677"/>
      <c r="AD790" s="677"/>
      <c r="AE790" s="677"/>
    </row>
    <row r="791" spans="1:31">
      <c r="A791" s="677"/>
      <c r="B791" s="677"/>
      <c r="C791" s="677"/>
      <c r="D791" s="677"/>
      <c r="E791" s="677"/>
      <c r="F791" s="677"/>
      <c r="G791" s="677"/>
      <c r="H791" s="677"/>
      <c r="I791" s="677"/>
      <c r="J791" s="677"/>
      <c r="K791" s="677"/>
      <c r="L791" s="677"/>
      <c r="M791" s="677"/>
      <c r="N791" s="677"/>
      <c r="O791" s="677"/>
      <c r="P791" s="677"/>
      <c r="Q791" s="677"/>
      <c r="R791" s="677"/>
      <c r="S791" s="380"/>
      <c r="T791" s="677"/>
      <c r="U791" s="380"/>
      <c r="V791" s="770"/>
      <c r="W791" s="770"/>
      <c r="X791" s="770"/>
      <c r="Y791" s="770"/>
      <c r="Z791" s="770"/>
      <c r="AA791" s="380"/>
      <c r="AB791" s="770"/>
      <c r="AC791" s="677"/>
      <c r="AD791" s="677"/>
      <c r="AE791" s="677"/>
    </row>
    <row r="792" spans="1:31">
      <c r="A792" s="677"/>
      <c r="B792" s="677"/>
      <c r="C792" s="677"/>
      <c r="D792" s="677"/>
      <c r="E792" s="677"/>
      <c r="F792" s="677"/>
      <c r="G792" s="677"/>
      <c r="H792" s="677"/>
      <c r="I792" s="677"/>
      <c r="J792" s="677"/>
      <c r="K792" s="677"/>
      <c r="L792" s="677"/>
      <c r="M792" s="677"/>
      <c r="N792" s="677"/>
      <c r="O792" s="677"/>
      <c r="P792" s="677"/>
      <c r="Q792" s="677"/>
      <c r="R792" s="677"/>
      <c r="S792" s="380"/>
      <c r="T792" s="677"/>
      <c r="U792" s="380"/>
      <c r="V792" s="770"/>
      <c r="W792" s="770"/>
      <c r="X792" s="770"/>
      <c r="Y792" s="770"/>
      <c r="Z792" s="770"/>
      <c r="AA792" s="380"/>
      <c r="AB792" s="770"/>
      <c r="AC792" s="677"/>
      <c r="AD792" s="677"/>
      <c r="AE792" s="677"/>
    </row>
    <row r="793" spans="1:31">
      <c r="A793" s="677"/>
      <c r="B793" s="677"/>
      <c r="C793" s="677"/>
      <c r="D793" s="677"/>
      <c r="E793" s="677"/>
      <c r="F793" s="677"/>
      <c r="G793" s="677"/>
      <c r="H793" s="677"/>
      <c r="I793" s="677"/>
      <c r="J793" s="677"/>
      <c r="K793" s="677"/>
      <c r="L793" s="677"/>
      <c r="M793" s="677"/>
      <c r="N793" s="677"/>
      <c r="O793" s="677"/>
      <c r="P793" s="677"/>
      <c r="Q793" s="677"/>
      <c r="R793" s="677"/>
      <c r="S793" s="380"/>
      <c r="T793" s="677"/>
      <c r="U793" s="380"/>
      <c r="V793" s="770"/>
      <c r="W793" s="770"/>
      <c r="X793" s="770"/>
      <c r="Y793" s="770"/>
      <c r="Z793" s="770"/>
      <c r="AA793" s="380"/>
      <c r="AB793" s="770"/>
      <c r="AC793" s="677"/>
      <c r="AD793" s="677"/>
      <c r="AE793" s="677"/>
    </row>
    <row r="794" spans="1:31">
      <c r="A794" s="677"/>
      <c r="B794" s="677"/>
      <c r="C794" s="677"/>
      <c r="D794" s="677"/>
      <c r="E794" s="677"/>
      <c r="F794" s="677"/>
      <c r="G794" s="677"/>
      <c r="H794" s="677"/>
      <c r="I794" s="677"/>
      <c r="J794" s="677"/>
      <c r="K794" s="677"/>
      <c r="L794" s="677"/>
      <c r="M794" s="677"/>
      <c r="N794" s="677"/>
      <c r="O794" s="677"/>
      <c r="P794" s="677"/>
      <c r="Q794" s="677"/>
      <c r="R794" s="677"/>
      <c r="S794" s="380"/>
      <c r="T794" s="677"/>
      <c r="U794" s="380"/>
      <c r="V794" s="770"/>
      <c r="W794" s="770"/>
      <c r="X794" s="770"/>
      <c r="Y794" s="770"/>
      <c r="Z794" s="770"/>
      <c r="AA794" s="380"/>
      <c r="AB794" s="770"/>
      <c r="AC794" s="677"/>
      <c r="AD794" s="677"/>
      <c r="AE794" s="677"/>
    </row>
    <row r="795" spans="1:31">
      <c r="A795" s="677"/>
      <c r="B795" s="677"/>
      <c r="C795" s="677"/>
      <c r="D795" s="677"/>
      <c r="E795" s="677"/>
      <c r="F795" s="677"/>
      <c r="G795" s="677"/>
      <c r="H795" s="677"/>
      <c r="I795" s="677"/>
      <c r="J795" s="677"/>
      <c r="K795" s="677"/>
      <c r="L795" s="677"/>
      <c r="M795" s="677"/>
      <c r="N795" s="677"/>
      <c r="O795" s="677"/>
      <c r="P795" s="677"/>
      <c r="Q795" s="677"/>
      <c r="R795" s="677"/>
      <c r="S795" s="380"/>
      <c r="T795" s="677"/>
      <c r="U795" s="380"/>
      <c r="V795" s="770"/>
      <c r="W795" s="770"/>
      <c r="X795" s="770"/>
      <c r="Y795" s="770"/>
      <c r="Z795" s="770"/>
      <c r="AA795" s="380"/>
      <c r="AB795" s="770"/>
      <c r="AC795" s="677"/>
      <c r="AD795" s="677"/>
      <c r="AE795" s="677"/>
    </row>
    <row r="796" spans="1:31">
      <c r="A796" s="677"/>
      <c r="B796" s="677"/>
      <c r="C796" s="677"/>
      <c r="D796" s="677"/>
      <c r="E796" s="677"/>
      <c r="F796" s="677"/>
      <c r="G796" s="677"/>
      <c r="H796" s="677"/>
      <c r="I796" s="677"/>
      <c r="J796" s="677"/>
      <c r="K796" s="677"/>
      <c r="L796" s="677"/>
      <c r="M796" s="677"/>
      <c r="N796" s="677"/>
      <c r="O796" s="677"/>
      <c r="P796" s="677"/>
      <c r="Q796" s="677"/>
      <c r="R796" s="677"/>
      <c r="S796" s="380"/>
      <c r="T796" s="677"/>
      <c r="U796" s="380"/>
      <c r="V796" s="770"/>
      <c r="W796" s="770"/>
      <c r="X796" s="770"/>
      <c r="Y796" s="770"/>
      <c r="Z796" s="770"/>
      <c r="AA796" s="380"/>
      <c r="AB796" s="770"/>
      <c r="AC796" s="677"/>
      <c r="AD796" s="677"/>
      <c r="AE796" s="677"/>
    </row>
    <row r="797" spans="1:31">
      <c r="A797" s="677"/>
      <c r="B797" s="677"/>
      <c r="C797" s="677"/>
      <c r="D797" s="677"/>
      <c r="E797" s="677"/>
      <c r="F797" s="677"/>
      <c r="G797" s="677"/>
      <c r="H797" s="677"/>
      <c r="I797" s="677"/>
      <c r="J797" s="677"/>
      <c r="K797" s="677"/>
      <c r="L797" s="677"/>
      <c r="M797" s="677"/>
      <c r="N797" s="677"/>
      <c r="O797" s="677"/>
      <c r="P797" s="677"/>
      <c r="Q797" s="677"/>
      <c r="R797" s="677"/>
      <c r="S797" s="380"/>
      <c r="T797" s="677"/>
      <c r="U797" s="380"/>
      <c r="V797" s="770"/>
      <c r="W797" s="770"/>
      <c r="X797" s="770"/>
      <c r="Y797" s="770"/>
      <c r="Z797" s="770"/>
      <c r="AA797" s="380"/>
      <c r="AB797" s="770"/>
      <c r="AC797" s="677"/>
      <c r="AD797" s="677"/>
      <c r="AE797" s="677"/>
    </row>
    <row r="798" spans="1:31">
      <c r="A798" s="677"/>
      <c r="B798" s="677"/>
      <c r="C798" s="677"/>
      <c r="D798" s="677"/>
      <c r="E798" s="677"/>
      <c r="F798" s="677"/>
      <c r="G798" s="677"/>
      <c r="H798" s="677"/>
      <c r="I798" s="677"/>
      <c r="J798" s="677"/>
      <c r="K798" s="677"/>
      <c r="L798" s="677"/>
      <c r="M798" s="677"/>
      <c r="N798" s="677"/>
      <c r="O798" s="677"/>
      <c r="P798" s="677"/>
      <c r="Q798" s="677"/>
      <c r="R798" s="677"/>
      <c r="S798" s="380"/>
      <c r="T798" s="677"/>
      <c r="U798" s="380"/>
      <c r="V798" s="770"/>
      <c r="W798" s="770"/>
      <c r="X798" s="770"/>
      <c r="Y798" s="770"/>
      <c r="Z798" s="770"/>
      <c r="AA798" s="380"/>
      <c r="AB798" s="770"/>
      <c r="AC798" s="677"/>
      <c r="AD798" s="677"/>
      <c r="AE798" s="677"/>
    </row>
    <row r="799" spans="1:31">
      <c r="A799" s="677"/>
      <c r="B799" s="677"/>
      <c r="C799" s="677"/>
      <c r="D799" s="677"/>
      <c r="E799" s="677"/>
      <c r="F799" s="677"/>
      <c r="G799" s="677"/>
      <c r="H799" s="677"/>
      <c r="I799" s="677"/>
      <c r="J799" s="677"/>
      <c r="K799" s="677"/>
      <c r="L799" s="677"/>
      <c r="M799" s="677"/>
      <c r="N799" s="677"/>
      <c r="O799" s="677"/>
      <c r="P799" s="677"/>
      <c r="Q799" s="677"/>
      <c r="R799" s="677"/>
      <c r="S799" s="380"/>
      <c r="T799" s="677"/>
      <c r="U799" s="380"/>
      <c r="V799" s="770"/>
      <c r="W799" s="770"/>
      <c r="X799" s="770"/>
      <c r="Y799" s="770"/>
      <c r="Z799" s="770"/>
      <c r="AA799" s="380"/>
      <c r="AB799" s="770"/>
      <c r="AC799" s="677"/>
      <c r="AD799" s="677"/>
      <c r="AE799" s="677"/>
    </row>
    <row r="800" spans="1:31">
      <c r="A800" s="677"/>
      <c r="B800" s="677"/>
      <c r="C800" s="677"/>
      <c r="D800" s="677"/>
      <c r="E800" s="677"/>
      <c r="F800" s="677"/>
      <c r="G800" s="677"/>
      <c r="H800" s="677"/>
      <c r="I800" s="677"/>
      <c r="J800" s="677"/>
      <c r="K800" s="677"/>
      <c r="L800" s="677"/>
      <c r="M800" s="677"/>
      <c r="N800" s="677"/>
      <c r="O800" s="677"/>
      <c r="P800" s="677"/>
      <c r="Q800" s="677"/>
      <c r="R800" s="677"/>
      <c r="S800" s="380"/>
      <c r="T800" s="677"/>
      <c r="U800" s="380"/>
      <c r="V800" s="770"/>
      <c r="W800" s="770"/>
      <c r="X800" s="770"/>
      <c r="Y800" s="770"/>
      <c r="Z800" s="770"/>
      <c r="AA800" s="380"/>
      <c r="AB800" s="770"/>
      <c r="AC800" s="677"/>
      <c r="AD800" s="677"/>
      <c r="AE800" s="677"/>
    </row>
    <row r="801" spans="1:31">
      <c r="A801" s="677"/>
      <c r="B801" s="677"/>
      <c r="C801" s="677"/>
      <c r="D801" s="677"/>
      <c r="E801" s="677"/>
      <c r="F801" s="677"/>
      <c r="G801" s="677"/>
      <c r="H801" s="677"/>
      <c r="I801" s="677"/>
      <c r="J801" s="677"/>
      <c r="K801" s="677"/>
      <c r="L801" s="677"/>
      <c r="M801" s="677"/>
      <c r="N801" s="677"/>
      <c r="O801" s="677"/>
      <c r="P801" s="677"/>
      <c r="Q801" s="677"/>
      <c r="R801" s="677"/>
      <c r="S801" s="380"/>
      <c r="T801" s="677"/>
      <c r="U801" s="380"/>
      <c r="V801" s="770"/>
      <c r="W801" s="770"/>
      <c r="X801" s="770"/>
      <c r="Y801" s="770"/>
      <c r="Z801" s="770"/>
      <c r="AA801" s="380"/>
      <c r="AB801" s="770"/>
      <c r="AC801" s="677"/>
      <c r="AD801" s="677"/>
      <c r="AE801" s="677"/>
    </row>
    <row r="802" spans="1:31">
      <c r="A802" s="677"/>
      <c r="B802" s="677"/>
      <c r="C802" s="677"/>
      <c r="D802" s="677"/>
      <c r="E802" s="677"/>
      <c r="F802" s="677"/>
      <c r="G802" s="677"/>
      <c r="H802" s="677"/>
      <c r="I802" s="677"/>
      <c r="J802" s="677"/>
      <c r="K802" s="677"/>
      <c r="L802" s="677"/>
      <c r="M802" s="677"/>
      <c r="N802" s="677"/>
      <c r="O802" s="677"/>
      <c r="P802" s="677"/>
      <c r="Q802" s="677"/>
      <c r="R802" s="677"/>
      <c r="S802" s="380"/>
      <c r="T802" s="677"/>
      <c r="U802" s="380"/>
      <c r="V802" s="770"/>
      <c r="W802" s="770"/>
      <c r="X802" s="770"/>
      <c r="Y802" s="770"/>
      <c r="Z802" s="770"/>
      <c r="AA802" s="380"/>
      <c r="AB802" s="770"/>
      <c r="AC802" s="677"/>
      <c r="AD802" s="677"/>
      <c r="AE802" s="677"/>
    </row>
    <row r="803" spans="1:31">
      <c r="A803" s="677"/>
      <c r="B803" s="677"/>
      <c r="C803" s="677"/>
      <c r="D803" s="677"/>
      <c r="E803" s="677"/>
      <c r="F803" s="677"/>
      <c r="G803" s="677"/>
      <c r="H803" s="677"/>
      <c r="I803" s="677"/>
      <c r="J803" s="677"/>
      <c r="K803" s="677"/>
      <c r="L803" s="677"/>
      <c r="M803" s="677"/>
      <c r="N803" s="677"/>
      <c r="O803" s="677"/>
      <c r="P803" s="677"/>
      <c r="Q803" s="677"/>
      <c r="R803" s="677"/>
      <c r="S803" s="380"/>
      <c r="T803" s="677"/>
      <c r="U803" s="380"/>
      <c r="V803" s="770"/>
      <c r="W803" s="770"/>
      <c r="X803" s="770"/>
      <c r="Y803" s="770"/>
      <c r="Z803" s="770"/>
      <c r="AA803" s="380"/>
      <c r="AB803" s="770"/>
      <c r="AC803" s="677"/>
      <c r="AD803" s="677"/>
      <c r="AE803" s="677"/>
    </row>
    <row r="804" spans="1:31">
      <c r="A804" s="677"/>
      <c r="B804" s="677"/>
      <c r="C804" s="677"/>
      <c r="D804" s="677"/>
      <c r="E804" s="677"/>
      <c r="F804" s="677"/>
      <c r="G804" s="677"/>
      <c r="H804" s="677"/>
      <c r="I804" s="677"/>
      <c r="J804" s="677"/>
      <c r="K804" s="677"/>
      <c r="L804" s="677"/>
      <c r="M804" s="677"/>
      <c r="N804" s="677"/>
      <c r="O804" s="677"/>
      <c r="P804" s="677"/>
      <c r="Q804" s="677"/>
      <c r="R804" s="677"/>
      <c r="S804" s="380"/>
      <c r="T804" s="677"/>
      <c r="U804" s="380"/>
      <c r="V804" s="770"/>
      <c r="W804" s="770"/>
      <c r="X804" s="770"/>
      <c r="Y804" s="770"/>
      <c r="Z804" s="770"/>
      <c r="AA804" s="380"/>
      <c r="AB804" s="770"/>
      <c r="AC804" s="677"/>
      <c r="AD804" s="677"/>
      <c r="AE804" s="677"/>
    </row>
    <row r="805" spans="1:31">
      <c r="A805" s="677"/>
      <c r="B805" s="677"/>
      <c r="C805" s="677"/>
      <c r="D805" s="677"/>
      <c r="E805" s="677"/>
      <c r="F805" s="677"/>
      <c r="G805" s="677"/>
      <c r="H805" s="677"/>
      <c r="I805" s="677"/>
      <c r="J805" s="677"/>
      <c r="K805" s="677"/>
      <c r="L805" s="677"/>
      <c r="M805" s="677"/>
      <c r="N805" s="677"/>
      <c r="O805" s="677"/>
      <c r="P805" s="677"/>
      <c r="Q805" s="677"/>
      <c r="R805" s="677"/>
      <c r="S805" s="380"/>
      <c r="T805" s="677"/>
      <c r="U805" s="380"/>
      <c r="V805" s="770"/>
      <c r="W805" s="770"/>
      <c r="X805" s="770"/>
      <c r="Y805" s="770"/>
      <c r="Z805" s="770"/>
      <c r="AA805" s="380"/>
      <c r="AB805" s="770"/>
      <c r="AC805" s="677"/>
      <c r="AD805" s="677"/>
      <c r="AE805" s="677"/>
    </row>
    <row r="806" spans="1:31">
      <c r="A806" s="677"/>
      <c r="B806" s="677"/>
      <c r="C806" s="677"/>
      <c r="D806" s="677"/>
      <c r="E806" s="677"/>
      <c r="F806" s="677"/>
      <c r="G806" s="677"/>
      <c r="H806" s="677"/>
      <c r="I806" s="677"/>
      <c r="J806" s="677"/>
      <c r="K806" s="677"/>
      <c r="L806" s="677"/>
      <c r="M806" s="677"/>
      <c r="N806" s="677"/>
      <c r="O806" s="677"/>
      <c r="P806" s="677"/>
      <c r="Q806" s="677"/>
      <c r="R806" s="677"/>
      <c r="S806" s="380"/>
      <c r="T806" s="677"/>
      <c r="U806" s="380"/>
      <c r="V806" s="770"/>
      <c r="W806" s="770"/>
      <c r="X806" s="770"/>
      <c r="Y806" s="770"/>
      <c r="Z806" s="770"/>
      <c r="AA806" s="380"/>
      <c r="AB806" s="770"/>
      <c r="AC806" s="677"/>
      <c r="AD806" s="677"/>
      <c r="AE806" s="677"/>
    </row>
    <row r="807" spans="1:31">
      <c r="A807" s="677"/>
      <c r="B807" s="677"/>
      <c r="C807" s="677"/>
      <c r="D807" s="677"/>
      <c r="E807" s="677"/>
      <c r="F807" s="677"/>
      <c r="G807" s="677"/>
      <c r="H807" s="677"/>
      <c r="I807" s="677"/>
      <c r="J807" s="677"/>
      <c r="K807" s="677"/>
      <c r="L807" s="677"/>
      <c r="M807" s="677"/>
      <c r="N807" s="677"/>
      <c r="O807" s="677"/>
      <c r="P807" s="677"/>
      <c r="Q807" s="677"/>
      <c r="R807" s="677"/>
      <c r="S807" s="380"/>
      <c r="T807" s="677"/>
      <c r="U807" s="380"/>
      <c r="V807" s="770"/>
      <c r="W807" s="770"/>
      <c r="X807" s="770"/>
      <c r="Y807" s="770"/>
      <c r="Z807" s="770"/>
      <c r="AA807" s="380"/>
      <c r="AB807" s="770"/>
      <c r="AC807" s="677"/>
      <c r="AD807" s="677"/>
      <c r="AE807" s="677"/>
    </row>
    <row r="808" spans="1:31">
      <c r="A808" s="677"/>
      <c r="B808" s="677"/>
      <c r="C808" s="677"/>
      <c r="D808" s="677"/>
      <c r="E808" s="677"/>
      <c r="F808" s="677"/>
      <c r="G808" s="677"/>
      <c r="H808" s="677"/>
      <c r="I808" s="677"/>
      <c r="J808" s="677"/>
      <c r="K808" s="677"/>
      <c r="L808" s="677"/>
      <c r="M808" s="677"/>
      <c r="N808" s="677"/>
      <c r="O808" s="677"/>
      <c r="P808" s="677"/>
      <c r="Q808" s="677"/>
      <c r="R808" s="677"/>
      <c r="S808" s="380"/>
      <c r="T808" s="677"/>
      <c r="U808" s="380"/>
      <c r="V808" s="770"/>
      <c r="W808" s="770"/>
      <c r="X808" s="770"/>
      <c r="Y808" s="770"/>
      <c r="Z808" s="770"/>
      <c r="AA808" s="380"/>
      <c r="AB808" s="770"/>
      <c r="AC808" s="677"/>
      <c r="AD808" s="677"/>
      <c r="AE808" s="677"/>
    </row>
    <row r="809" spans="1:31">
      <c r="A809" s="677"/>
      <c r="B809" s="677"/>
      <c r="C809" s="677"/>
      <c r="D809" s="677"/>
      <c r="E809" s="677"/>
      <c r="F809" s="677"/>
      <c r="G809" s="677"/>
      <c r="H809" s="677"/>
      <c r="I809" s="677"/>
      <c r="J809" s="677"/>
      <c r="K809" s="677"/>
      <c r="L809" s="677"/>
      <c r="M809" s="677"/>
      <c r="N809" s="677"/>
      <c r="O809" s="677"/>
      <c r="P809" s="677"/>
      <c r="Q809" s="677"/>
      <c r="R809" s="677"/>
      <c r="S809" s="380"/>
      <c r="T809" s="677"/>
      <c r="U809" s="380"/>
      <c r="V809" s="770"/>
      <c r="W809" s="770"/>
      <c r="X809" s="770"/>
      <c r="Y809" s="770"/>
      <c r="Z809" s="770"/>
      <c r="AA809" s="380"/>
      <c r="AB809" s="770"/>
      <c r="AC809" s="677"/>
      <c r="AD809" s="677"/>
      <c r="AE809" s="677"/>
    </row>
    <row r="810" spans="1:31">
      <c r="A810" s="677"/>
      <c r="B810" s="677"/>
      <c r="C810" s="677"/>
      <c r="D810" s="677"/>
      <c r="E810" s="677"/>
      <c r="F810" s="677"/>
      <c r="G810" s="677"/>
      <c r="H810" s="677"/>
      <c r="I810" s="677"/>
      <c r="J810" s="677"/>
      <c r="K810" s="677"/>
      <c r="L810" s="677"/>
      <c r="M810" s="677"/>
      <c r="N810" s="677"/>
      <c r="O810" s="677"/>
      <c r="P810" s="677"/>
      <c r="Q810" s="677"/>
      <c r="R810" s="677"/>
      <c r="S810" s="380"/>
      <c r="T810" s="677"/>
      <c r="U810" s="380"/>
      <c r="V810" s="770"/>
      <c r="W810" s="770"/>
      <c r="X810" s="770"/>
      <c r="Y810" s="770"/>
      <c r="Z810" s="770"/>
      <c r="AA810" s="380"/>
      <c r="AB810" s="770"/>
      <c r="AC810" s="677"/>
      <c r="AD810" s="677"/>
      <c r="AE810" s="677"/>
    </row>
    <row r="811" spans="1:31">
      <c r="A811" s="677"/>
      <c r="B811" s="677"/>
      <c r="C811" s="677"/>
      <c r="D811" s="677"/>
      <c r="E811" s="677"/>
      <c r="F811" s="677"/>
      <c r="G811" s="677"/>
      <c r="H811" s="677"/>
      <c r="I811" s="677"/>
      <c r="J811" s="677"/>
      <c r="K811" s="677"/>
      <c r="L811" s="677"/>
      <c r="M811" s="677"/>
      <c r="N811" s="677"/>
      <c r="O811" s="677"/>
      <c r="P811" s="677"/>
      <c r="Q811" s="677"/>
      <c r="R811" s="677"/>
      <c r="S811" s="380"/>
      <c r="T811" s="677"/>
      <c r="U811" s="380"/>
      <c r="V811" s="770"/>
      <c r="W811" s="770"/>
      <c r="X811" s="770"/>
      <c r="Y811" s="770"/>
      <c r="Z811" s="770"/>
      <c r="AA811" s="380"/>
      <c r="AB811" s="770"/>
      <c r="AC811" s="677"/>
      <c r="AD811" s="677"/>
      <c r="AE811" s="677"/>
    </row>
    <row r="812" spans="1:31">
      <c r="A812" s="677"/>
      <c r="B812" s="677"/>
      <c r="C812" s="677"/>
      <c r="D812" s="677"/>
      <c r="E812" s="677"/>
      <c r="F812" s="677"/>
      <c r="G812" s="677"/>
      <c r="H812" s="677"/>
      <c r="I812" s="677"/>
      <c r="J812" s="677"/>
      <c r="K812" s="677"/>
      <c r="L812" s="677"/>
      <c r="M812" s="677"/>
      <c r="N812" s="677"/>
      <c r="O812" s="677"/>
      <c r="P812" s="677"/>
      <c r="Q812" s="677"/>
      <c r="R812" s="677"/>
      <c r="S812" s="380"/>
      <c r="T812" s="677"/>
      <c r="U812" s="380"/>
      <c r="V812" s="770"/>
      <c r="W812" s="770"/>
      <c r="X812" s="770"/>
      <c r="Y812" s="770"/>
      <c r="Z812" s="770"/>
      <c r="AA812" s="380"/>
      <c r="AB812" s="770"/>
      <c r="AC812" s="677"/>
      <c r="AD812" s="677"/>
      <c r="AE812" s="677"/>
    </row>
    <row r="813" spans="1:31">
      <c r="A813" s="677"/>
      <c r="B813" s="677"/>
      <c r="C813" s="677"/>
      <c r="D813" s="677"/>
      <c r="E813" s="677"/>
      <c r="F813" s="677"/>
      <c r="G813" s="677"/>
      <c r="H813" s="677"/>
      <c r="I813" s="677"/>
      <c r="J813" s="677"/>
      <c r="K813" s="677"/>
      <c r="L813" s="677"/>
      <c r="M813" s="677"/>
      <c r="N813" s="677"/>
      <c r="O813" s="677"/>
      <c r="P813" s="677"/>
      <c r="Q813" s="677"/>
      <c r="R813" s="677"/>
      <c r="S813" s="380"/>
      <c r="T813" s="677"/>
      <c r="U813" s="380"/>
      <c r="V813" s="770"/>
      <c r="W813" s="770"/>
      <c r="X813" s="770"/>
      <c r="Y813" s="770"/>
      <c r="Z813" s="770"/>
      <c r="AA813" s="380"/>
      <c r="AB813" s="770"/>
      <c r="AC813" s="677"/>
      <c r="AD813" s="677"/>
      <c r="AE813" s="677"/>
    </row>
    <row r="814" spans="1:31">
      <c r="A814" s="677"/>
      <c r="B814" s="677"/>
      <c r="C814" s="677"/>
      <c r="D814" s="677"/>
      <c r="E814" s="677"/>
      <c r="F814" s="677"/>
      <c r="G814" s="677"/>
      <c r="H814" s="677"/>
      <c r="I814" s="677"/>
      <c r="J814" s="677"/>
      <c r="K814" s="677"/>
      <c r="L814" s="677"/>
      <c r="M814" s="677"/>
      <c r="N814" s="677"/>
      <c r="O814" s="677"/>
      <c r="P814" s="677"/>
      <c r="Q814" s="677"/>
      <c r="R814" s="677"/>
      <c r="S814" s="380"/>
      <c r="T814" s="677"/>
      <c r="U814" s="380"/>
      <c r="V814" s="770"/>
      <c r="W814" s="770"/>
      <c r="X814" s="770"/>
      <c r="Y814" s="770"/>
      <c r="Z814" s="770"/>
      <c r="AA814" s="380"/>
      <c r="AB814" s="770"/>
      <c r="AC814" s="677"/>
      <c r="AD814" s="677"/>
      <c r="AE814" s="677"/>
    </row>
    <row r="815" spans="1:31">
      <c r="A815" s="677"/>
      <c r="B815" s="677"/>
      <c r="C815" s="677"/>
      <c r="D815" s="677"/>
      <c r="E815" s="677"/>
      <c r="F815" s="677"/>
      <c r="G815" s="677"/>
      <c r="H815" s="677"/>
      <c r="I815" s="677"/>
      <c r="J815" s="677"/>
      <c r="K815" s="677"/>
      <c r="L815" s="677"/>
      <c r="M815" s="677"/>
      <c r="N815" s="677"/>
      <c r="O815" s="677"/>
      <c r="P815" s="677"/>
      <c r="Q815" s="677"/>
      <c r="R815" s="677"/>
      <c r="S815" s="380"/>
      <c r="T815" s="677"/>
      <c r="U815" s="380"/>
      <c r="V815" s="770"/>
      <c r="W815" s="770"/>
      <c r="X815" s="770"/>
      <c r="Y815" s="770"/>
      <c r="Z815" s="770"/>
      <c r="AA815" s="380"/>
      <c r="AB815" s="770"/>
      <c r="AC815" s="677"/>
      <c r="AD815" s="677"/>
      <c r="AE815" s="677"/>
    </row>
    <row r="816" spans="1:31">
      <c r="A816" s="677"/>
      <c r="B816" s="677"/>
      <c r="C816" s="677"/>
      <c r="D816" s="677"/>
      <c r="E816" s="677"/>
      <c r="F816" s="677"/>
      <c r="G816" s="677"/>
      <c r="H816" s="677"/>
      <c r="I816" s="677"/>
      <c r="J816" s="677"/>
      <c r="K816" s="677"/>
      <c r="L816" s="677"/>
      <c r="M816" s="677"/>
      <c r="N816" s="677"/>
      <c r="O816" s="677"/>
      <c r="P816" s="677"/>
      <c r="Q816" s="677"/>
      <c r="R816" s="677"/>
      <c r="S816" s="380"/>
      <c r="T816" s="677"/>
      <c r="U816" s="380"/>
      <c r="V816" s="770"/>
      <c r="W816" s="770"/>
      <c r="X816" s="770"/>
      <c r="Y816" s="770"/>
      <c r="Z816" s="770"/>
      <c r="AA816" s="380"/>
      <c r="AB816" s="770"/>
      <c r="AC816" s="677"/>
      <c r="AD816" s="677"/>
      <c r="AE816" s="677"/>
    </row>
    <row r="817" spans="1:31">
      <c r="A817" s="677"/>
      <c r="B817" s="677"/>
      <c r="C817" s="677"/>
      <c r="D817" s="677"/>
      <c r="E817" s="677"/>
      <c r="F817" s="677"/>
      <c r="G817" s="677"/>
      <c r="H817" s="677"/>
      <c r="I817" s="677"/>
      <c r="J817" s="677"/>
      <c r="K817" s="677"/>
      <c r="L817" s="677"/>
      <c r="M817" s="677"/>
      <c r="N817" s="677"/>
      <c r="O817" s="677"/>
      <c r="P817" s="677"/>
      <c r="Q817" s="677"/>
      <c r="R817" s="677"/>
      <c r="S817" s="380"/>
      <c r="T817" s="677"/>
      <c r="U817" s="380"/>
      <c r="V817" s="770"/>
      <c r="W817" s="770"/>
      <c r="X817" s="770"/>
      <c r="Y817" s="770"/>
      <c r="Z817" s="770"/>
      <c r="AA817" s="380"/>
      <c r="AB817" s="770"/>
      <c r="AC817" s="677"/>
      <c r="AD817" s="677"/>
      <c r="AE817" s="677"/>
    </row>
    <row r="818" spans="1:31">
      <c r="A818" s="677"/>
      <c r="B818" s="677"/>
      <c r="C818" s="677"/>
      <c r="D818" s="677"/>
      <c r="E818" s="677"/>
      <c r="F818" s="677"/>
      <c r="G818" s="677"/>
      <c r="H818" s="677"/>
      <c r="I818" s="677"/>
      <c r="J818" s="677"/>
      <c r="K818" s="677"/>
      <c r="L818" s="677"/>
      <c r="M818" s="677"/>
      <c r="N818" s="677"/>
      <c r="O818" s="677"/>
      <c r="P818" s="677"/>
      <c r="Q818" s="677"/>
      <c r="R818" s="677"/>
      <c r="S818" s="380"/>
      <c r="T818" s="677"/>
      <c r="U818" s="380"/>
      <c r="V818" s="770"/>
      <c r="W818" s="770"/>
      <c r="X818" s="770"/>
      <c r="Y818" s="770"/>
      <c r="Z818" s="770"/>
      <c r="AA818" s="380"/>
      <c r="AB818" s="770"/>
      <c r="AC818" s="677"/>
      <c r="AD818" s="677"/>
      <c r="AE818" s="677"/>
    </row>
    <row r="819" spans="1:31">
      <c r="A819" s="677"/>
      <c r="B819" s="677"/>
      <c r="C819" s="677"/>
      <c r="D819" s="677"/>
      <c r="E819" s="677"/>
      <c r="F819" s="677"/>
      <c r="G819" s="677"/>
      <c r="H819" s="677"/>
      <c r="I819" s="677"/>
      <c r="J819" s="677"/>
      <c r="K819" s="677"/>
      <c r="L819" s="677"/>
      <c r="M819" s="677"/>
      <c r="N819" s="677"/>
      <c r="O819" s="677"/>
      <c r="P819" s="677"/>
      <c r="Q819" s="677"/>
      <c r="R819" s="677"/>
      <c r="S819" s="380"/>
      <c r="T819" s="677"/>
      <c r="U819" s="380"/>
      <c r="V819" s="770"/>
      <c r="W819" s="770"/>
      <c r="X819" s="770"/>
      <c r="Y819" s="770"/>
      <c r="Z819" s="770"/>
      <c r="AA819" s="380"/>
      <c r="AB819" s="770"/>
      <c r="AC819" s="677"/>
      <c r="AD819" s="677"/>
      <c r="AE819" s="677"/>
    </row>
    <row r="820" spans="1:31">
      <c r="A820" s="677"/>
      <c r="B820" s="677"/>
      <c r="C820" s="677"/>
      <c r="D820" s="677"/>
      <c r="E820" s="677"/>
      <c r="F820" s="677"/>
      <c r="G820" s="677"/>
      <c r="H820" s="677"/>
      <c r="I820" s="677"/>
      <c r="J820" s="677"/>
      <c r="K820" s="677"/>
      <c r="L820" s="677"/>
      <c r="M820" s="677"/>
      <c r="N820" s="677"/>
      <c r="O820" s="677"/>
      <c r="P820" s="677"/>
      <c r="Q820" s="677"/>
      <c r="R820" s="677"/>
      <c r="S820" s="380"/>
      <c r="T820" s="677"/>
      <c r="U820" s="380"/>
      <c r="V820" s="770"/>
      <c r="W820" s="770"/>
      <c r="X820" s="770"/>
      <c r="Y820" s="770"/>
      <c r="Z820" s="770"/>
      <c r="AA820" s="380"/>
      <c r="AB820" s="770"/>
      <c r="AC820" s="677"/>
      <c r="AD820" s="677"/>
      <c r="AE820" s="677"/>
    </row>
    <row r="821" spans="1:31">
      <c r="A821" s="677"/>
      <c r="B821" s="677"/>
      <c r="C821" s="677"/>
      <c r="D821" s="677"/>
      <c r="E821" s="677"/>
      <c r="F821" s="677"/>
      <c r="G821" s="677"/>
      <c r="H821" s="677"/>
      <c r="I821" s="677"/>
      <c r="J821" s="677"/>
      <c r="K821" s="677"/>
      <c r="L821" s="677"/>
      <c r="M821" s="677"/>
      <c r="N821" s="677"/>
      <c r="O821" s="677"/>
      <c r="P821" s="677"/>
      <c r="Q821" s="677"/>
      <c r="R821" s="677"/>
      <c r="S821" s="380"/>
      <c r="T821" s="677"/>
      <c r="U821" s="380"/>
      <c r="V821" s="770"/>
      <c r="W821" s="770"/>
      <c r="X821" s="770"/>
      <c r="Y821" s="770"/>
      <c r="Z821" s="770"/>
      <c r="AA821" s="380"/>
      <c r="AB821" s="770"/>
      <c r="AC821" s="677"/>
      <c r="AD821" s="677"/>
      <c r="AE821" s="677"/>
    </row>
    <row r="822" spans="1:31">
      <c r="A822" s="677"/>
      <c r="B822" s="677"/>
      <c r="C822" s="677"/>
      <c r="D822" s="677"/>
      <c r="E822" s="677"/>
      <c r="F822" s="677"/>
      <c r="G822" s="677"/>
      <c r="H822" s="677"/>
      <c r="I822" s="677"/>
      <c r="J822" s="677"/>
      <c r="K822" s="677"/>
      <c r="L822" s="677"/>
      <c r="M822" s="677"/>
      <c r="N822" s="677"/>
      <c r="O822" s="677"/>
      <c r="P822" s="677"/>
      <c r="Q822" s="677"/>
      <c r="R822" s="677"/>
      <c r="S822" s="380"/>
      <c r="T822" s="677"/>
      <c r="U822" s="380"/>
      <c r="V822" s="770"/>
      <c r="W822" s="770"/>
      <c r="X822" s="770"/>
      <c r="Y822" s="770"/>
      <c r="Z822" s="770"/>
      <c r="AA822" s="380"/>
      <c r="AB822" s="770"/>
      <c r="AC822" s="677"/>
      <c r="AD822" s="677"/>
      <c r="AE822" s="677"/>
    </row>
    <row r="823" spans="1:31">
      <c r="A823" s="677"/>
      <c r="B823" s="677"/>
      <c r="C823" s="677"/>
      <c r="D823" s="677"/>
      <c r="E823" s="677"/>
      <c r="F823" s="677"/>
      <c r="G823" s="677"/>
      <c r="H823" s="677"/>
      <c r="I823" s="677"/>
      <c r="J823" s="677"/>
      <c r="K823" s="677"/>
      <c r="L823" s="677"/>
      <c r="M823" s="677"/>
      <c r="N823" s="677"/>
      <c r="O823" s="677"/>
      <c r="P823" s="677"/>
      <c r="Q823" s="677"/>
      <c r="R823" s="677"/>
      <c r="S823" s="380"/>
      <c r="T823" s="677"/>
      <c r="U823" s="380"/>
      <c r="V823" s="770"/>
      <c r="W823" s="770"/>
      <c r="X823" s="770"/>
      <c r="Y823" s="770"/>
      <c r="Z823" s="770"/>
      <c r="AA823" s="380"/>
      <c r="AB823" s="770"/>
      <c r="AC823" s="677"/>
      <c r="AD823" s="677"/>
      <c r="AE823" s="677"/>
    </row>
    <row r="824" spans="1:31">
      <c r="A824" s="677"/>
      <c r="B824" s="677"/>
      <c r="C824" s="677"/>
      <c r="D824" s="677"/>
      <c r="E824" s="677"/>
      <c r="F824" s="677"/>
      <c r="G824" s="677"/>
      <c r="H824" s="677"/>
      <c r="I824" s="677"/>
      <c r="J824" s="677"/>
      <c r="K824" s="677"/>
      <c r="L824" s="677"/>
      <c r="M824" s="677"/>
      <c r="N824" s="677"/>
      <c r="O824" s="677"/>
      <c r="P824" s="677"/>
      <c r="Q824" s="677"/>
      <c r="R824" s="677"/>
      <c r="S824" s="380"/>
      <c r="T824" s="677"/>
      <c r="U824" s="380"/>
      <c r="V824" s="770"/>
      <c r="W824" s="770"/>
      <c r="X824" s="770"/>
      <c r="Y824" s="770"/>
      <c r="Z824" s="770"/>
      <c r="AA824" s="380"/>
      <c r="AB824" s="770"/>
      <c r="AC824" s="677"/>
      <c r="AD824" s="677"/>
      <c r="AE824" s="677"/>
    </row>
    <row r="825" spans="1:31">
      <c r="A825" s="677"/>
      <c r="B825" s="677"/>
      <c r="C825" s="677"/>
      <c r="D825" s="677"/>
      <c r="E825" s="677"/>
      <c r="F825" s="677"/>
      <c r="G825" s="677"/>
      <c r="H825" s="677"/>
      <c r="I825" s="677"/>
      <c r="J825" s="677"/>
      <c r="K825" s="677"/>
      <c r="L825" s="677"/>
      <c r="M825" s="677"/>
      <c r="N825" s="677"/>
      <c r="O825" s="677"/>
      <c r="P825" s="677"/>
      <c r="Q825" s="677"/>
      <c r="R825" s="677"/>
      <c r="S825" s="380"/>
      <c r="T825" s="677"/>
      <c r="U825" s="380"/>
      <c r="V825" s="770"/>
      <c r="W825" s="770"/>
      <c r="X825" s="770"/>
      <c r="Y825" s="770"/>
      <c r="Z825" s="770"/>
      <c r="AA825" s="380"/>
      <c r="AB825" s="770"/>
      <c r="AC825" s="677"/>
      <c r="AD825" s="677"/>
      <c r="AE825" s="677"/>
    </row>
    <row r="826" spans="1:31">
      <c r="A826" s="677"/>
      <c r="B826" s="677"/>
      <c r="C826" s="677"/>
      <c r="D826" s="677"/>
      <c r="E826" s="677"/>
      <c r="F826" s="677"/>
      <c r="G826" s="677"/>
      <c r="H826" s="677"/>
      <c r="I826" s="677"/>
      <c r="J826" s="677"/>
      <c r="K826" s="677"/>
      <c r="L826" s="677"/>
      <c r="M826" s="677"/>
      <c r="N826" s="677"/>
      <c r="O826" s="677"/>
      <c r="P826" s="677"/>
      <c r="Q826" s="677"/>
      <c r="R826" s="677"/>
      <c r="S826" s="380"/>
      <c r="T826" s="677"/>
      <c r="U826" s="380"/>
      <c r="V826" s="770"/>
      <c r="W826" s="770"/>
      <c r="X826" s="770"/>
      <c r="Y826" s="770"/>
      <c r="Z826" s="770"/>
      <c r="AA826" s="380"/>
      <c r="AB826" s="770"/>
      <c r="AC826" s="677"/>
      <c r="AD826" s="677"/>
      <c r="AE826" s="677"/>
    </row>
    <row r="827" spans="1:31">
      <c r="A827" s="677"/>
      <c r="B827" s="677"/>
      <c r="C827" s="677"/>
      <c r="D827" s="677"/>
      <c r="E827" s="677"/>
      <c r="F827" s="677"/>
      <c r="G827" s="677"/>
      <c r="H827" s="677"/>
      <c r="I827" s="677"/>
      <c r="J827" s="677"/>
      <c r="K827" s="677"/>
      <c r="L827" s="677"/>
      <c r="M827" s="677"/>
      <c r="N827" s="677"/>
      <c r="O827" s="677"/>
      <c r="P827" s="677"/>
      <c r="Q827" s="677"/>
      <c r="R827" s="677"/>
      <c r="S827" s="380"/>
      <c r="T827" s="677"/>
      <c r="U827" s="380"/>
      <c r="V827" s="770"/>
      <c r="W827" s="770"/>
      <c r="X827" s="770"/>
      <c r="Y827" s="770"/>
      <c r="Z827" s="770"/>
      <c r="AA827" s="380"/>
      <c r="AB827" s="770"/>
      <c r="AC827" s="677"/>
      <c r="AD827" s="677"/>
      <c r="AE827" s="677"/>
    </row>
    <row r="828" spans="1:31">
      <c r="A828" s="677"/>
      <c r="B828" s="677"/>
      <c r="C828" s="677"/>
      <c r="D828" s="677"/>
      <c r="E828" s="677"/>
      <c r="F828" s="677"/>
      <c r="G828" s="677"/>
      <c r="H828" s="677"/>
      <c r="I828" s="677"/>
      <c r="J828" s="677"/>
      <c r="K828" s="677"/>
      <c r="L828" s="677"/>
      <c r="M828" s="677"/>
      <c r="N828" s="677"/>
      <c r="O828" s="677"/>
      <c r="P828" s="677"/>
      <c r="Q828" s="677"/>
      <c r="R828" s="677"/>
      <c r="S828" s="380"/>
      <c r="T828" s="677"/>
      <c r="U828" s="380"/>
      <c r="V828" s="770"/>
      <c r="W828" s="770"/>
      <c r="X828" s="770"/>
      <c r="Y828" s="770"/>
      <c r="Z828" s="770"/>
      <c r="AA828" s="380"/>
      <c r="AB828" s="770"/>
      <c r="AC828" s="677"/>
      <c r="AD828" s="677"/>
      <c r="AE828" s="677"/>
    </row>
    <row r="829" spans="1:31">
      <c r="A829" s="677"/>
      <c r="B829" s="677"/>
      <c r="C829" s="677"/>
      <c r="D829" s="677"/>
      <c r="E829" s="677"/>
      <c r="F829" s="677"/>
      <c r="G829" s="677"/>
      <c r="H829" s="677"/>
      <c r="I829" s="677"/>
      <c r="J829" s="677"/>
      <c r="K829" s="677"/>
      <c r="L829" s="677"/>
      <c r="M829" s="677"/>
      <c r="N829" s="677"/>
      <c r="O829" s="677"/>
      <c r="P829" s="677"/>
      <c r="Q829" s="677"/>
      <c r="R829" s="677"/>
      <c r="S829" s="380"/>
      <c r="T829" s="677"/>
      <c r="U829" s="380"/>
      <c r="V829" s="770"/>
      <c r="W829" s="770"/>
      <c r="X829" s="770"/>
      <c r="Y829" s="770"/>
      <c r="Z829" s="770"/>
      <c r="AA829" s="380"/>
      <c r="AB829" s="770"/>
      <c r="AC829" s="677"/>
      <c r="AD829" s="677"/>
      <c r="AE829" s="677"/>
    </row>
    <row r="830" spans="1:31">
      <c r="A830" s="677"/>
      <c r="B830" s="677"/>
      <c r="C830" s="677"/>
      <c r="D830" s="677"/>
      <c r="E830" s="677"/>
      <c r="F830" s="677"/>
      <c r="G830" s="677"/>
      <c r="H830" s="677"/>
      <c r="I830" s="677"/>
      <c r="J830" s="677"/>
      <c r="K830" s="677"/>
      <c r="L830" s="677"/>
      <c r="M830" s="677"/>
      <c r="N830" s="677"/>
      <c r="O830" s="677"/>
      <c r="P830" s="677"/>
      <c r="Q830" s="677"/>
      <c r="R830" s="677"/>
      <c r="S830" s="380"/>
      <c r="T830" s="677"/>
      <c r="U830" s="380"/>
      <c r="V830" s="770"/>
      <c r="W830" s="770"/>
      <c r="X830" s="770"/>
      <c r="Y830" s="770"/>
      <c r="Z830" s="770"/>
      <c r="AA830" s="380"/>
      <c r="AB830" s="770"/>
      <c r="AC830" s="677"/>
      <c r="AD830" s="677"/>
      <c r="AE830" s="677"/>
    </row>
    <row r="831" spans="1:31">
      <c r="A831" s="677"/>
      <c r="B831" s="677"/>
      <c r="C831" s="677"/>
      <c r="D831" s="677"/>
      <c r="E831" s="677"/>
      <c r="F831" s="677"/>
      <c r="G831" s="677"/>
      <c r="H831" s="677"/>
      <c r="I831" s="677"/>
      <c r="J831" s="677"/>
      <c r="K831" s="677"/>
      <c r="L831" s="677"/>
      <c r="M831" s="677"/>
      <c r="N831" s="677"/>
      <c r="O831" s="677"/>
      <c r="P831" s="677"/>
      <c r="Q831" s="677"/>
      <c r="R831" s="677"/>
      <c r="S831" s="380"/>
      <c r="T831" s="677"/>
      <c r="U831" s="380"/>
      <c r="V831" s="770"/>
      <c r="W831" s="770"/>
      <c r="X831" s="770"/>
      <c r="Y831" s="770"/>
      <c r="Z831" s="770"/>
      <c r="AA831" s="380"/>
      <c r="AB831" s="770"/>
      <c r="AC831" s="677"/>
      <c r="AD831" s="677"/>
      <c r="AE831" s="677"/>
    </row>
    <row r="832" spans="1:31">
      <c r="A832" s="677"/>
      <c r="B832" s="677"/>
      <c r="C832" s="677"/>
      <c r="D832" s="677"/>
      <c r="E832" s="677"/>
      <c r="F832" s="677"/>
      <c r="G832" s="677"/>
      <c r="H832" s="677"/>
      <c r="I832" s="677"/>
      <c r="J832" s="677"/>
      <c r="K832" s="677"/>
      <c r="L832" s="677"/>
      <c r="M832" s="677"/>
      <c r="N832" s="677"/>
      <c r="O832" s="677"/>
      <c r="P832" s="677"/>
      <c r="Q832" s="677"/>
      <c r="R832" s="677"/>
      <c r="S832" s="380"/>
      <c r="T832" s="677"/>
      <c r="U832" s="380"/>
      <c r="V832" s="770"/>
      <c r="W832" s="770"/>
      <c r="X832" s="770"/>
      <c r="Y832" s="770"/>
      <c r="Z832" s="770"/>
      <c r="AA832" s="380"/>
      <c r="AB832" s="770"/>
      <c r="AC832" s="677"/>
      <c r="AD832" s="677"/>
      <c r="AE832" s="677"/>
    </row>
    <row r="833" spans="1:31">
      <c r="A833" s="677"/>
      <c r="B833" s="677"/>
      <c r="C833" s="677"/>
      <c r="D833" s="677"/>
      <c r="E833" s="677"/>
      <c r="F833" s="677"/>
      <c r="G833" s="677"/>
      <c r="H833" s="677"/>
      <c r="I833" s="677"/>
      <c r="J833" s="677"/>
      <c r="K833" s="677"/>
      <c r="L833" s="677"/>
      <c r="M833" s="677"/>
      <c r="N833" s="677"/>
      <c r="O833" s="677"/>
      <c r="P833" s="677"/>
      <c r="Q833" s="677"/>
      <c r="R833" s="677"/>
      <c r="S833" s="380"/>
      <c r="T833" s="677"/>
      <c r="U833" s="380"/>
      <c r="V833" s="770"/>
      <c r="W833" s="770"/>
      <c r="X833" s="770"/>
      <c r="Y833" s="770"/>
      <c r="Z833" s="770"/>
      <c r="AA833" s="380"/>
      <c r="AB833" s="770"/>
      <c r="AC833" s="677"/>
      <c r="AD833" s="677"/>
      <c r="AE833" s="677"/>
    </row>
    <row r="834" spans="1:31">
      <c r="A834" s="677"/>
      <c r="B834" s="677"/>
      <c r="C834" s="677"/>
      <c r="D834" s="677"/>
      <c r="E834" s="677"/>
      <c r="F834" s="677"/>
      <c r="G834" s="677"/>
      <c r="H834" s="677"/>
      <c r="I834" s="677"/>
      <c r="J834" s="677"/>
      <c r="K834" s="677"/>
      <c r="L834" s="677"/>
      <c r="M834" s="677"/>
      <c r="N834" s="677"/>
      <c r="O834" s="677"/>
      <c r="P834" s="677"/>
      <c r="Q834" s="677"/>
      <c r="R834" s="677"/>
      <c r="S834" s="380"/>
      <c r="T834" s="677"/>
      <c r="U834" s="380"/>
      <c r="V834" s="770"/>
      <c r="W834" s="770"/>
      <c r="X834" s="770"/>
      <c r="Y834" s="770"/>
      <c r="Z834" s="770"/>
      <c r="AA834" s="380"/>
      <c r="AB834" s="770"/>
      <c r="AC834" s="677"/>
      <c r="AD834" s="677"/>
      <c r="AE834" s="677"/>
    </row>
    <row r="835" spans="1:31">
      <c r="A835" s="677"/>
      <c r="B835" s="677"/>
      <c r="C835" s="677"/>
      <c r="D835" s="677"/>
      <c r="E835" s="677"/>
      <c r="F835" s="677"/>
      <c r="G835" s="677"/>
      <c r="H835" s="677"/>
      <c r="I835" s="677"/>
      <c r="J835" s="677"/>
      <c r="K835" s="677"/>
      <c r="L835" s="677"/>
      <c r="M835" s="677"/>
      <c r="N835" s="677"/>
      <c r="O835" s="677"/>
      <c r="P835" s="677"/>
      <c r="Q835" s="677"/>
      <c r="R835" s="677"/>
      <c r="S835" s="380"/>
      <c r="T835" s="677"/>
      <c r="U835" s="380"/>
      <c r="V835" s="770"/>
      <c r="W835" s="770"/>
      <c r="X835" s="770"/>
      <c r="Y835" s="770"/>
      <c r="Z835" s="770"/>
      <c r="AA835" s="380"/>
      <c r="AB835" s="770"/>
      <c r="AC835" s="677"/>
      <c r="AD835" s="677"/>
      <c r="AE835" s="677"/>
    </row>
    <row r="836" spans="1:31">
      <c r="A836" s="677"/>
      <c r="B836" s="677"/>
      <c r="C836" s="677"/>
      <c r="D836" s="677"/>
      <c r="E836" s="677"/>
      <c r="F836" s="677"/>
      <c r="G836" s="677"/>
      <c r="H836" s="677"/>
      <c r="I836" s="677"/>
      <c r="J836" s="677"/>
      <c r="K836" s="677"/>
      <c r="L836" s="677"/>
      <c r="M836" s="677"/>
      <c r="N836" s="677"/>
      <c r="O836" s="677"/>
      <c r="P836" s="677"/>
      <c r="Q836" s="677"/>
      <c r="R836" s="677"/>
      <c r="S836" s="380"/>
      <c r="T836" s="677"/>
      <c r="U836" s="380"/>
      <c r="V836" s="770"/>
      <c r="W836" s="770"/>
      <c r="X836" s="770"/>
      <c r="Y836" s="770"/>
      <c r="Z836" s="770"/>
      <c r="AA836" s="380"/>
      <c r="AB836" s="770"/>
      <c r="AC836" s="677"/>
      <c r="AD836" s="677"/>
      <c r="AE836" s="677"/>
    </row>
    <row r="837" spans="1:31">
      <c r="A837" s="677"/>
      <c r="B837" s="677"/>
      <c r="C837" s="677"/>
      <c r="D837" s="677"/>
      <c r="E837" s="677"/>
      <c r="F837" s="677"/>
      <c r="G837" s="677"/>
      <c r="H837" s="677"/>
      <c r="I837" s="677"/>
      <c r="J837" s="677"/>
      <c r="K837" s="677"/>
      <c r="L837" s="677"/>
      <c r="M837" s="677"/>
      <c r="N837" s="677"/>
      <c r="O837" s="677"/>
      <c r="P837" s="677"/>
      <c r="Q837" s="677"/>
      <c r="R837" s="677"/>
      <c r="S837" s="380"/>
      <c r="T837" s="677"/>
      <c r="U837" s="380"/>
      <c r="V837" s="770"/>
      <c r="W837" s="770"/>
      <c r="X837" s="770"/>
      <c r="Y837" s="770"/>
      <c r="Z837" s="770"/>
      <c r="AA837" s="380"/>
      <c r="AB837" s="770"/>
      <c r="AC837" s="677"/>
      <c r="AD837" s="677"/>
      <c r="AE837" s="677"/>
    </row>
    <row r="838" spans="1:31">
      <c r="A838" s="677"/>
      <c r="B838" s="677"/>
      <c r="C838" s="677"/>
      <c r="D838" s="677"/>
      <c r="E838" s="677"/>
      <c r="F838" s="677"/>
      <c r="G838" s="677"/>
      <c r="H838" s="677"/>
      <c r="I838" s="677"/>
      <c r="J838" s="677"/>
      <c r="K838" s="677"/>
      <c r="L838" s="677"/>
      <c r="M838" s="677"/>
      <c r="N838" s="677"/>
      <c r="O838" s="677"/>
      <c r="P838" s="677"/>
      <c r="Q838" s="677"/>
      <c r="R838" s="677"/>
      <c r="S838" s="380"/>
      <c r="T838" s="677"/>
      <c r="U838" s="380"/>
      <c r="V838" s="770"/>
      <c r="W838" s="770"/>
      <c r="X838" s="770"/>
      <c r="Y838" s="770"/>
      <c r="Z838" s="770"/>
      <c r="AA838" s="380"/>
      <c r="AB838" s="770"/>
      <c r="AC838" s="677"/>
      <c r="AD838" s="677"/>
      <c r="AE838" s="677"/>
    </row>
    <row r="839" spans="1:31">
      <c r="A839" s="677"/>
      <c r="B839" s="677"/>
      <c r="C839" s="677"/>
      <c r="D839" s="677"/>
      <c r="E839" s="677"/>
      <c r="F839" s="677"/>
      <c r="G839" s="677"/>
      <c r="H839" s="677"/>
      <c r="I839" s="677"/>
      <c r="J839" s="677"/>
      <c r="K839" s="677"/>
      <c r="L839" s="677"/>
      <c r="M839" s="677"/>
      <c r="N839" s="677"/>
      <c r="O839" s="677"/>
      <c r="P839" s="677"/>
      <c r="Q839" s="677"/>
      <c r="R839" s="677"/>
      <c r="S839" s="380"/>
      <c r="T839" s="677"/>
      <c r="U839" s="380"/>
      <c r="V839" s="770"/>
      <c r="W839" s="770"/>
      <c r="X839" s="770"/>
      <c r="Y839" s="770"/>
      <c r="Z839" s="770"/>
      <c r="AA839" s="380"/>
      <c r="AB839" s="770"/>
      <c r="AC839" s="677"/>
      <c r="AD839" s="677"/>
      <c r="AE839" s="677"/>
    </row>
    <row r="840" spans="1:31">
      <c r="A840" s="677"/>
      <c r="B840" s="677"/>
      <c r="C840" s="677"/>
      <c r="D840" s="677"/>
      <c r="E840" s="677"/>
      <c r="F840" s="677"/>
      <c r="G840" s="677"/>
      <c r="H840" s="677"/>
      <c r="I840" s="677"/>
      <c r="J840" s="677"/>
      <c r="K840" s="677"/>
      <c r="L840" s="677"/>
      <c r="M840" s="677"/>
      <c r="N840" s="677"/>
      <c r="O840" s="677"/>
      <c r="P840" s="677"/>
      <c r="Q840" s="677"/>
      <c r="R840" s="677"/>
      <c r="S840" s="380"/>
      <c r="T840" s="677"/>
      <c r="U840" s="380"/>
      <c r="V840" s="770"/>
      <c r="W840" s="770"/>
      <c r="X840" s="770"/>
      <c r="Y840" s="770"/>
      <c r="Z840" s="770"/>
      <c r="AA840" s="380"/>
      <c r="AB840" s="770"/>
      <c r="AC840" s="677"/>
      <c r="AD840" s="677"/>
      <c r="AE840" s="677"/>
    </row>
    <row r="841" spans="1:31">
      <c r="A841" s="677"/>
      <c r="B841" s="677"/>
      <c r="C841" s="677"/>
      <c r="D841" s="677"/>
      <c r="E841" s="677"/>
      <c r="F841" s="677"/>
      <c r="G841" s="677"/>
      <c r="H841" s="677"/>
      <c r="I841" s="677"/>
      <c r="J841" s="677"/>
      <c r="K841" s="677"/>
      <c r="L841" s="677"/>
      <c r="M841" s="677"/>
      <c r="N841" s="677"/>
      <c r="O841" s="677"/>
      <c r="P841" s="677"/>
      <c r="Q841" s="677"/>
      <c r="R841" s="677"/>
      <c r="S841" s="380"/>
      <c r="T841" s="677"/>
      <c r="U841" s="380"/>
      <c r="V841" s="770"/>
      <c r="W841" s="770"/>
      <c r="X841" s="770"/>
      <c r="Y841" s="770"/>
      <c r="Z841" s="770"/>
      <c r="AA841" s="380"/>
      <c r="AB841" s="770"/>
      <c r="AC841" s="677"/>
      <c r="AD841" s="677"/>
      <c r="AE841" s="677"/>
    </row>
    <row r="842" spans="1:31">
      <c r="A842" s="677"/>
      <c r="B842" s="677"/>
      <c r="C842" s="677"/>
      <c r="D842" s="677"/>
      <c r="E842" s="677"/>
      <c r="F842" s="677"/>
      <c r="G842" s="677"/>
      <c r="H842" s="677"/>
      <c r="I842" s="677"/>
      <c r="J842" s="677"/>
      <c r="K842" s="677"/>
      <c r="L842" s="677"/>
      <c r="M842" s="677"/>
      <c r="N842" s="677"/>
      <c r="O842" s="677"/>
      <c r="P842" s="677"/>
      <c r="Q842" s="677"/>
      <c r="R842" s="677"/>
      <c r="S842" s="380"/>
      <c r="T842" s="677"/>
      <c r="U842" s="380"/>
      <c r="V842" s="770"/>
      <c r="W842" s="770"/>
      <c r="X842" s="770"/>
      <c r="Y842" s="770"/>
      <c r="Z842" s="770"/>
      <c r="AA842" s="380"/>
      <c r="AB842" s="770"/>
      <c r="AC842" s="677"/>
      <c r="AD842" s="677"/>
      <c r="AE842" s="677"/>
    </row>
    <row r="843" spans="1:31">
      <c r="A843" s="677"/>
      <c r="B843" s="677"/>
      <c r="C843" s="677"/>
      <c r="D843" s="677"/>
      <c r="E843" s="677"/>
      <c r="F843" s="677"/>
      <c r="G843" s="677"/>
      <c r="H843" s="677"/>
      <c r="I843" s="677"/>
      <c r="J843" s="677"/>
      <c r="K843" s="677"/>
      <c r="L843" s="677"/>
      <c r="M843" s="677"/>
      <c r="N843" s="677"/>
      <c r="O843" s="677"/>
      <c r="P843" s="677"/>
      <c r="Q843" s="677"/>
      <c r="R843" s="677"/>
      <c r="S843" s="380"/>
      <c r="T843" s="677"/>
      <c r="U843" s="380"/>
      <c r="V843" s="770"/>
      <c r="W843" s="770"/>
      <c r="X843" s="770"/>
      <c r="Y843" s="770"/>
      <c r="Z843" s="770"/>
      <c r="AA843" s="380"/>
      <c r="AB843" s="770"/>
      <c r="AC843" s="677"/>
      <c r="AD843" s="677"/>
      <c r="AE843" s="677"/>
    </row>
    <row r="844" spans="1:31">
      <c r="A844" s="677"/>
      <c r="B844" s="677"/>
      <c r="C844" s="677"/>
      <c r="D844" s="677"/>
      <c r="E844" s="677"/>
      <c r="F844" s="677"/>
      <c r="G844" s="677"/>
      <c r="H844" s="677"/>
      <c r="I844" s="677"/>
      <c r="J844" s="677"/>
      <c r="K844" s="677"/>
      <c r="L844" s="677"/>
      <c r="M844" s="677"/>
      <c r="N844" s="677"/>
      <c r="O844" s="677"/>
      <c r="P844" s="677"/>
      <c r="Q844" s="677"/>
      <c r="R844" s="677"/>
      <c r="S844" s="380"/>
      <c r="T844" s="677"/>
      <c r="U844" s="380"/>
      <c r="V844" s="770"/>
      <c r="W844" s="770"/>
      <c r="X844" s="770"/>
      <c r="Y844" s="770"/>
      <c r="Z844" s="770"/>
      <c r="AA844" s="380"/>
      <c r="AB844" s="770"/>
      <c r="AC844" s="677"/>
      <c r="AD844" s="677"/>
      <c r="AE844" s="677"/>
    </row>
    <row r="845" spans="1:31">
      <c r="A845" s="677"/>
      <c r="B845" s="677"/>
      <c r="C845" s="677"/>
      <c r="D845" s="677"/>
      <c r="E845" s="677"/>
      <c r="F845" s="677"/>
      <c r="G845" s="677"/>
      <c r="H845" s="677"/>
      <c r="I845" s="677"/>
      <c r="J845" s="677"/>
      <c r="K845" s="677"/>
      <c r="L845" s="677"/>
      <c r="M845" s="677"/>
      <c r="N845" s="677"/>
      <c r="O845" s="677"/>
      <c r="P845" s="677"/>
      <c r="Q845" s="677"/>
      <c r="R845" s="677"/>
      <c r="S845" s="380"/>
      <c r="T845" s="677"/>
      <c r="U845" s="380"/>
      <c r="V845" s="770"/>
      <c r="W845" s="770"/>
      <c r="X845" s="770"/>
      <c r="Y845" s="770"/>
      <c r="Z845" s="770"/>
      <c r="AA845" s="380"/>
      <c r="AB845" s="770"/>
      <c r="AC845" s="677"/>
      <c r="AD845" s="677"/>
      <c r="AE845" s="677"/>
    </row>
    <row r="846" spans="1:31">
      <c r="A846" s="677"/>
      <c r="B846" s="677"/>
      <c r="C846" s="677"/>
      <c r="D846" s="677"/>
      <c r="E846" s="677"/>
      <c r="F846" s="677"/>
      <c r="G846" s="677"/>
      <c r="H846" s="677"/>
      <c r="I846" s="677"/>
      <c r="J846" s="677"/>
      <c r="K846" s="677"/>
      <c r="L846" s="677"/>
      <c r="M846" s="677"/>
      <c r="N846" s="677"/>
      <c r="O846" s="677"/>
      <c r="P846" s="677"/>
      <c r="Q846" s="677"/>
      <c r="R846" s="677"/>
      <c r="S846" s="380"/>
      <c r="T846" s="677"/>
      <c r="U846" s="380"/>
      <c r="V846" s="770"/>
      <c r="W846" s="770"/>
      <c r="X846" s="770"/>
      <c r="Y846" s="770"/>
      <c r="Z846" s="770"/>
      <c r="AA846" s="380"/>
      <c r="AB846" s="770"/>
      <c r="AC846" s="677"/>
      <c r="AD846" s="677"/>
      <c r="AE846" s="677"/>
    </row>
    <row r="847" spans="1:31">
      <c r="A847" s="677"/>
      <c r="B847" s="677"/>
      <c r="C847" s="677"/>
      <c r="D847" s="677"/>
      <c r="E847" s="677"/>
      <c r="F847" s="677"/>
      <c r="G847" s="677"/>
      <c r="H847" s="677"/>
      <c r="I847" s="677"/>
      <c r="J847" s="677"/>
      <c r="K847" s="677"/>
      <c r="L847" s="677"/>
      <c r="M847" s="677"/>
      <c r="N847" s="677"/>
      <c r="O847" s="677"/>
      <c r="P847" s="677"/>
      <c r="Q847" s="677"/>
      <c r="R847" s="677"/>
      <c r="S847" s="380"/>
      <c r="T847" s="677"/>
      <c r="U847" s="380"/>
      <c r="V847" s="770"/>
      <c r="W847" s="770"/>
      <c r="X847" s="770"/>
      <c r="Y847" s="770"/>
      <c r="Z847" s="770"/>
      <c r="AA847" s="380"/>
      <c r="AB847" s="770"/>
      <c r="AC847" s="677"/>
      <c r="AD847" s="677"/>
      <c r="AE847" s="677"/>
    </row>
    <row r="848" spans="1:31">
      <c r="A848" s="677"/>
      <c r="B848" s="677"/>
      <c r="C848" s="677"/>
      <c r="D848" s="677"/>
      <c r="E848" s="677"/>
      <c r="F848" s="677"/>
      <c r="G848" s="677"/>
      <c r="H848" s="677"/>
      <c r="I848" s="677"/>
      <c r="J848" s="677"/>
      <c r="K848" s="677"/>
      <c r="L848" s="677"/>
      <c r="M848" s="677"/>
      <c r="N848" s="677"/>
      <c r="O848" s="677"/>
      <c r="P848" s="677"/>
      <c r="Q848" s="677"/>
      <c r="R848" s="677"/>
      <c r="S848" s="380"/>
      <c r="T848" s="677"/>
      <c r="U848" s="380"/>
      <c r="V848" s="770"/>
      <c r="W848" s="770"/>
      <c r="X848" s="770"/>
      <c r="Y848" s="770"/>
      <c r="Z848" s="770"/>
      <c r="AA848" s="380"/>
      <c r="AB848" s="770"/>
      <c r="AC848" s="677"/>
      <c r="AD848" s="677"/>
      <c r="AE848" s="677"/>
    </row>
    <row r="849" spans="1:31">
      <c r="A849" s="677"/>
      <c r="B849" s="677"/>
      <c r="C849" s="677"/>
      <c r="D849" s="677"/>
      <c r="E849" s="677"/>
      <c r="F849" s="677"/>
      <c r="G849" s="677"/>
      <c r="H849" s="677"/>
      <c r="I849" s="677"/>
      <c r="J849" s="677"/>
      <c r="K849" s="677"/>
      <c r="L849" s="677"/>
      <c r="M849" s="677"/>
      <c r="N849" s="677"/>
      <c r="O849" s="677"/>
      <c r="P849" s="677"/>
      <c r="Q849" s="677"/>
      <c r="R849" s="677"/>
      <c r="S849" s="380"/>
      <c r="T849" s="677"/>
      <c r="U849" s="380"/>
      <c r="V849" s="770"/>
      <c r="W849" s="770"/>
      <c r="X849" s="770"/>
      <c r="Y849" s="770"/>
      <c r="Z849" s="770"/>
      <c r="AA849" s="380"/>
      <c r="AB849" s="770"/>
      <c r="AC849" s="677"/>
      <c r="AD849" s="677"/>
      <c r="AE849" s="677"/>
    </row>
    <row r="850" spans="1:31">
      <c r="A850" s="677"/>
      <c r="B850" s="677"/>
      <c r="C850" s="677"/>
      <c r="D850" s="677"/>
      <c r="E850" s="677"/>
      <c r="F850" s="677"/>
      <c r="G850" s="677"/>
      <c r="H850" s="677"/>
      <c r="I850" s="677"/>
      <c r="J850" s="677"/>
      <c r="K850" s="677"/>
      <c r="L850" s="677"/>
      <c r="M850" s="677"/>
      <c r="N850" s="677"/>
      <c r="O850" s="677"/>
      <c r="P850" s="677"/>
      <c r="Q850" s="677"/>
      <c r="R850" s="677"/>
      <c r="S850" s="380"/>
      <c r="T850" s="677"/>
      <c r="U850" s="380"/>
      <c r="V850" s="770"/>
      <c r="W850" s="770"/>
      <c r="X850" s="770"/>
      <c r="Y850" s="770"/>
      <c r="Z850" s="770"/>
      <c r="AA850" s="380"/>
      <c r="AB850" s="770"/>
      <c r="AC850" s="677"/>
      <c r="AD850" s="677"/>
      <c r="AE850" s="677"/>
    </row>
    <row r="851" spans="1:31">
      <c r="A851" s="677"/>
      <c r="B851" s="677"/>
      <c r="C851" s="677"/>
      <c r="D851" s="677"/>
      <c r="E851" s="677"/>
      <c r="F851" s="677"/>
      <c r="G851" s="677"/>
      <c r="H851" s="677"/>
      <c r="I851" s="677"/>
      <c r="J851" s="677"/>
      <c r="K851" s="677"/>
      <c r="L851" s="677"/>
      <c r="M851" s="677"/>
      <c r="N851" s="677"/>
      <c r="O851" s="677"/>
      <c r="P851" s="677"/>
      <c r="Q851" s="677"/>
      <c r="R851" s="677"/>
      <c r="S851" s="380"/>
      <c r="T851" s="677"/>
      <c r="U851" s="380"/>
      <c r="V851" s="770"/>
      <c r="W851" s="770"/>
      <c r="X851" s="770"/>
      <c r="Y851" s="770"/>
      <c r="Z851" s="770"/>
      <c r="AA851" s="380"/>
      <c r="AB851" s="770"/>
      <c r="AC851" s="677"/>
      <c r="AD851" s="677"/>
      <c r="AE851" s="677"/>
    </row>
    <row r="852" spans="1:31">
      <c r="A852" s="677"/>
      <c r="B852" s="677"/>
      <c r="C852" s="677"/>
      <c r="D852" s="677"/>
      <c r="E852" s="677"/>
      <c r="F852" s="677"/>
      <c r="G852" s="677"/>
      <c r="H852" s="677"/>
      <c r="I852" s="677"/>
      <c r="J852" s="677"/>
      <c r="K852" s="677"/>
      <c r="L852" s="677"/>
      <c r="M852" s="677"/>
      <c r="N852" s="677"/>
      <c r="O852" s="677"/>
      <c r="P852" s="677"/>
      <c r="Q852" s="677"/>
      <c r="R852" s="677"/>
      <c r="S852" s="380"/>
      <c r="T852" s="677"/>
      <c r="U852" s="380"/>
      <c r="V852" s="770"/>
      <c r="W852" s="770"/>
      <c r="X852" s="770"/>
      <c r="Y852" s="770"/>
      <c r="Z852" s="770"/>
      <c r="AA852" s="380"/>
      <c r="AB852" s="770"/>
      <c r="AC852" s="677"/>
      <c r="AD852" s="677"/>
      <c r="AE852" s="677"/>
    </row>
    <row r="853" spans="1:31">
      <c r="A853" s="677"/>
      <c r="B853" s="677"/>
      <c r="C853" s="677"/>
      <c r="D853" s="677"/>
      <c r="E853" s="677"/>
      <c r="F853" s="677"/>
      <c r="G853" s="677"/>
      <c r="H853" s="677"/>
      <c r="I853" s="677"/>
      <c r="J853" s="677"/>
      <c r="K853" s="677"/>
      <c r="L853" s="677"/>
      <c r="M853" s="677"/>
      <c r="N853" s="677"/>
      <c r="O853" s="677"/>
      <c r="P853" s="677"/>
      <c r="Q853" s="677"/>
      <c r="R853" s="677"/>
      <c r="S853" s="380"/>
      <c r="T853" s="677"/>
      <c r="U853" s="380"/>
      <c r="V853" s="770"/>
      <c r="W853" s="770"/>
      <c r="X853" s="770"/>
      <c r="Y853" s="770"/>
      <c r="Z853" s="770"/>
      <c r="AA853" s="380"/>
      <c r="AB853" s="770"/>
      <c r="AC853" s="677"/>
      <c r="AD853" s="677"/>
      <c r="AE853" s="677"/>
    </row>
    <row r="854" spans="1:31">
      <c r="A854" s="677"/>
      <c r="B854" s="677"/>
      <c r="C854" s="677"/>
      <c r="D854" s="677"/>
      <c r="E854" s="677"/>
      <c r="F854" s="677"/>
      <c r="G854" s="677"/>
      <c r="H854" s="677"/>
      <c r="I854" s="677"/>
      <c r="J854" s="677"/>
      <c r="K854" s="677"/>
      <c r="L854" s="677"/>
      <c r="M854" s="677"/>
      <c r="N854" s="677"/>
      <c r="O854" s="677"/>
      <c r="P854" s="677"/>
      <c r="Q854" s="677"/>
      <c r="R854" s="677"/>
      <c r="S854" s="380"/>
      <c r="T854" s="677"/>
      <c r="U854" s="380"/>
      <c r="V854" s="770"/>
      <c r="W854" s="770"/>
      <c r="X854" s="770"/>
      <c r="Y854" s="770"/>
      <c r="Z854" s="770"/>
      <c r="AA854" s="380"/>
      <c r="AB854" s="770"/>
      <c r="AC854" s="677"/>
      <c r="AD854" s="677"/>
      <c r="AE854" s="677"/>
    </row>
    <row r="855" spans="1:31">
      <c r="A855" s="677"/>
      <c r="B855" s="677"/>
      <c r="C855" s="677"/>
      <c r="D855" s="677"/>
      <c r="E855" s="677"/>
      <c r="F855" s="677"/>
      <c r="G855" s="677"/>
      <c r="H855" s="677"/>
      <c r="I855" s="677"/>
      <c r="J855" s="677"/>
      <c r="K855" s="677"/>
      <c r="L855" s="677"/>
      <c r="M855" s="677"/>
      <c r="N855" s="677"/>
      <c r="O855" s="677"/>
      <c r="P855" s="677"/>
      <c r="Q855" s="677"/>
      <c r="R855" s="677"/>
      <c r="S855" s="380"/>
      <c r="T855" s="677"/>
      <c r="U855" s="380"/>
      <c r="V855" s="770"/>
      <c r="W855" s="770"/>
      <c r="X855" s="770"/>
      <c r="Y855" s="770"/>
      <c r="Z855" s="770"/>
      <c r="AA855" s="380"/>
      <c r="AB855" s="770"/>
      <c r="AC855" s="677"/>
      <c r="AD855" s="677"/>
      <c r="AE855" s="677"/>
    </row>
    <row r="856" spans="1:31">
      <c r="A856" s="677"/>
      <c r="B856" s="677"/>
      <c r="C856" s="677"/>
      <c r="D856" s="677"/>
      <c r="E856" s="677"/>
      <c r="F856" s="677"/>
      <c r="G856" s="677"/>
      <c r="H856" s="677"/>
      <c r="I856" s="677"/>
      <c r="J856" s="677"/>
      <c r="K856" s="677"/>
      <c r="L856" s="677"/>
      <c r="M856" s="677"/>
      <c r="N856" s="677"/>
      <c r="O856" s="677"/>
      <c r="P856" s="677"/>
      <c r="Q856" s="677"/>
      <c r="R856" s="677"/>
      <c r="S856" s="380"/>
      <c r="T856" s="677"/>
      <c r="U856" s="380"/>
      <c r="V856" s="770"/>
      <c r="W856" s="770"/>
      <c r="X856" s="770"/>
      <c r="Y856" s="770"/>
      <c r="Z856" s="770"/>
      <c r="AA856" s="380"/>
      <c r="AB856" s="770"/>
      <c r="AC856" s="677"/>
      <c r="AD856" s="677"/>
      <c r="AE856" s="677"/>
    </row>
    <row r="857" spans="1:31">
      <c r="A857" s="677"/>
      <c r="B857" s="677"/>
      <c r="C857" s="677"/>
      <c r="D857" s="677"/>
      <c r="E857" s="677"/>
      <c r="F857" s="677"/>
      <c r="G857" s="677"/>
      <c r="H857" s="677"/>
      <c r="I857" s="677"/>
      <c r="J857" s="677"/>
      <c r="K857" s="677"/>
      <c r="L857" s="677"/>
      <c r="M857" s="677"/>
      <c r="N857" s="677"/>
      <c r="O857" s="677"/>
      <c r="P857" s="677"/>
      <c r="Q857" s="677"/>
      <c r="R857" s="677"/>
      <c r="S857" s="380"/>
      <c r="T857" s="677"/>
      <c r="U857" s="380"/>
      <c r="V857" s="770"/>
      <c r="W857" s="770"/>
      <c r="X857" s="770"/>
      <c r="Y857" s="770"/>
      <c r="Z857" s="770"/>
      <c r="AA857" s="380"/>
      <c r="AB857" s="770"/>
      <c r="AC857" s="677"/>
      <c r="AD857" s="677"/>
      <c r="AE857" s="677"/>
    </row>
    <row r="858" spans="1:31">
      <c r="A858" s="677"/>
      <c r="B858" s="677"/>
      <c r="C858" s="677"/>
      <c r="D858" s="677"/>
      <c r="E858" s="677"/>
      <c r="F858" s="677"/>
      <c r="G858" s="677"/>
      <c r="H858" s="677"/>
      <c r="I858" s="677"/>
      <c r="J858" s="677"/>
      <c r="K858" s="677"/>
      <c r="L858" s="677"/>
      <c r="M858" s="677"/>
      <c r="N858" s="677"/>
      <c r="O858" s="677"/>
      <c r="P858" s="677"/>
      <c r="Q858" s="677"/>
      <c r="R858" s="677"/>
      <c r="S858" s="380"/>
      <c r="T858" s="677"/>
      <c r="U858" s="380"/>
      <c r="V858" s="770"/>
      <c r="W858" s="770"/>
      <c r="X858" s="770"/>
      <c r="Y858" s="770"/>
      <c r="Z858" s="770"/>
      <c r="AA858" s="380"/>
      <c r="AB858" s="770"/>
      <c r="AC858" s="677"/>
      <c r="AD858" s="677"/>
      <c r="AE858" s="677"/>
    </row>
    <row r="859" spans="1:31">
      <c r="A859" s="677"/>
      <c r="B859" s="677"/>
      <c r="C859" s="677"/>
      <c r="D859" s="677"/>
      <c r="E859" s="677"/>
      <c r="F859" s="677"/>
      <c r="G859" s="677"/>
      <c r="H859" s="677"/>
      <c r="I859" s="677"/>
      <c r="J859" s="677"/>
      <c r="K859" s="677"/>
      <c r="L859" s="677"/>
      <c r="M859" s="677"/>
      <c r="N859" s="677"/>
      <c r="O859" s="677"/>
      <c r="P859" s="677"/>
      <c r="Q859" s="677"/>
      <c r="R859" s="677"/>
      <c r="S859" s="380"/>
      <c r="T859" s="677"/>
      <c r="U859" s="380"/>
      <c r="V859" s="770"/>
      <c r="W859" s="770"/>
      <c r="X859" s="770"/>
      <c r="Y859" s="770"/>
      <c r="Z859" s="770"/>
      <c r="AA859" s="380"/>
      <c r="AB859" s="770"/>
      <c r="AC859" s="677"/>
      <c r="AD859" s="677"/>
      <c r="AE859" s="677"/>
    </row>
    <row r="860" spans="1:31">
      <c r="A860" s="677"/>
      <c r="B860" s="677"/>
      <c r="C860" s="677"/>
      <c r="D860" s="677"/>
      <c r="E860" s="677"/>
      <c r="F860" s="677"/>
      <c r="G860" s="677"/>
      <c r="H860" s="677"/>
      <c r="I860" s="677"/>
      <c r="J860" s="677"/>
      <c r="K860" s="677"/>
      <c r="L860" s="677"/>
      <c r="M860" s="677"/>
      <c r="N860" s="677"/>
      <c r="O860" s="677"/>
      <c r="P860" s="677"/>
      <c r="Q860" s="677"/>
      <c r="R860" s="677"/>
      <c r="S860" s="380"/>
      <c r="T860" s="677"/>
      <c r="U860" s="380"/>
      <c r="V860" s="770"/>
      <c r="W860" s="770"/>
      <c r="X860" s="770"/>
      <c r="Y860" s="770"/>
      <c r="Z860" s="770"/>
      <c r="AA860" s="380"/>
      <c r="AB860" s="770"/>
      <c r="AC860" s="677"/>
      <c r="AD860" s="677"/>
      <c r="AE860" s="677"/>
    </row>
    <row r="861" spans="1:31">
      <c r="A861" s="677"/>
      <c r="B861" s="677"/>
      <c r="C861" s="677"/>
      <c r="D861" s="677"/>
      <c r="E861" s="677"/>
      <c r="F861" s="677"/>
      <c r="G861" s="677"/>
      <c r="H861" s="677"/>
      <c r="I861" s="677"/>
      <c r="J861" s="677"/>
      <c r="K861" s="677"/>
      <c r="L861" s="677"/>
      <c r="M861" s="677"/>
      <c r="N861" s="677"/>
      <c r="O861" s="677"/>
      <c r="P861" s="677"/>
      <c r="Q861" s="677"/>
      <c r="R861" s="677"/>
      <c r="S861" s="380"/>
      <c r="T861" s="677"/>
      <c r="U861" s="380"/>
      <c r="V861" s="770"/>
      <c r="W861" s="770"/>
      <c r="X861" s="770"/>
      <c r="Y861" s="770"/>
      <c r="Z861" s="770"/>
      <c r="AA861" s="380"/>
      <c r="AB861" s="770"/>
      <c r="AC861" s="677"/>
      <c r="AD861" s="677"/>
      <c r="AE861" s="677"/>
    </row>
    <row r="862" spans="1:31">
      <c r="A862" s="677"/>
      <c r="B862" s="677"/>
      <c r="C862" s="677"/>
      <c r="D862" s="677"/>
      <c r="E862" s="677"/>
      <c r="F862" s="677"/>
      <c r="G862" s="677"/>
      <c r="H862" s="677"/>
      <c r="I862" s="677"/>
      <c r="J862" s="677"/>
      <c r="K862" s="677"/>
      <c r="L862" s="677"/>
      <c r="M862" s="677"/>
      <c r="N862" s="677"/>
      <c r="O862" s="677"/>
      <c r="P862" s="677"/>
      <c r="Q862" s="677"/>
      <c r="R862" s="677"/>
      <c r="S862" s="380"/>
      <c r="T862" s="677"/>
      <c r="U862" s="380"/>
      <c r="V862" s="770"/>
      <c r="W862" s="770"/>
      <c r="X862" s="770"/>
      <c r="Y862" s="770"/>
      <c r="Z862" s="770"/>
      <c r="AA862" s="380"/>
      <c r="AB862" s="770"/>
      <c r="AC862" s="677"/>
      <c r="AD862" s="677"/>
      <c r="AE862" s="677"/>
    </row>
    <row r="863" spans="1:31">
      <c r="A863" s="677"/>
      <c r="B863" s="677"/>
      <c r="C863" s="677"/>
      <c r="D863" s="677"/>
      <c r="E863" s="677"/>
      <c r="F863" s="677"/>
      <c r="G863" s="677"/>
      <c r="H863" s="677"/>
      <c r="I863" s="677"/>
      <c r="J863" s="677"/>
      <c r="K863" s="677"/>
      <c r="L863" s="677"/>
      <c r="M863" s="677"/>
      <c r="N863" s="677"/>
      <c r="O863" s="677"/>
      <c r="P863" s="677"/>
      <c r="Q863" s="677"/>
      <c r="R863" s="677"/>
      <c r="S863" s="380"/>
      <c r="T863" s="677"/>
      <c r="U863" s="380"/>
      <c r="V863" s="770"/>
      <c r="W863" s="770"/>
      <c r="X863" s="770"/>
      <c r="Y863" s="770"/>
      <c r="Z863" s="770"/>
      <c r="AA863" s="380"/>
      <c r="AB863" s="770"/>
      <c r="AC863" s="677"/>
      <c r="AD863" s="677"/>
      <c r="AE863" s="677"/>
    </row>
    <row r="864" spans="1:31">
      <c r="A864" s="677"/>
      <c r="B864" s="677"/>
      <c r="C864" s="677"/>
      <c r="D864" s="677"/>
      <c r="E864" s="677"/>
      <c r="F864" s="677"/>
      <c r="G864" s="677"/>
      <c r="H864" s="677"/>
      <c r="I864" s="677"/>
      <c r="J864" s="677"/>
      <c r="K864" s="677"/>
      <c r="L864" s="677"/>
      <c r="M864" s="677"/>
      <c r="N864" s="677"/>
      <c r="O864" s="677"/>
      <c r="P864" s="677"/>
      <c r="Q864" s="677"/>
      <c r="R864" s="677"/>
      <c r="S864" s="380"/>
      <c r="T864" s="677"/>
      <c r="U864" s="380"/>
      <c r="V864" s="770"/>
      <c r="W864" s="770"/>
      <c r="X864" s="770"/>
      <c r="Y864" s="770"/>
      <c r="Z864" s="770"/>
      <c r="AA864" s="380"/>
      <c r="AB864" s="770"/>
      <c r="AC864" s="677"/>
      <c r="AD864" s="677"/>
      <c r="AE864" s="677"/>
    </row>
    <row r="865" spans="1:31">
      <c r="A865" s="677"/>
      <c r="B865" s="677"/>
      <c r="C865" s="677"/>
      <c r="D865" s="677"/>
      <c r="E865" s="677"/>
      <c r="F865" s="677"/>
      <c r="G865" s="677"/>
      <c r="H865" s="677"/>
      <c r="I865" s="677"/>
      <c r="J865" s="677"/>
      <c r="K865" s="677"/>
      <c r="L865" s="677"/>
      <c r="M865" s="677"/>
      <c r="N865" s="677"/>
      <c r="O865" s="677"/>
      <c r="P865" s="677"/>
      <c r="Q865" s="677"/>
      <c r="R865" s="677"/>
      <c r="S865" s="380"/>
      <c r="T865" s="677"/>
      <c r="U865" s="380"/>
      <c r="V865" s="770"/>
      <c r="W865" s="770"/>
      <c r="X865" s="770"/>
      <c r="Y865" s="770"/>
      <c r="Z865" s="770"/>
      <c r="AA865" s="380"/>
      <c r="AB865" s="770"/>
      <c r="AC865" s="677"/>
      <c r="AD865" s="677"/>
      <c r="AE865" s="677"/>
    </row>
    <row r="866" spans="1:31">
      <c r="A866" s="677"/>
      <c r="B866" s="677"/>
      <c r="C866" s="677"/>
      <c r="D866" s="677"/>
      <c r="E866" s="677"/>
      <c r="F866" s="677"/>
      <c r="G866" s="677"/>
      <c r="H866" s="677"/>
      <c r="I866" s="677"/>
      <c r="J866" s="677"/>
      <c r="K866" s="677"/>
      <c r="L866" s="677"/>
      <c r="M866" s="677"/>
      <c r="N866" s="677"/>
      <c r="O866" s="677"/>
      <c r="P866" s="677"/>
      <c r="Q866" s="677"/>
      <c r="R866" s="677"/>
      <c r="S866" s="380"/>
      <c r="T866" s="677"/>
      <c r="U866" s="380"/>
      <c r="V866" s="770"/>
      <c r="W866" s="770"/>
      <c r="X866" s="770"/>
      <c r="Y866" s="770"/>
      <c r="Z866" s="770"/>
      <c r="AA866" s="380"/>
      <c r="AB866" s="770"/>
      <c r="AC866" s="677"/>
      <c r="AD866" s="677"/>
      <c r="AE866" s="677"/>
    </row>
    <row r="867" spans="1:31">
      <c r="A867" s="677"/>
      <c r="B867" s="677"/>
      <c r="C867" s="677"/>
      <c r="D867" s="677"/>
      <c r="E867" s="677"/>
      <c r="F867" s="677"/>
      <c r="G867" s="677"/>
      <c r="H867" s="677"/>
      <c r="I867" s="677"/>
      <c r="J867" s="677"/>
      <c r="K867" s="677"/>
      <c r="L867" s="677"/>
      <c r="M867" s="677"/>
      <c r="N867" s="677"/>
      <c r="O867" s="677"/>
      <c r="P867" s="677"/>
      <c r="Q867" s="677"/>
      <c r="R867" s="677"/>
      <c r="S867" s="380"/>
      <c r="T867" s="677"/>
      <c r="U867" s="380"/>
      <c r="V867" s="770"/>
      <c r="W867" s="770"/>
      <c r="X867" s="770"/>
      <c r="Y867" s="770"/>
      <c r="Z867" s="770"/>
      <c r="AA867" s="380"/>
      <c r="AB867" s="770"/>
      <c r="AC867" s="677"/>
      <c r="AD867" s="677"/>
      <c r="AE867" s="677"/>
    </row>
    <row r="868" spans="1:31">
      <c r="A868" s="677"/>
      <c r="B868" s="677"/>
      <c r="C868" s="677"/>
      <c r="D868" s="677"/>
      <c r="E868" s="677"/>
      <c r="F868" s="677"/>
      <c r="G868" s="677"/>
      <c r="H868" s="677"/>
      <c r="I868" s="677"/>
      <c r="J868" s="677"/>
      <c r="K868" s="677"/>
      <c r="L868" s="677"/>
      <c r="M868" s="677"/>
      <c r="N868" s="677"/>
      <c r="O868" s="677"/>
      <c r="P868" s="677"/>
      <c r="Q868" s="677"/>
      <c r="R868" s="677"/>
      <c r="S868" s="380"/>
      <c r="T868" s="677"/>
      <c r="U868" s="380"/>
      <c r="V868" s="770"/>
      <c r="W868" s="770"/>
      <c r="X868" s="770"/>
      <c r="Y868" s="770"/>
      <c r="Z868" s="770"/>
      <c r="AA868" s="380"/>
      <c r="AB868" s="770"/>
      <c r="AC868" s="677"/>
      <c r="AD868" s="677"/>
      <c r="AE868" s="677"/>
    </row>
    <row r="869" spans="1:31">
      <c r="A869" s="677"/>
      <c r="B869" s="677"/>
      <c r="C869" s="677"/>
      <c r="D869" s="677"/>
      <c r="E869" s="677"/>
      <c r="F869" s="677"/>
      <c r="G869" s="677"/>
      <c r="H869" s="677"/>
      <c r="I869" s="677"/>
      <c r="J869" s="677"/>
      <c r="K869" s="677"/>
      <c r="L869" s="677"/>
      <c r="M869" s="677"/>
      <c r="N869" s="677"/>
      <c r="O869" s="677"/>
      <c r="P869" s="677"/>
      <c r="Q869" s="677"/>
      <c r="R869" s="677"/>
      <c r="S869" s="380"/>
      <c r="T869" s="677"/>
      <c r="U869" s="380"/>
      <c r="V869" s="770"/>
      <c r="W869" s="770"/>
      <c r="X869" s="770"/>
      <c r="Y869" s="770"/>
      <c r="Z869" s="770"/>
      <c r="AA869" s="380"/>
      <c r="AB869" s="770"/>
      <c r="AC869" s="677"/>
      <c r="AD869" s="677"/>
      <c r="AE869" s="677"/>
    </row>
    <row r="870" spans="1:31">
      <c r="A870" s="677"/>
      <c r="B870" s="677"/>
      <c r="C870" s="677"/>
      <c r="D870" s="677"/>
      <c r="E870" s="677"/>
      <c r="F870" s="677"/>
      <c r="G870" s="677"/>
      <c r="H870" s="677"/>
      <c r="I870" s="677"/>
      <c r="J870" s="677"/>
      <c r="K870" s="677"/>
      <c r="L870" s="677"/>
      <c r="M870" s="677"/>
      <c r="N870" s="677"/>
      <c r="O870" s="677"/>
      <c r="P870" s="677"/>
      <c r="Q870" s="677"/>
      <c r="R870" s="677"/>
      <c r="S870" s="380"/>
      <c r="T870" s="677"/>
      <c r="U870" s="380"/>
      <c r="V870" s="770"/>
      <c r="W870" s="770"/>
      <c r="X870" s="770"/>
      <c r="Y870" s="770"/>
      <c r="Z870" s="770"/>
      <c r="AA870" s="380"/>
      <c r="AB870" s="770"/>
      <c r="AC870" s="677"/>
      <c r="AD870" s="677"/>
      <c r="AE870" s="677"/>
    </row>
    <row r="871" spans="1:31">
      <c r="A871" s="677"/>
      <c r="B871" s="677"/>
      <c r="C871" s="677"/>
      <c r="D871" s="677"/>
      <c r="E871" s="677"/>
      <c r="F871" s="677"/>
      <c r="G871" s="677"/>
      <c r="H871" s="677"/>
      <c r="I871" s="677"/>
      <c r="J871" s="677"/>
      <c r="K871" s="677"/>
      <c r="L871" s="677"/>
      <c r="M871" s="677"/>
      <c r="N871" s="677"/>
      <c r="O871" s="677"/>
      <c r="P871" s="677"/>
      <c r="Q871" s="677"/>
      <c r="R871" s="677"/>
      <c r="S871" s="380"/>
      <c r="T871" s="677"/>
      <c r="U871" s="380"/>
      <c r="V871" s="770"/>
      <c r="W871" s="770"/>
      <c r="X871" s="770"/>
      <c r="Y871" s="770"/>
      <c r="Z871" s="770"/>
      <c r="AA871" s="380"/>
      <c r="AB871" s="770"/>
      <c r="AC871" s="677"/>
      <c r="AD871" s="677"/>
      <c r="AE871" s="677"/>
    </row>
    <row r="872" spans="1:31">
      <c r="A872" s="677"/>
      <c r="B872" s="677"/>
      <c r="C872" s="677"/>
      <c r="D872" s="677"/>
      <c r="E872" s="677"/>
      <c r="F872" s="677"/>
      <c r="G872" s="677"/>
      <c r="H872" s="677"/>
      <c r="I872" s="677"/>
      <c r="J872" s="677"/>
      <c r="K872" s="677"/>
      <c r="L872" s="677"/>
      <c r="M872" s="677"/>
      <c r="N872" s="677"/>
      <c r="O872" s="677"/>
      <c r="P872" s="677"/>
      <c r="Q872" s="677"/>
      <c r="R872" s="677"/>
      <c r="S872" s="380"/>
      <c r="T872" s="677"/>
      <c r="U872" s="380"/>
      <c r="V872" s="770"/>
      <c r="W872" s="770"/>
      <c r="X872" s="770"/>
      <c r="Y872" s="770"/>
      <c r="Z872" s="770"/>
      <c r="AA872" s="380"/>
      <c r="AB872" s="770"/>
      <c r="AC872" s="677"/>
      <c r="AD872" s="677"/>
      <c r="AE872" s="677"/>
    </row>
    <row r="873" spans="1:31">
      <c r="A873" s="677"/>
      <c r="B873" s="677"/>
      <c r="C873" s="677"/>
      <c r="D873" s="677"/>
      <c r="E873" s="677"/>
      <c r="F873" s="677"/>
      <c r="G873" s="677"/>
      <c r="H873" s="677"/>
      <c r="I873" s="677"/>
      <c r="J873" s="677"/>
      <c r="K873" s="677"/>
      <c r="L873" s="677"/>
      <c r="M873" s="677"/>
      <c r="N873" s="677"/>
      <c r="O873" s="677"/>
      <c r="P873" s="677"/>
      <c r="Q873" s="677"/>
      <c r="R873" s="677"/>
      <c r="S873" s="380"/>
      <c r="T873" s="677"/>
      <c r="U873" s="380"/>
      <c r="V873" s="770"/>
      <c r="W873" s="770"/>
      <c r="X873" s="770"/>
      <c r="Y873" s="770"/>
      <c r="Z873" s="770"/>
      <c r="AA873" s="380"/>
      <c r="AB873" s="770"/>
      <c r="AC873" s="677"/>
      <c r="AD873" s="677"/>
      <c r="AE873" s="677"/>
    </row>
    <row r="874" spans="1:31">
      <c r="A874" s="677"/>
      <c r="B874" s="677"/>
      <c r="C874" s="677"/>
      <c r="D874" s="677"/>
      <c r="E874" s="677"/>
      <c r="F874" s="677"/>
      <c r="G874" s="677"/>
      <c r="H874" s="677"/>
      <c r="I874" s="677"/>
      <c r="J874" s="677"/>
      <c r="K874" s="677"/>
      <c r="L874" s="677"/>
      <c r="M874" s="677"/>
      <c r="N874" s="677"/>
      <c r="O874" s="677"/>
      <c r="P874" s="677"/>
      <c r="Q874" s="677"/>
      <c r="R874" s="677"/>
      <c r="S874" s="380"/>
      <c r="T874" s="677"/>
      <c r="U874" s="380"/>
      <c r="V874" s="770"/>
      <c r="W874" s="770"/>
      <c r="X874" s="770"/>
      <c r="Y874" s="770"/>
      <c r="Z874" s="770"/>
      <c r="AA874" s="380"/>
      <c r="AB874" s="770"/>
      <c r="AC874" s="677"/>
      <c r="AD874" s="677"/>
      <c r="AE874" s="677"/>
    </row>
    <row r="875" spans="1:31">
      <c r="A875" s="677"/>
      <c r="B875" s="677"/>
      <c r="C875" s="677"/>
      <c r="D875" s="677"/>
      <c r="E875" s="677"/>
      <c r="F875" s="677"/>
      <c r="G875" s="677"/>
      <c r="H875" s="677"/>
      <c r="I875" s="677"/>
      <c r="J875" s="677"/>
      <c r="K875" s="677"/>
      <c r="L875" s="677"/>
      <c r="M875" s="677"/>
      <c r="N875" s="677"/>
      <c r="O875" s="677"/>
      <c r="P875" s="677"/>
      <c r="Q875" s="677"/>
      <c r="R875" s="677"/>
      <c r="S875" s="380"/>
      <c r="T875" s="677"/>
      <c r="U875" s="380"/>
      <c r="V875" s="770"/>
      <c r="W875" s="770"/>
      <c r="X875" s="770"/>
      <c r="Y875" s="770"/>
      <c r="Z875" s="770"/>
      <c r="AA875" s="380"/>
      <c r="AB875" s="770"/>
      <c r="AC875" s="677"/>
      <c r="AD875" s="677"/>
      <c r="AE875" s="677"/>
    </row>
    <row r="876" spans="1:31">
      <c r="A876" s="677"/>
      <c r="B876" s="677"/>
      <c r="C876" s="677"/>
      <c r="D876" s="677"/>
      <c r="E876" s="677"/>
      <c r="F876" s="677"/>
      <c r="G876" s="677"/>
      <c r="H876" s="677"/>
      <c r="I876" s="677"/>
      <c r="J876" s="677"/>
      <c r="K876" s="677"/>
      <c r="L876" s="677"/>
      <c r="M876" s="677"/>
      <c r="N876" s="677"/>
      <c r="O876" s="677"/>
      <c r="P876" s="677"/>
      <c r="Q876" s="677"/>
      <c r="R876" s="677"/>
      <c r="S876" s="380"/>
      <c r="T876" s="677"/>
      <c r="U876" s="380"/>
      <c r="V876" s="770"/>
      <c r="W876" s="770"/>
      <c r="X876" s="770"/>
      <c r="Y876" s="770"/>
      <c r="Z876" s="770"/>
      <c r="AA876" s="380"/>
      <c r="AB876" s="770"/>
      <c r="AC876" s="677"/>
      <c r="AD876" s="677"/>
      <c r="AE876" s="677"/>
    </row>
    <row r="877" spans="1:31">
      <c r="A877" s="677"/>
      <c r="B877" s="677"/>
      <c r="C877" s="677"/>
      <c r="D877" s="677"/>
      <c r="E877" s="677"/>
      <c r="F877" s="677"/>
      <c r="G877" s="677"/>
      <c r="H877" s="677"/>
      <c r="I877" s="677"/>
      <c r="J877" s="677"/>
      <c r="K877" s="677"/>
      <c r="L877" s="677"/>
      <c r="M877" s="677"/>
      <c r="N877" s="677"/>
      <c r="O877" s="677"/>
      <c r="P877" s="677"/>
      <c r="Q877" s="677"/>
      <c r="R877" s="677"/>
      <c r="S877" s="380"/>
      <c r="T877" s="677"/>
      <c r="U877" s="380"/>
      <c r="V877" s="770"/>
      <c r="W877" s="770"/>
      <c r="X877" s="770"/>
      <c r="Y877" s="770"/>
      <c r="Z877" s="770"/>
      <c r="AA877" s="380"/>
      <c r="AB877" s="770"/>
      <c r="AC877" s="677"/>
      <c r="AD877" s="677"/>
      <c r="AE877" s="677"/>
    </row>
    <row r="878" spans="1:31">
      <c r="A878" s="677"/>
      <c r="B878" s="677"/>
      <c r="C878" s="677"/>
      <c r="D878" s="677"/>
      <c r="E878" s="677"/>
      <c r="F878" s="677"/>
      <c r="G878" s="677"/>
      <c r="H878" s="677"/>
      <c r="I878" s="677"/>
      <c r="J878" s="677"/>
      <c r="K878" s="677"/>
      <c r="L878" s="677"/>
      <c r="M878" s="677"/>
      <c r="N878" s="677"/>
      <c r="O878" s="677"/>
      <c r="P878" s="677"/>
      <c r="Q878" s="677"/>
      <c r="R878" s="677"/>
      <c r="S878" s="380"/>
      <c r="T878" s="677"/>
      <c r="U878" s="380"/>
      <c r="V878" s="770"/>
      <c r="W878" s="770"/>
      <c r="X878" s="770"/>
      <c r="Y878" s="770"/>
      <c r="Z878" s="770"/>
      <c r="AA878" s="380"/>
      <c r="AB878" s="770"/>
      <c r="AC878" s="677"/>
      <c r="AD878" s="677"/>
      <c r="AE878" s="677"/>
    </row>
    <row r="879" spans="1:31">
      <c r="A879" s="677"/>
      <c r="B879" s="677"/>
      <c r="C879" s="677"/>
      <c r="D879" s="677"/>
      <c r="E879" s="677"/>
      <c r="F879" s="677"/>
      <c r="G879" s="677"/>
      <c r="H879" s="677"/>
      <c r="I879" s="677"/>
      <c r="J879" s="677"/>
      <c r="K879" s="677"/>
      <c r="L879" s="677"/>
      <c r="M879" s="677"/>
      <c r="N879" s="677"/>
      <c r="O879" s="677"/>
      <c r="P879" s="677"/>
      <c r="Q879" s="677"/>
      <c r="R879" s="677"/>
      <c r="S879" s="380"/>
      <c r="T879" s="677"/>
      <c r="U879" s="380"/>
      <c r="V879" s="770"/>
      <c r="W879" s="770"/>
      <c r="X879" s="770"/>
      <c r="Y879" s="770"/>
      <c r="Z879" s="770"/>
      <c r="AA879" s="380"/>
      <c r="AB879" s="770"/>
      <c r="AC879" s="677"/>
      <c r="AD879" s="677"/>
      <c r="AE879" s="677"/>
    </row>
    <row r="880" spans="1:31">
      <c r="A880" s="677"/>
      <c r="B880" s="677"/>
      <c r="C880" s="677"/>
      <c r="D880" s="677"/>
      <c r="E880" s="677"/>
      <c r="F880" s="677"/>
      <c r="G880" s="677"/>
      <c r="H880" s="677"/>
      <c r="I880" s="677"/>
      <c r="J880" s="677"/>
      <c r="K880" s="677"/>
      <c r="L880" s="677"/>
      <c r="M880" s="677"/>
      <c r="N880" s="677"/>
      <c r="O880" s="677"/>
      <c r="P880" s="677"/>
      <c r="Q880" s="677"/>
      <c r="R880" s="677"/>
      <c r="S880" s="380"/>
      <c r="T880" s="677"/>
      <c r="U880" s="380"/>
      <c r="V880" s="770"/>
      <c r="W880" s="770"/>
      <c r="X880" s="770"/>
      <c r="Y880" s="770"/>
      <c r="Z880" s="770"/>
      <c r="AA880" s="380"/>
      <c r="AB880" s="770"/>
      <c r="AC880" s="677"/>
      <c r="AD880" s="677"/>
      <c r="AE880" s="677"/>
    </row>
    <row r="881" spans="1:31">
      <c r="A881" s="677"/>
      <c r="B881" s="677"/>
      <c r="C881" s="677"/>
      <c r="D881" s="677"/>
      <c r="E881" s="677"/>
      <c r="F881" s="677"/>
      <c r="G881" s="677"/>
      <c r="H881" s="677"/>
      <c r="I881" s="677"/>
      <c r="J881" s="677"/>
      <c r="K881" s="677"/>
      <c r="L881" s="677"/>
      <c r="M881" s="677"/>
      <c r="N881" s="677"/>
      <c r="O881" s="677"/>
      <c r="P881" s="677"/>
      <c r="Q881" s="677"/>
      <c r="R881" s="677"/>
      <c r="S881" s="380"/>
      <c r="T881" s="677"/>
      <c r="U881" s="380"/>
      <c r="V881" s="770"/>
      <c r="W881" s="770"/>
      <c r="X881" s="770"/>
      <c r="Y881" s="770"/>
      <c r="Z881" s="770"/>
      <c r="AA881" s="380"/>
      <c r="AB881" s="770"/>
      <c r="AC881" s="677"/>
      <c r="AD881" s="677"/>
      <c r="AE881" s="677"/>
    </row>
    <row r="882" spans="1:31">
      <c r="A882" s="677"/>
      <c r="B882" s="677"/>
      <c r="C882" s="677"/>
      <c r="D882" s="677"/>
      <c r="E882" s="677"/>
      <c r="F882" s="677"/>
      <c r="G882" s="677"/>
      <c r="H882" s="677"/>
      <c r="I882" s="677"/>
      <c r="J882" s="677"/>
      <c r="K882" s="677"/>
      <c r="L882" s="677"/>
      <c r="M882" s="677"/>
      <c r="N882" s="677"/>
      <c r="O882" s="677"/>
      <c r="P882" s="677"/>
      <c r="Q882" s="677"/>
      <c r="R882" s="677"/>
      <c r="S882" s="380"/>
      <c r="T882" s="677"/>
      <c r="U882" s="380"/>
      <c r="V882" s="770"/>
      <c r="W882" s="770"/>
      <c r="X882" s="770"/>
      <c r="Y882" s="770"/>
      <c r="Z882" s="770"/>
      <c r="AA882" s="380"/>
      <c r="AB882" s="770"/>
      <c r="AC882" s="677"/>
      <c r="AD882" s="677"/>
      <c r="AE882" s="677"/>
    </row>
    <row r="883" spans="1:31">
      <c r="A883" s="677"/>
      <c r="B883" s="677"/>
      <c r="C883" s="677"/>
      <c r="D883" s="677"/>
      <c r="E883" s="677"/>
      <c r="F883" s="677"/>
      <c r="G883" s="677"/>
      <c r="H883" s="677"/>
      <c r="I883" s="677"/>
      <c r="J883" s="677"/>
      <c r="K883" s="677"/>
      <c r="L883" s="677"/>
      <c r="M883" s="677"/>
      <c r="N883" s="677"/>
      <c r="O883" s="677"/>
      <c r="P883" s="677"/>
      <c r="Q883" s="677"/>
      <c r="R883" s="677"/>
      <c r="S883" s="380"/>
      <c r="T883" s="677"/>
      <c r="U883" s="380"/>
      <c r="V883" s="770"/>
      <c r="W883" s="770"/>
      <c r="X883" s="770"/>
      <c r="Y883" s="770"/>
      <c r="Z883" s="770"/>
      <c r="AA883" s="380"/>
      <c r="AB883" s="770"/>
      <c r="AC883" s="677"/>
      <c r="AD883" s="677"/>
      <c r="AE883" s="677"/>
    </row>
    <row r="884" spans="1:31">
      <c r="A884" s="677"/>
      <c r="B884" s="677"/>
      <c r="C884" s="677"/>
      <c r="D884" s="677"/>
      <c r="E884" s="677"/>
      <c r="F884" s="677"/>
      <c r="G884" s="677"/>
      <c r="H884" s="677"/>
      <c r="I884" s="677"/>
      <c r="J884" s="677"/>
      <c r="K884" s="677"/>
      <c r="L884" s="677"/>
      <c r="M884" s="677"/>
      <c r="N884" s="677"/>
      <c r="O884" s="677"/>
      <c r="P884" s="677"/>
      <c r="Q884" s="677"/>
      <c r="R884" s="677"/>
      <c r="S884" s="380"/>
      <c r="T884" s="677"/>
      <c r="U884" s="380"/>
      <c r="V884" s="770"/>
      <c r="W884" s="770"/>
      <c r="X884" s="770"/>
      <c r="Y884" s="770"/>
      <c r="Z884" s="770"/>
      <c r="AA884" s="380"/>
      <c r="AB884" s="770"/>
      <c r="AC884" s="677"/>
      <c r="AD884" s="677"/>
      <c r="AE884" s="677"/>
    </row>
    <row r="885" spans="1:31">
      <c r="A885" s="677"/>
      <c r="B885" s="677"/>
      <c r="C885" s="677"/>
      <c r="D885" s="677"/>
      <c r="E885" s="677"/>
      <c r="F885" s="677"/>
      <c r="G885" s="677"/>
      <c r="H885" s="677"/>
      <c r="I885" s="677"/>
      <c r="J885" s="677"/>
      <c r="K885" s="677"/>
      <c r="L885" s="677"/>
      <c r="M885" s="677"/>
      <c r="N885" s="677"/>
      <c r="O885" s="677"/>
      <c r="P885" s="677"/>
      <c r="Q885" s="677"/>
      <c r="R885" s="677"/>
      <c r="S885" s="380"/>
      <c r="T885" s="677"/>
      <c r="U885" s="380"/>
      <c r="V885" s="770"/>
      <c r="W885" s="770"/>
      <c r="X885" s="770"/>
      <c r="Y885" s="770"/>
      <c r="Z885" s="770"/>
      <c r="AA885" s="380"/>
      <c r="AB885" s="770"/>
      <c r="AC885" s="677"/>
      <c r="AD885" s="677"/>
      <c r="AE885" s="677"/>
    </row>
    <row r="886" spans="1:31">
      <c r="A886" s="677"/>
      <c r="B886" s="677"/>
      <c r="C886" s="677"/>
      <c r="D886" s="677"/>
      <c r="E886" s="677"/>
      <c r="F886" s="677"/>
      <c r="G886" s="677"/>
      <c r="H886" s="677"/>
      <c r="I886" s="677"/>
      <c r="J886" s="677"/>
      <c r="K886" s="677"/>
      <c r="L886" s="677"/>
      <c r="M886" s="677"/>
      <c r="N886" s="677"/>
      <c r="O886" s="677"/>
      <c r="P886" s="677"/>
      <c r="Q886" s="677"/>
      <c r="R886" s="677"/>
      <c r="S886" s="380"/>
      <c r="T886" s="677"/>
      <c r="U886" s="380"/>
      <c r="V886" s="770"/>
      <c r="W886" s="770"/>
      <c r="X886" s="770"/>
      <c r="Y886" s="770"/>
      <c r="Z886" s="770"/>
      <c r="AA886" s="380"/>
      <c r="AB886" s="770"/>
      <c r="AC886" s="677"/>
      <c r="AD886" s="677"/>
      <c r="AE886" s="677"/>
    </row>
    <row r="887" spans="1:31">
      <c r="A887" s="677"/>
      <c r="B887" s="677"/>
      <c r="C887" s="677"/>
      <c r="D887" s="677"/>
      <c r="E887" s="677"/>
      <c r="F887" s="677"/>
      <c r="G887" s="677"/>
      <c r="H887" s="677"/>
      <c r="I887" s="677"/>
      <c r="J887" s="677"/>
      <c r="K887" s="677"/>
      <c r="L887" s="677"/>
      <c r="M887" s="677"/>
      <c r="N887" s="677"/>
      <c r="O887" s="677"/>
      <c r="P887" s="677"/>
      <c r="Q887" s="677"/>
      <c r="R887" s="677"/>
      <c r="S887" s="380"/>
      <c r="T887" s="677"/>
      <c r="U887" s="380"/>
      <c r="V887" s="770"/>
      <c r="W887" s="770"/>
      <c r="X887" s="770"/>
      <c r="Y887" s="770"/>
      <c r="Z887" s="770"/>
      <c r="AA887" s="380"/>
      <c r="AB887" s="770"/>
      <c r="AC887" s="677"/>
      <c r="AD887" s="677"/>
      <c r="AE887" s="677"/>
    </row>
    <row r="888" spans="1:31">
      <c r="A888" s="677"/>
      <c r="B888" s="677"/>
      <c r="C888" s="677"/>
      <c r="D888" s="677"/>
      <c r="E888" s="677"/>
      <c r="F888" s="677"/>
      <c r="G888" s="677"/>
      <c r="H888" s="677"/>
      <c r="I888" s="677"/>
      <c r="J888" s="677"/>
      <c r="K888" s="677"/>
      <c r="L888" s="677"/>
      <c r="M888" s="677"/>
      <c r="N888" s="677"/>
      <c r="O888" s="677"/>
      <c r="P888" s="677"/>
      <c r="Q888" s="677"/>
      <c r="R888" s="677"/>
      <c r="S888" s="380"/>
      <c r="T888" s="677"/>
      <c r="U888" s="380"/>
      <c r="V888" s="770"/>
      <c r="W888" s="770"/>
      <c r="X888" s="770"/>
      <c r="Y888" s="770"/>
      <c r="Z888" s="770"/>
      <c r="AA888" s="380"/>
      <c r="AB888" s="770"/>
      <c r="AC888" s="677"/>
      <c r="AD888" s="677"/>
      <c r="AE888" s="677"/>
    </row>
    <row r="889" spans="1:31">
      <c r="A889" s="677"/>
      <c r="B889" s="677"/>
      <c r="C889" s="677"/>
      <c r="D889" s="677"/>
      <c r="E889" s="677"/>
      <c r="F889" s="677"/>
      <c r="G889" s="677"/>
      <c r="H889" s="677"/>
      <c r="I889" s="677"/>
      <c r="J889" s="677"/>
      <c r="K889" s="677"/>
      <c r="L889" s="677"/>
      <c r="M889" s="677"/>
      <c r="N889" s="677"/>
      <c r="O889" s="677"/>
      <c r="P889" s="677"/>
      <c r="Q889" s="677"/>
      <c r="R889" s="677"/>
      <c r="S889" s="380"/>
      <c r="T889" s="677"/>
      <c r="U889" s="380"/>
      <c r="V889" s="770"/>
      <c r="W889" s="770"/>
      <c r="X889" s="770"/>
      <c r="Y889" s="770"/>
      <c r="Z889" s="770"/>
      <c r="AA889" s="380"/>
      <c r="AB889" s="770"/>
      <c r="AC889" s="677"/>
      <c r="AD889" s="677"/>
      <c r="AE889" s="677"/>
    </row>
    <row r="890" spans="1:31">
      <c r="A890" s="677"/>
      <c r="B890" s="677"/>
      <c r="C890" s="677"/>
      <c r="D890" s="677"/>
      <c r="E890" s="677"/>
      <c r="F890" s="677"/>
      <c r="G890" s="677"/>
      <c r="H890" s="677"/>
      <c r="I890" s="677"/>
      <c r="J890" s="677"/>
      <c r="K890" s="677"/>
      <c r="L890" s="677"/>
      <c r="M890" s="677"/>
      <c r="N890" s="677"/>
      <c r="O890" s="677"/>
      <c r="P890" s="677"/>
      <c r="Q890" s="677"/>
      <c r="R890" s="677"/>
      <c r="S890" s="380"/>
      <c r="T890" s="677"/>
      <c r="U890" s="380"/>
      <c r="V890" s="770"/>
      <c r="W890" s="770"/>
      <c r="X890" s="770"/>
      <c r="Y890" s="770"/>
      <c r="Z890" s="770"/>
      <c r="AA890" s="380"/>
      <c r="AB890" s="770"/>
      <c r="AC890" s="677"/>
      <c r="AD890" s="677"/>
      <c r="AE890" s="677"/>
    </row>
    <row r="891" spans="1:31">
      <c r="A891" s="677"/>
      <c r="B891" s="677"/>
      <c r="C891" s="677"/>
      <c r="D891" s="677"/>
      <c r="E891" s="677"/>
      <c r="F891" s="677"/>
      <c r="G891" s="677"/>
      <c r="H891" s="677"/>
      <c r="I891" s="677"/>
      <c r="J891" s="677"/>
      <c r="K891" s="677"/>
      <c r="L891" s="677"/>
      <c r="M891" s="677"/>
      <c r="N891" s="677"/>
      <c r="O891" s="677"/>
      <c r="P891" s="677"/>
      <c r="Q891" s="677"/>
      <c r="R891" s="677"/>
      <c r="S891" s="380"/>
      <c r="T891" s="677"/>
      <c r="U891" s="380"/>
      <c r="V891" s="770"/>
      <c r="W891" s="770"/>
      <c r="X891" s="770"/>
      <c r="Y891" s="770"/>
      <c r="Z891" s="770"/>
      <c r="AA891" s="380"/>
      <c r="AB891" s="770"/>
      <c r="AC891" s="677"/>
      <c r="AD891" s="677"/>
      <c r="AE891" s="677"/>
    </row>
    <row r="892" spans="1:31">
      <c r="A892" s="677"/>
      <c r="B892" s="677"/>
      <c r="C892" s="677"/>
      <c r="D892" s="677"/>
      <c r="E892" s="677"/>
      <c r="F892" s="677"/>
      <c r="G892" s="677"/>
      <c r="H892" s="677"/>
      <c r="I892" s="677"/>
      <c r="J892" s="677"/>
      <c r="K892" s="677"/>
      <c r="L892" s="677"/>
      <c r="M892" s="677"/>
      <c r="N892" s="677"/>
      <c r="O892" s="677"/>
      <c r="P892" s="677"/>
      <c r="Q892" s="677"/>
      <c r="R892" s="677"/>
      <c r="S892" s="380"/>
      <c r="T892" s="677"/>
      <c r="U892" s="380"/>
      <c r="V892" s="770"/>
      <c r="W892" s="770"/>
      <c r="X892" s="770"/>
      <c r="Y892" s="770"/>
      <c r="Z892" s="770"/>
      <c r="AA892" s="380"/>
      <c r="AB892" s="770"/>
      <c r="AC892" s="677"/>
      <c r="AD892" s="677"/>
      <c r="AE892" s="677"/>
    </row>
    <row r="893" spans="1:31">
      <c r="A893" s="677"/>
      <c r="B893" s="677"/>
      <c r="C893" s="677"/>
      <c r="D893" s="677"/>
      <c r="E893" s="677"/>
      <c r="F893" s="677"/>
      <c r="G893" s="677"/>
      <c r="H893" s="677"/>
      <c r="I893" s="677"/>
      <c r="J893" s="677"/>
      <c r="K893" s="677"/>
      <c r="L893" s="677"/>
      <c r="M893" s="677"/>
      <c r="N893" s="677"/>
      <c r="O893" s="677"/>
      <c r="P893" s="677"/>
      <c r="Q893" s="677"/>
      <c r="R893" s="677"/>
      <c r="S893" s="380"/>
      <c r="T893" s="677"/>
      <c r="U893" s="380"/>
      <c r="V893" s="770"/>
      <c r="W893" s="770"/>
      <c r="X893" s="770"/>
      <c r="Y893" s="770"/>
      <c r="Z893" s="770"/>
      <c r="AA893" s="380"/>
      <c r="AB893" s="770"/>
      <c r="AC893" s="677"/>
      <c r="AD893" s="677"/>
      <c r="AE893" s="677"/>
    </row>
    <row r="894" spans="1:31">
      <c r="A894" s="677"/>
      <c r="B894" s="677"/>
      <c r="C894" s="677"/>
      <c r="D894" s="677"/>
      <c r="E894" s="677"/>
      <c r="F894" s="677"/>
      <c r="G894" s="677"/>
      <c r="H894" s="677"/>
      <c r="I894" s="677"/>
      <c r="J894" s="677"/>
      <c r="K894" s="677"/>
      <c r="L894" s="677"/>
      <c r="M894" s="677"/>
      <c r="N894" s="677"/>
      <c r="O894" s="677"/>
      <c r="P894" s="677"/>
      <c r="Q894" s="677"/>
      <c r="R894" s="677"/>
      <c r="S894" s="380"/>
      <c r="T894" s="677"/>
      <c r="U894" s="380"/>
      <c r="V894" s="770"/>
      <c r="W894" s="770"/>
      <c r="X894" s="770"/>
      <c r="Y894" s="770"/>
      <c r="Z894" s="770"/>
      <c r="AA894" s="380"/>
      <c r="AB894" s="770"/>
      <c r="AC894" s="677"/>
      <c r="AD894" s="677"/>
      <c r="AE894" s="677"/>
    </row>
    <row r="895" spans="1:31">
      <c r="A895" s="677"/>
      <c r="B895" s="677"/>
      <c r="C895" s="677"/>
      <c r="D895" s="677"/>
      <c r="E895" s="677"/>
      <c r="F895" s="677"/>
      <c r="G895" s="677"/>
      <c r="H895" s="677"/>
      <c r="I895" s="677"/>
      <c r="J895" s="677"/>
      <c r="K895" s="677"/>
      <c r="L895" s="677"/>
      <c r="M895" s="677"/>
      <c r="N895" s="677"/>
      <c r="O895" s="677"/>
      <c r="P895" s="677"/>
      <c r="Q895" s="677"/>
      <c r="R895" s="677"/>
      <c r="S895" s="380"/>
      <c r="T895" s="677"/>
      <c r="U895" s="380"/>
      <c r="V895" s="770"/>
      <c r="W895" s="770"/>
      <c r="X895" s="770"/>
      <c r="Y895" s="770"/>
      <c r="Z895" s="770"/>
      <c r="AA895" s="380"/>
      <c r="AB895" s="770"/>
      <c r="AC895" s="677"/>
      <c r="AD895" s="677"/>
      <c r="AE895" s="677"/>
    </row>
    <row r="896" spans="1:31">
      <c r="A896" s="677"/>
      <c r="B896" s="677"/>
      <c r="C896" s="677"/>
      <c r="D896" s="677"/>
      <c r="E896" s="677"/>
      <c r="F896" s="677"/>
      <c r="G896" s="677"/>
      <c r="H896" s="677"/>
      <c r="I896" s="677"/>
      <c r="J896" s="677"/>
      <c r="K896" s="677"/>
      <c r="L896" s="677"/>
      <c r="M896" s="677"/>
      <c r="N896" s="677"/>
      <c r="O896" s="677"/>
      <c r="P896" s="677"/>
      <c r="Q896" s="677"/>
      <c r="R896" s="677"/>
      <c r="S896" s="380"/>
      <c r="T896" s="677"/>
      <c r="U896" s="380"/>
      <c r="V896" s="770"/>
      <c r="W896" s="770"/>
      <c r="X896" s="770"/>
      <c r="Y896" s="770"/>
      <c r="Z896" s="770"/>
      <c r="AA896" s="380"/>
      <c r="AB896" s="770"/>
      <c r="AC896" s="677"/>
      <c r="AD896" s="677"/>
      <c r="AE896" s="677"/>
    </row>
    <row r="897" spans="1:31">
      <c r="A897" s="677"/>
      <c r="B897" s="677"/>
      <c r="C897" s="677"/>
      <c r="D897" s="677"/>
      <c r="E897" s="677"/>
      <c r="F897" s="677"/>
      <c r="G897" s="677"/>
      <c r="H897" s="677"/>
      <c r="I897" s="677"/>
      <c r="J897" s="677"/>
      <c r="K897" s="677"/>
      <c r="L897" s="677"/>
      <c r="M897" s="677"/>
      <c r="N897" s="677"/>
      <c r="O897" s="677"/>
      <c r="P897" s="677"/>
      <c r="Q897" s="677"/>
      <c r="R897" s="677"/>
      <c r="S897" s="380"/>
      <c r="T897" s="677"/>
      <c r="U897" s="380"/>
      <c r="V897" s="770"/>
      <c r="W897" s="770"/>
      <c r="X897" s="770"/>
      <c r="Y897" s="770"/>
      <c r="Z897" s="770"/>
      <c r="AA897" s="380"/>
      <c r="AB897" s="770"/>
      <c r="AC897" s="677"/>
      <c r="AD897" s="677"/>
      <c r="AE897" s="677"/>
    </row>
    <row r="898" spans="1:31">
      <c r="A898" s="677"/>
      <c r="B898" s="677"/>
      <c r="C898" s="677"/>
      <c r="D898" s="677"/>
      <c r="E898" s="677"/>
      <c r="F898" s="677"/>
      <c r="G898" s="677"/>
      <c r="H898" s="677"/>
      <c r="I898" s="677"/>
      <c r="J898" s="677"/>
      <c r="K898" s="677"/>
      <c r="L898" s="677"/>
      <c r="M898" s="677"/>
      <c r="N898" s="677"/>
      <c r="O898" s="677"/>
      <c r="P898" s="677"/>
      <c r="Q898" s="677"/>
      <c r="R898" s="677"/>
      <c r="S898" s="380"/>
      <c r="T898" s="677"/>
      <c r="U898" s="380"/>
      <c r="V898" s="770"/>
      <c r="W898" s="770"/>
      <c r="X898" s="770"/>
      <c r="Y898" s="770"/>
      <c r="Z898" s="770"/>
      <c r="AA898" s="380"/>
      <c r="AB898" s="770"/>
      <c r="AC898" s="677"/>
      <c r="AD898" s="677"/>
      <c r="AE898" s="677"/>
    </row>
    <row r="899" spans="1:31">
      <c r="A899" s="677"/>
      <c r="B899" s="677"/>
      <c r="C899" s="677"/>
      <c r="D899" s="677"/>
      <c r="E899" s="677"/>
      <c r="F899" s="677"/>
      <c r="G899" s="677"/>
      <c r="H899" s="677"/>
      <c r="I899" s="677"/>
      <c r="J899" s="677"/>
      <c r="K899" s="677"/>
      <c r="L899" s="677"/>
      <c r="M899" s="677"/>
      <c r="N899" s="677"/>
      <c r="O899" s="677"/>
      <c r="P899" s="677"/>
      <c r="Q899" s="677"/>
      <c r="R899" s="677"/>
      <c r="S899" s="380"/>
      <c r="T899" s="677"/>
      <c r="U899" s="380"/>
      <c r="V899" s="770"/>
      <c r="W899" s="770"/>
      <c r="X899" s="770"/>
      <c r="Y899" s="770"/>
      <c r="Z899" s="770"/>
      <c r="AA899" s="380"/>
      <c r="AB899" s="770"/>
      <c r="AC899" s="677"/>
      <c r="AD899" s="677"/>
      <c r="AE899" s="677"/>
    </row>
  </sheetData>
  <mergeCells count="2">
    <mergeCell ref="B11:B12"/>
    <mergeCell ref="D11:D12"/>
  </mergeCells>
  <phoneticPr fontId="142" type="noConversion"/>
  <pageMargins left="0.7" right="0.7" top="1.25" bottom="0.75" header="0.3" footer="0.3"/>
  <pageSetup scale="40" fitToHeight="0" orientation="landscape" horizontalDpi="1200" verticalDpi="1200" r:id="rId1"/>
  <headerFooter scaleWithDoc="0" alignWithMargins="0">
    <oddHeader>&amp;R&amp;P of &amp;N</oddHeader>
    <oddFooter>&amp;LElectronic Tab Name: &amp;A</oddFooter>
  </headerFooter>
  <colBreaks count="1" manualBreakCount="1">
    <brk id="16" max="641" man="1"/>
  </colBreaks>
  <ignoredErrors>
    <ignoredError sqref="F8:R8"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00"/>
  </sheetPr>
  <dimension ref="A1:G28"/>
  <sheetViews>
    <sheetView workbookViewId="0">
      <selection activeCell="A31" sqref="A31"/>
    </sheetView>
  </sheetViews>
  <sheetFormatPr defaultColWidth="14" defaultRowHeight="15.75"/>
  <cols>
    <col min="1" max="1" width="2.140625" style="4" bestFit="1" customWidth="1"/>
    <col min="2" max="2" width="14" style="4"/>
    <col min="3" max="3" width="25.140625" style="4" customWidth="1"/>
    <col min="4" max="6" width="14" style="4"/>
    <col min="7" max="7" width="16.28515625" style="4" bestFit="1" customWidth="1"/>
    <col min="8" max="16384" width="14" style="4"/>
  </cols>
  <sheetData>
    <row r="1" spans="1:4">
      <c r="A1" s="74"/>
      <c r="B1" s="74"/>
      <c r="C1" s="74"/>
      <c r="D1" s="74"/>
    </row>
    <row r="5" spans="1:4">
      <c r="B5" s="894" t="s">
        <v>113</v>
      </c>
      <c r="C5" s="895"/>
      <c r="D5" s="896"/>
    </row>
    <row r="6" spans="1:4">
      <c r="B6" s="897" t="s">
        <v>112</v>
      </c>
      <c r="C6" s="898"/>
      <c r="D6" s="899"/>
    </row>
    <row r="7" spans="1:4">
      <c r="B7" s="897" t="s">
        <v>1987</v>
      </c>
      <c r="C7" s="898"/>
      <c r="D7" s="899"/>
    </row>
    <row r="8" spans="1:4">
      <c r="A8" s="5"/>
      <c r="B8" s="345"/>
      <c r="C8" s="346"/>
      <c r="D8" s="347"/>
    </row>
    <row r="9" spans="1:4">
      <c r="A9" s="75"/>
      <c r="B9" s="75"/>
      <c r="C9" s="75"/>
      <c r="D9" s="75"/>
    </row>
    <row r="11" spans="1:4">
      <c r="A11" s="4">
        <v>1</v>
      </c>
      <c r="B11" s="4" t="s">
        <v>71</v>
      </c>
      <c r="D11" s="73">
        <f>+'Exh MCP-8 - ROO Summary Sheet'!K40</f>
        <v>460643302.98850894</v>
      </c>
    </row>
    <row r="12" spans="1:4">
      <c r="A12" s="4">
        <v>2</v>
      </c>
      <c r="B12" s="4" t="s">
        <v>19</v>
      </c>
      <c r="D12" s="76">
        <f>+'Capital Structure Calculation'!J14</f>
        <v>7.5439999999999993E-2</v>
      </c>
    </row>
    <row r="14" spans="1:4">
      <c r="A14" s="4">
        <v>3</v>
      </c>
      <c r="B14" s="4" t="s">
        <v>72</v>
      </c>
      <c r="D14" s="77">
        <f>+D11*D12</f>
        <v>34750930.77745311</v>
      </c>
    </row>
    <row r="15" spans="1:4">
      <c r="A15" s="4">
        <v>4</v>
      </c>
      <c r="B15" s="4" t="s">
        <v>73</v>
      </c>
      <c r="D15" s="890">
        <f>+'Exh MCP-8 - ROO Summary Sheet'!K32</f>
        <v>23971334.07413578</v>
      </c>
    </row>
    <row r="16" spans="1:4">
      <c r="D16" s="77"/>
    </row>
    <row r="17" spans="1:7">
      <c r="A17" s="4">
        <v>5</v>
      </c>
      <c r="B17" s="4" t="s">
        <v>76</v>
      </c>
      <c r="D17" s="891">
        <f>+D14-D15</f>
        <v>10779596.703317329</v>
      </c>
    </row>
    <row r="19" spans="1:7">
      <c r="A19" s="4">
        <v>6</v>
      </c>
      <c r="B19" s="4" t="s">
        <v>74</v>
      </c>
      <c r="D19" s="78">
        <f>+'Exh MCP-4 - Conversion Factor'!C25</f>
        <v>0.75481349214407267</v>
      </c>
    </row>
    <row r="21" spans="1:7" ht="16.5" thickBot="1">
      <c r="A21" s="4">
        <v>7</v>
      </c>
      <c r="B21" s="4" t="s">
        <v>75</v>
      </c>
      <c r="D21" s="888">
        <f>+D17/D19</f>
        <v>14281139.401334135</v>
      </c>
    </row>
    <row r="22" spans="1:7" ht="16.5" thickTop="1">
      <c r="D22" s="77"/>
      <c r="G22" s="268"/>
    </row>
    <row r="23" spans="1:7">
      <c r="A23" s="4">
        <v>8</v>
      </c>
      <c r="B23" s="4" t="s">
        <v>109</v>
      </c>
      <c r="D23" s="891">
        <f>+'Exh MCP-8 - ROO Summary Sheet'!K16</f>
        <v>261547902.87999997</v>
      </c>
      <c r="G23" s="268"/>
    </row>
    <row r="25" spans="1:7">
      <c r="A25" s="4">
        <v>9</v>
      </c>
      <c r="B25" s="4" t="s">
        <v>785</v>
      </c>
      <c r="D25" s="889">
        <f>+D21/D23</f>
        <v>5.4602385429511256E-2</v>
      </c>
    </row>
    <row r="28" spans="1:7">
      <c r="F28" s="77"/>
    </row>
  </sheetData>
  <mergeCells count="3">
    <mergeCell ref="B5:D5"/>
    <mergeCell ref="B6:D6"/>
    <mergeCell ref="B7:D7"/>
  </mergeCells>
  <printOptions horizontalCentered="1"/>
  <pageMargins left="0.7" right="0.7" top="0.75" bottom="0.75" header="0.3" footer="0.3"/>
  <pageSetup orientation="portrait" r:id="rId1"/>
  <headerFooter scaleWithDoc="0" alignWithMargins="0">
    <oddHeader>&amp;RDocket No. UG-200568
Exhibit _____ (MCP-9)
Page 1 of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36"/>
  <sheetViews>
    <sheetView workbookViewId="0">
      <selection activeCell="A31" sqref="A31"/>
    </sheetView>
  </sheetViews>
  <sheetFormatPr defaultRowHeight="15.75"/>
  <cols>
    <col min="1" max="1" width="98.7109375" style="4" customWidth="1"/>
    <col min="2" max="2" width="29.42578125" style="4" customWidth="1"/>
    <col min="3" max="16384" width="9.140625" style="4"/>
  </cols>
  <sheetData>
    <row r="1" spans="1:7">
      <c r="A1" s="15" t="s">
        <v>1844</v>
      </c>
    </row>
    <row r="2" spans="1:7">
      <c r="A2" s="15" t="s">
        <v>789</v>
      </c>
    </row>
    <row r="3" spans="1:7">
      <c r="A3" s="15" t="s">
        <v>1843</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1284</v>
      </c>
    </row>
    <row r="22" spans="1:1">
      <c r="A22" s="18"/>
    </row>
    <row r="23" spans="1:1">
      <c r="A23" s="18"/>
    </row>
    <row r="24" spans="1:1">
      <c r="A24" s="19" t="s">
        <v>788</v>
      </c>
    </row>
    <row r="25" spans="1:1">
      <c r="A25" s="18"/>
    </row>
    <row r="26" spans="1:1">
      <c r="A26" s="18"/>
    </row>
    <row r="27" spans="1:1">
      <c r="A27" s="18"/>
    </row>
    <row r="28" spans="1:1">
      <c r="A28" s="18"/>
    </row>
    <row r="29" spans="1:1">
      <c r="A29" s="18"/>
    </row>
    <row r="30" spans="1:1">
      <c r="A30" s="350" t="s">
        <v>2454</v>
      </c>
    </row>
    <row r="31" spans="1:1">
      <c r="A31" s="31"/>
    </row>
    <row r="32" spans="1:1">
      <c r="A32" s="14"/>
    </row>
    <row r="33" spans="1:1">
      <c r="A33" s="14"/>
    </row>
    <row r="34" spans="1:1">
      <c r="A34" s="14"/>
    </row>
    <row r="35" spans="1:1">
      <c r="A35" s="14"/>
    </row>
    <row r="36" spans="1:1">
      <c r="A36" s="14"/>
    </row>
  </sheetData>
  <printOptions horizontalCentered="1"/>
  <pageMargins left="0.7" right="0.7" top="1.25" bottom="0.75" header="0.3" footer="0.3"/>
  <pageSetup orientation="portrait" r:id="rId1"/>
  <headerFooter differentFirst="1" scaleWithDoc="0" alignWithMargins="0">
    <oddHeader>&amp;RDocket No. UG-170929
Exhibit _____ (MPP-10)
Page 1 o f 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3"/>
  <sheetViews>
    <sheetView workbookViewId="0">
      <selection activeCell="C9" sqref="C9"/>
    </sheetView>
  </sheetViews>
  <sheetFormatPr defaultRowHeight="15.75"/>
  <cols>
    <col min="1" max="1" width="34" style="4" bestFit="1" customWidth="1"/>
    <col min="2" max="2" width="9.140625" style="4"/>
    <col min="3" max="3" width="21.28515625" style="84" customWidth="1"/>
    <col min="4" max="16384" width="9.140625" style="4"/>
  </cols>
  <sheetData>
    <row r="1" spans="1:7">
      <c r="A1" s="892" t="s">
        <v>113</v>
      </c>
      <c r="B1" s="892"/>
      <c r="C1" s="892"/>
    </row>
    <row r="2" spans="1:7">
      <c r="A2" s="892" t="s">
        <v>787</v>
      </c>
      <c r="B2" s="892"/>
      <c r="C2" s="892"/>
    </row>
    <row r="3" spans="1:7">
      <c r="A3" s="903" t="s">
        <v>1864</v>
      </c>
      <c r="B3" s="903"/>
      <c r="C3" s="903"/>
    </row>
    <row r="4" spans="1:7">
      <c r="A4" s="900" t="s">
        <v>20</v>
      </c>
      <c r="B4" s="901"/>
      <c r="C4" s="902"/>
    </row>
    <row r="5" spans="1:7">
      <c r="A5" s="79"/>
      <c r="B5" s="80"/>
      <c r="C5" s="81"/>
    </row>
    <row r="6" spans="1:7">
      <c r="A6" s="79" t="s">
        <v>21</v>
      </c>
      <c r="B6" s="80"/>
      <c r="C6" s="81">
        <v>1</v>
      </c>
    </row>
    <row r="7" spans="1:7">
      <c r="A7" s="82" t="s">
        <v>22</v>
      </c>
      <c r="B7" s="80"/>
      <c r="C7" s="81"/>
    </row>
    <row r="8" spans="1:7">
      <c r="A8" s="83" t="s">
        <v>23</v>
      </c>
      <c r="B8" s="80"/>
      <c r="C8" s="351">
        <f>+'Operating Report'!G91/'Operating Report'!G28</f>
        <v>4.0198833619333558E-3</v>
      </c>
    </row>
    <row r="9" spans="1:7">
      <c r="A9" s="83" t="s">
        <v>669</v>
      </c>
      <c r="B9" s="80"/>
      <c r="C9" s="351">
        <v>3.8519999999999999E-2</v>
      </c>
    </row>
    <row r="10" spans="1:7">
      <c r="A10" s="83" t="s">
        <v>668</v>
      </c>
      <c r="B10" s="80"/>
      <c r="C10" s="351">
        <v>2E-3</v>
      </c>
      <c r="D10" s="84">
        <f>+C8+C9+C10</f>
        <v>4.4539883361933354E-2</v>
      </c>
    </row>
    <row r="11" spans="1:7">
      <c r="A11" s="82" t="s">
        <v>24</v>
      </c>
      <c r="B11" s="80"/>
      <c r="C11" s="85"/>
      <c r="G11" s="14"/>
    </row>
    <row r="12" spans="1:7" ht="16.5" thickBot="1">
      <c r="A12" s="82" t="s">
        <v>25</v>
      </c>
      <c r="B12" s="80"/>
      <c r="C12" s="86">
        <f>+C6-SUM(C8:C11)</f>
        <v>0.95546011663806663</v>
      </c>
    </row>
    <row r="13" spans="1:7">
      <c r="A13" s="87"/>
      <c r="B13" s="80"/>
      <c r="C13" s="81"/>
    </row>
    <row r="14" spans="1:7" ht="16.5" thickBot="1">
      <c r="A14" s="82" t="s">
        <v>26</v>
      </c>
      <c r="B14" s="80"/>
      <c r="C14" s="88">
        <v>0</v>
      </c>
    </row>
    <row r="15" spans="1:7">
      <c r="A15" s="87"/>
      <c r="B15" s="80"/>
      <c r="C15" s="81"/>
    </row>
    <row r="16" spans="1:7" ht="16.5" thickBot="1">
      <c r="A16" s="87" t="s">
        <v>27</v>
      </c>
      <c r="B16" s="80"/>
      <c r="C16" s="88">
        <f>+C12-C14</f>
        <v>0.95546011663806663</v>
      </c>
    </row>
    <row r="17" spans="1:3">
      <c r="A17" s="87"/>
      <c r="B17" s="80"/>
      <c r="C17" s="81"/>
    </row>
    <row r="18" spans="1:3" ht="16.5" thickBot="1">
      <c r="A18" s="398" t="s">
        <v>1109</v>
      </c>
      <c r="B18" s="399"/>
      <c r="C18" s="88">
        <f>+C16*0.21</f>
        <v>0.20064662449399398</v>
      </c>
    </row>
    <row r="19" spans="1:3">
      <c r="A19" s="398"/>
      <c r="B19" s="399"/>
      <c r="C19" s="85"/>
    </row>
    <row r="20" spans="1:3" ht="16.5" thickBot="1">
      <c r="A20" s="398" t="s">
        <v>66</v>
      </c>
      <c r="B20" s="399"/>
      <c r="C20" s="86">
        <f>+C14+C18</f>
        <v>0.20064662449399398</v>
      </c>
    </row>
    <row r="21" spans="1:3">
      <c r="A21" s="398"/>
      <c r="B21" s="399"/>
      <c r="C21" s="81"/>
    </row>
    <row r="22" spans="1:3" ht="16.5" thickBot="1">
      <c r="A22" s="398" t="s">
        <v>28</v>
      </c>
      <c r="B22" s="399"/>
      <c r="C22" s="88">
        <f>SUM(C8:C11)+C20</f>
        <v>0.24518650785592733</v>
      </c>
    </row>
    <row r="23" spans="1:3">
      <c r="A23" s="398"/>
      <c r="B23" s="399"/>
      <c r="C23" s="81"/>
    </row>
    <row r="24" spans="1:3">
      <c r="A24" s="398" t="s">
        <v>786</v>
      </c>
      <c r="B24" s="399"/>
      <c r="C24" s="81"/>
    </row>
    <row r="25" spans="1:3" ht="16.5" thickBot="1">
      <c r="A25" s="398" t="s">
        <v>29</v>
      </c>
      <c r="B25" s="399"/>
      <c r="C25" s="89">
        <f>+C6-C22</f>
        <v>0.75481349214407267</v>
      </c>
    </row>
    <row r="26" spans="1:3">
      <c r="A26" s="400"/>
      <c r="B26" s="401"/>
      <c r="C26" s="85"/>
    </row>
    <row r="27" spans="1:3">
      <c r="A27" s="402"/>
      <c r="B27" s="399"/>
      <c r="C27" s="81"/>
    </row>
    <row r="28" spans="1:3">
      <c r="A28" s="402"/>
      <c r="B28" s="399"/>
      <c r="C28" s="81"/>
    </row>
    <row r="29" spans="1:3">
      <c r="A29" s="403" t="s">
        <v>99</v>
      </c>
      <c r="B29" s="404"/>
      <c r="C29" s="91"/>
    </row>
    <row r="30" spans="1:3">
      <c r="A30" s="403" t="s">
        <v>100</v>
      </c>
      <c r="B30" s="404"/>
      <c r="C30" s="91">
        <v>0</v>
      </c>
    </row>
    <row r="31" spans="1:3">
      <c r="A31" s="403" t="s">
        <v>101</v>
      </c>
      <c r="B31" s="404"/>
      <c r="C31" s="91">
        <v>0.21</v>
      </c>
    </row>
    <row r="32" spans="1:3">
      <c r="A32" s="92"/>
      <c r="B32" s="90"/>
      <c r="C32" s="93"/>
    </row>
    <row r="33" spans="1:3">
      <c r="A33" s="94" t="s">
        <v>102</v>
      </c>
      <c r="B33" s="95"/>
      <c r="C33" s="96">
        <f>ROUND(((1-C30)*C31)+C30,5)</f>
        <v>0.21</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UG-20___
Exhibit _____ (MCP-4)
Page 1 of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G36"/>
  <sheetViews>
    <sheetView workbookViewId="0">
      <selection activeCell="A3" sqref="A3"/>
    </sheetView>
  </sheetViews>
  <sheetFormatPr defaultRowHeight="15.75"/>
  <cols>
    <col min="1" max="1" width="98.7109375" style="4" customWidth="1"/>
    <col min="2" max="2" width="29.42578125" style="4" customWidth="1"/>
    <col min="3" max="16384" width="9.140625" style="4"/>
  </cols>
  <sheetData>
    <row r="1" spans="1:7">
      <c r="A1" s="15" t="s">
        <v>2479</v>
      </c>
    </row>
    <row r="2" spans="1:7">
      <c r="A2" s="15" t="s">
        <v>2482</v>
      </c>
    </row>
    <row r="3" spans="1:7">
      <c r="A3" s="15" t="s">
        <v>1843</v>
      </c>
    </row>
    <row r="4" spans="1:7">
      <c r="A4" s="16"/>
    </row>
    <row r="5" spans="1:7">
      <c r="A5" s="17"/>
    </row>
    <row r="6" spans="1:7">
      <c r="A6" s="17"/>
    </row>
    <row r="7" spans="1:7">
      <c r="A7" s="17"/>
    </row>
    <row r="8" spans="1:7">
      <c r="A8" s="17"/>
    </row>
    <row r="9" spans="1:7">
      <c r="A9" s="17"/>
    </row>
    <row r="10" spans="1:7">
      <c r="A10" s="17"/>
    </row>
    <row r="11" spans="1:7">
      <c r="A11" s="17"/>
      <c r="G11" s="14"/>
    </row>
    <row r="12" spans="1:7">
      <c r="A12" s="17"/>
    </row>
    <row r="13" spans="1:7">
      <c r="A13" s="17"/>
    </row>
    <row r="14" spans="1:7">
      <c r="A14" s="17"/>
    </row>
    <row r="15" spans="1:7">
      <c r="A15" s="17"/>
    </row>
    <row r="16" spans="1:7">
      <c r="A16" s="18"/>
    </row>
    <row r="17" spans="1:1">
      <c r="A17" s="18"/>
    </row>
    <row r="18" spans="1:1">
      <c r="A18" s="17"/>
    </row>
    <row r="19" spans="1:1">
      <c r="A19" s="18" t="s">
        <v>120</v>
      </c>
    </row>
    <row r="20" spans="1:1">
      <c r="A20" s="18"/>
    </row>
    <row r="21" spans="1:1">
      <c r="A21" s="18" t="s">
        <v>1284</v>
      </c>
    </row>
    <row r="22" spans="1:1">
      <c r="A22" s="18"/>
    </row>
    <row r="23" spans="1:1">
      <c r="A23" s="18"/>
    </row>
    <row r="24" spans="1:1">
      <c r="A24" s="19" t="s">
        <v>2480</v>
      </c>
    </row>
    <row r="25" spans="1:1">
      <c r="A25" s="18"/>
    </row>
    <row r="26" spans="1:1">
      <c r="A26" s="18"/>
    </row>
    <row r="27" spans="1:1">
      <c r="A27" s="18"/>
    </row>
    <row r="28" spans="1:1">
      <c r="A28" s="18"/>
    </row>
    <row r="29" spans="1:1">
      <c r="A29" s="18"/>
    </row>
    <row r="30" spans="1:1">
      <c r="A30" s="350" t="s">
        <v>2481</v>
      </c>
    </row>
    <row r="31" spans="1:1">
      <c r="A31" s="31"/>
    </row>
    <row r="32" spans="1:1">
      <c r="A32" s="14"/>
    </row>
    <row r="33" spans="1:1">
      <c r="A33" s="14"/>
    </row>
    <row r="34" spans="1:1">
      <c r="A34" s="14"/>
    </row>
    <row r="35" spans="1:1">
      <c r="A35" s="14"/>
    </row>
    <row r="36" spans="1:1">
      <c r="A36" s="14"/>
    </row>
  </sheetData>
  <printOptions horizontalCentered="1"/>
  <pageMargins left="0" right="0" top="0.5" bottom="0.5" header="0.3" footer="0.3"/>
  <pageSetup orientation="portrait" r:id="rId1"/>
  <headerFooter differentFirst="1" scaleWithDoc="0" alignWithMargins="0">
    <oddHeader>&amp;RDocket No. UG-170929
Exhibit _____ (MPP-11)
Page 1 o f 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pageSetUpPr fitToPage="1"/>
  </sheetPr>
  <dimension ref="A1:DZ66"/>
  <sheetViews>
    <sheetView zoomScale="68" zoomScaleNormal="68" workbookViewId="0">
      <selection activeCell="I26" sqref="I26"/>
    </sheetView>
  </sheetViews>
  <sheetFormatPr defaultRowHeight="15.75"/>
  <cols>
    <col min="1" max="1" width="3.28515625" style="4" bestFit="1" customWidth="1"/>
    <col min="2" max="2" width="2.85546875" style="4" customWidth="1"/>
    <col min="3" max="3" width="31.140625" style="4" customWidth="1"/>
    <col min="4" max="4" width="1.7109375" style="4" customWidth="1"/>
    <col min="5" max="5" width="1.42578125" style="4" customWidth="1"/>
    <col min="6" max="6" width="1.140625" style="4" customWidth="1"/>
    <col min="7" max="7" width="15.42578125" style="4" bestFit="1" customWidth="1"/>
    <col min="8" max="8" width="13.85546875" style="4" bestFit="1" customWidth="1"/>
    <col min="9" max="9" width="19.85546875" style="4" bestFit="1" customWidth="1"/>
    <col min="10" max="10" width="22.140625" style="4" bestFit="1" customWidth="1"/>
    <col min="11" max="11" width="14.140625" style="24" bestFit="1" customWidth="1"/>
    <col min="12" max="12" width="14.42578125" style="24" bestFit="1" customWidth="1"/>
    <col min="13" max="13" width="14.28515625" style="4" bestFit="1" customWidth="1"/>
    <col min="14" max="14" width="14.42578125" style="99" bestFit="1" customWidth="1"/>
    <col min="15" max="15" width="16.28515625" style="4" bestFit="1" customWidth="1"/>
    <col min="16" max="16" width="14.5703125" style="24" bestFit="1" customWidth="1"/>
    <col min="17" max="17" width="2.140625" style="4" customWidth="1"/>
    <col min="18" max="18" width="15.28515625" style="4" bestFit="1" customWidth="1"/>
    <col min="19" max="16384" width="9.140625" style="4"/>
  </cols>
  <sheetData>
    <row r="1" spans="1:19">
      <c r="A1" s="74"/>
      <c r="B1" s="74"/>
      <c r="C1" s="74"/>
      <c r="D1" s="74"/>
      <c r="E1" s="74"/>
      <c r="F1" s="74"/>
      <c r="G1" s="74"/>
      <c r="H1" s="74"/>
      <c r="I1" s="74"/>
      <c r="J1" s="74"/>
      <c r="K1" s="123"/>
      <c r="L1" s="123"/>
      <c r="M1" s="74"/>
      <c r="N1" s="98"/>
      <c r="O1" s="74"/>
      <c r="P1" s="123"/>
      <c r="Q1" s="74"/>
      <c r="R1" s="74"/>
    </row>
    <row r="2" spans="1:19">
      <c r="A2" s="4" t="s">
        <v>56</v>
      </c>
    </row>
    <row r="3" spans="1:19">
      <c r="O3" s="904"/>
      <c r="P3" s="904"/>
      <c r="Q3" s="904"/>
      <c r="R3" s="904"/>
      <c r="S3" s="904"/>
    </row>
    <row r="4" spans="1:19">
      <c r="O4" s="904"/>
      <c r="P4" s="904"/>
      <c r="Q4" s="904"/>
      <c r="R4" s="904"/>
      <c r="S4" s="904"/>
    </row>
    <row r="5" spans="1:19">
      <c r="B5" s="898" t="s">
        <v>114</v>
      </c>
      <c r="C5" s="898"/>
      <c r="D5" s="898"/>
      <c r="E5" s="898"/>
      <c r="F5" s="898"/>
      <c r="G5" s="898"/>
      <c r="H5" s="898"/>
      <c r="I5" s="898"/>
      <c r="J5" s="898"/>
      <c r="K5" s="898"/>
      <c r="L5" s="898"/>
      <c r="M5" s="898"/>
      <c r="N5" s="898"/>
      <c r="O5" s="898"/>
      <c r="P5" s="898"/>
      <c r="Q5" s="898"/>
      <c r="R5" s="898"/>
    </row>
    <row r="6" spans="1:19">
      <c r="A6" s="14"/>
      <c r="B6" s="898" t="s">
        <v>675</v>
      </c>
      <c r="C6" s="898"/>
      <c r="D6" s="898"/>
      <c r="E6" s="898"/>
      <c r="F6" s="898"/>
      <c r="G6" s="898"/>
      <c r="H6" s="898"/>
      <c r="I6" s="898"/>
      <c r="J6" s="898"/>
      <c r="K6" s="898"/>
      <c r="L6" s="898"/>
      <c r="M6" s="898"/>
      <c r="N6" s="898"/>
      <c r="O6" s="898"/>
      <c r="P6" s="898"/>
      <c r="Q6" s="898"/>
      <c r="R6" s="898"/>
    </row>
    <row r="7" spans="1:19">
      <c r="A7" s="100" t="s">
        <v>56</v>
      </c>
      <c r="B7" s="898" t="s">
        <v>1864</v>
      </c>
      <c r="C7" s="898"/>
      <c r="D7" s="898"/>
      <c r="E7" s="898"/>
      <c r="F7" s="898"/>
      <c r="G7" s="898"/>
      <c r="H7" s="898"/>
      <c r="I7" s="898"/>
      <c r="J7" s="898"/>
      <c r="K7" s="898"/>
      <c r="L7" s="898"/>
      <c r="M7" s="898"/>
      <c r="N7" s="898"/>
      <c r="O7" s="898"/>
      <c r="P7" s="898"/>
      <c r="Q7" s="898"/>
      <c r="R7" s="898"/>
    </row>
    <row r="8" spans="1:19">
      <c r="A8" s="100"/>
      <c r="B8" s="101"/>
      <c r="C8" s="101"/>
      <c r="D8" s="101"/>
      <c r="E8" s="101"/>
      <c r="F8" s="101"/>
      <c r="G8" s="101"/>
      <c r="H8" s="101"/>
      <c r="I8" s="101"/>
      <c r="J8" s="101"/>
      <c r="K8" s="101"/>
      <c r="L8" s="101"/>
      <c r="M8" s="101"/>
      <c r="N8" s="101"/>
      <c r="O8" s="683"/>
      <c r="P8" s="683"/>
      <c r="Q8" s="101"/>
      <c r="R8" s="101"/>
    </row>
    <row r="9" spans="1:19">
      <c r="A9" s="75"/>
      <c r="B9" s="75"/>
      <c r="C9" s="75"/>
      <c r="D9" s="75"/>
      <c r="E9" s="75"/>
      <c r="F9" s="74"/>
      <c r="G9" s="102"/>
      <c r="H9" s="74"/>
      <c r="I9" s="74"/>
      <c r="J9" s="74"/>
      <c r="K9" s="123"/>
      <c r="L9" s="123"/>
      <c r="M9" s="74"/>
      <c r="N9" s="98"/>
      <c r="O9" s="74"/>
      <c r="P9" s="123"/>
      <c r="Q9" s="74"/>
      <c r="R9" s="74"/>
    </row>
    <row r="10" spans="1:19">
      <c r="A10" s="103"/>
      <c r="B10" s="104"/>
      <c r="C10" s="105"/>
      <c r="D10" s="106"/>
      <c r="E10" s="107"/>
      <c r="F10" s="74"/>
      <c r="G10" s="405" t="s">
        <v>687</v>
      </c>
      <c r="H10" s="517" t="s">
        <v>61</v>
      </c>
      <c r="I10" s="108" t="s">
        <v>720</v>
      </c>
      <c r="J10" s="679" t="s">
        <v>720</v>
      </c>
      <c r="K10" s="405" t="s">
        <v>1852</v>
      </c>
      <c r="L10" s="517" t="s">
        <v>1110</v>
      </c>
      <c r="M10" s="405" t="s">
        <v>63</v>
      </c>
      <c r="N10" s="647" t="s">
        <v>681</v>
      </c>
      <c r="O10" s="108" t="s">
        <v>681</v>
      </c>
      <c r="P10" s="108" t="s">
        <v>736</v>
      </c>
      <c r="Q10" s="102"/>
      <c r="R10" s="547" t="s">
        <v>58</v>
      </c>
    </row>
    <row r="11" spans="1:19">
      <c r="A11" s="103"/>
      <c r="B11" s="109"/>
      <c r="C11" s="110"/>
      <c r="D11" s="103"/>
      <c r="E11" s="107"/>
      <c r="F11" s="74"/>
      <c r="G11" s="112" t="s">
        <v>746</v>
      </c>
      <c r="H11" s="111" t="s">
        <v>57</v>
      </c>
      <c r="I11" s="112" t="s">
        <v>717</v>
      </c>
      <c r="J11" s="680" t="s">
        <v>1855</v>
      </c>
      <c r="K11" s="112" t="s">
        <v>108</v>
      </c>
      <c r="L11" s="111" t="s">
        <v>1111</v>
      </c>
      <c r="M11" s="112" t="s">
        <v>64</v>
      </c>
      <c r="N11" s="648" t="s">
        <v>685</v>
      </c>
      <c r="O11" s="112" t="s">
        <v>721</v>
      </c>
      <c r="P11" s="112" t="s">
        <v>737</v>
      </c>
      <c r="Q11" s="102"/>
      <c r="R11" s="548" t="s">
        <v>1</v>
      </c>
    </row>
    <row r="12" spans="1:19">
      <c r="A12" s="103"/>
      <c r="B12" s="109"/>
      <c r="C12" s="107"/>
      <c r="D12" s="103"/>
      <c r="E12" s="107"/>
      <c r="F12" s="74"/>
      <c r="G12" s="112" t="s">
        <v>62</v>
      </c>
      <c r="H12" s="111" t="s">
        <v>62</v>
      </c>
      <c r="I12" s="112" t="s">
        <v>62</v>
      </c>
      <c r="J12" s="680" t="s">
        <v>1854</v>
      </c>
      <c r="K12" s="112"/>
      <c r="L12" s="111"/>
      <c r="M12" s="112" t="s">
        <v>62</v>
      </c>
      <c r="N12" s="648" t="s">
        <v>62</v>
      </c>
      <c r="O12" s="112" t="s">
        <v>65</v>
      </c>
      <c r="P12" s="112" t="s">
        <v>738</v>
      </c>
      <c r="Q12" s="102"/>
      <c r="R12" s="548"/>
    </row>
    <row r="13" spans="1:19">
      <c r="A13" s="103"/>
      <c r="B13" s="109"/>
      <c r="C13" s="107"/>
      <c r="D13" s="103"/>
      <c r="E13" s="107"/>
      <c r="F13" s="74"/>
      <c r="G13" s="113" t="s">
        <v>676</v>
      </c>
      <c r="H13" s="543" t="s">
        <v>677</v>
      </c>
      <c r="I13" s="112" t="s">
        <v>719</v>
      </c>
      <c r="J13" s="680" t="s">
        <v>745</v>
      </c>
      <c r="K13" s="112" t="s">
        <v>1395</v>
      </c>
      <c r="L13" s="111" t="s">
        <v>1396</v>
      </c>
      <c r="M13" s="112" t="s">
        <v>678</v>
      </c>
      <c r="N13" s="648" t="s">
        <v>679</v>
      </c>
      <c r="O13" s="112" t="s">
        <v>747</v>
      </c>
      <c r="P13" s="112" t="s">
        <v>680</v>
      </c>
      <c r="Q13" s="102"/>
      <c r="R13" s="548"/>
    </row>
    <row r="14" spans="1:19">
      <c r="A14" s="103"/>
      <c r="B14" s="114"/>
      <c r="C14" s="115"/>
      <c r="D14" s="116"/>
      <c r="E14" s="107"/>
      <c r="F14" s="74"/>
      <c r="G14" s="545"/>
      <c r="H14" s="544"/>
      <c r="I14" s="117"/>
      <c r="J14" s="681"/>
      <c r="K14" s="117"/>
      <c r="L14" s="541"/>
      <c r="M14" s="546"/>
      <c r="N14" s="649"/>
      <c r="O14" s="117"/>
      <c r="P14" s="117"/>
      <c r="Q14" s="118"/>
      <c r="R14" s="549"/>
    </row>
    <row r="15" spans="1:19">
      <c r="A15" s="103">
        <v>1</v>
      </c>
      <c r="B15" s="107"/>
      <c r="C15" s="32" t="s">
        <v>11</v>
      </c>
      <c r="D15" s="103"/>
      <c r="E15" s="107"/>
      <c r="F15" s="74"/>
      <c r="G15" s="114"/>
      <c r="H15" s="119"/>
      <c r="I15" s="550"/>
      <c r="J15" s="120"/>
      <c r="K15" s="550"/>
      <c r="L15" s="550"/>
      <c r="M15" s="602"/>
      <c r="N15" s="650"/>
      <c r="O15" s="651"/>
      <c r="P15" s="651"/>
      <c r="Q15" s="118"/>
      <c r="R15" s="121"/>
    </row>
    <row r="16" spans="1:19">
      <c r="A16" s="122">
        <v>2</v>
      </c>
      <c r="B16" s="75"/>
      <c r="C16" s="46" t="s">
        <v>30</v>
      </c>
      <c r="D16" s="122"/>
      <c r="E16" s="75"/>
      <c r="F16" s="123"/>
      <c r="G16" s="871">
        <f>+'Operating Report'!I15</f>
        <v>-2904184.2</v>
      </c>
      <c r="H16" s="706"/>
      <c r="I16" s="871">
        <f>+'Operating Report'!K15</f>
        <v>14922775.820000002</v>
      </c>
      <c r="J16" s="871">
        <f>+'Operating Report'!L15</f>
        <v>923294.61</v>
      </c>
      <c r="K16" s="124"/>
      <c r="L16" s="124"/>
      <c r="M16" s="124"/>
      <c r="N16" s="652"/>
      <c r="O16" s="871">
        <f>+'Operating Report'!Q17</f>
        <v>1281027.22</v>
      </c>
      <c r="P16" s="124"/>
      <c r="Q16" s="124"/>
      <c r="R16" s="867">
        <f>SUM(G16:Q16)</f>
        <v>14222913.450000001</v>
      </c>
    </row>
    <row r="17" spans="1:19">
      <c r="A17" s="122">
        <v>3</v>
      </c>
      <c r="B17" s="75"/>
      <c r="C17" s="46" t="s">
        <v>31</v>
      </c>
      <c r="D17" s="122"/>
      <c r="E17" s="75"/>
      <c r="F17" s="123"/>
      <c r="G17" s="126"/>
      <c r="H17" s="126"/>
      <c r="I17" s="126"/>
      <c r="J17" s="128"/>
      <c r="K17" s="128"/>
      <c r="L17" s="128"/>
      <c r="M17" s="128"/>
      <c r="N17" s="128"/>
      <c r="O17" s="128">
        <f>+'Pro Forma Plant Additions'!E14</f>
        <v>0</v>
      </c>
      <c r="P17" s="128"/>
      <c r="Q17" s="127"/>
      <c r="R17" s="127">
        <f>SUM(G17:Q17)</f>
        <v>0</v>
      </c>
    </row>
    <row r="18" spans="1:19">
      <c r="A18" s="122">
        <v>4</v>
      </c>
      <c r="B18" s="75"/>
      <c r="C18" s="46" t="s">
        <v>32</v>
      </c>
      <c r="D18" s="122"/>
      <c r="E18" s="75"/>
      <c r="F18" s="123"/>
      <c r="G18" s="126"/>
      <c r="H18" s="126"/>
      <c r="I18" s="128"/>
      <c r="J18" s="128"/>
      <c r="K18" s="128"/>
      <c r="L18" s="128"/>
      <c r="M18" s="128"/>
      <c r="N18" s="128"/>
      <c r="O18" s="128"/>
      <c r="P18" s="128"/>
      <c r="Q18" s="127"/>
      <c r="R18" s="127">
        <f>SUM(G18:Q18)</f>
        <v>0</v>
      </c>
    </row>
    <row r="19" spans="1:19" ht="16.5" thickBot="1">
      <c r="A19" s="122">
        <v>5</v>
      </c>
      <c r="B19" s="129"/>
      <c r="C19" s="54" t="s">
        <v>760</v>
      </c>
      <c r="D19" s="130"/>
      <c r="E19" s="129"/>
      <c r="F19" s="131"/>
      <c r="G19" s="883">
        <f t="shared" ref="G19:O19" si="0">+G16+G17+G18</f>
        <v>-2904184.2</v>
      </c>
      <c r="H19" s="132">
        <f t="shared" si="0"/>
        <v>0</v>
      </c>
      <c r="I19" s="883">
        <f>+I16+I17+I18</f>
        <v>14922775.820000002</v>
      </c>
      <c r="J19" s="883">
        <f>+J16+J17+J18</f>
        <v>923294.61</v>
      </c>
      <c r="K19" s="133">
        <f t="shared" ref="K19:L19" si="1">+K16+K17+K18</f>
        <v>0</v>
      </c>
      <c r="L19" s="133">
        <f t="shared" si="1"/>
        <v>0</v>
      </c>
      <c r="M19" s="133">
        <f t="shared" si="0"/>
        <v>0</v>
      </c>
      <c r="N19" s="133">
        <f t="shared" si="0"/>
        <v>0</v>
      </c>
      <c r="O19" s="883">
        <f t="shared" si="0"/>
        <v>1281027.22</v>
      </c>
      <c r="P19" s="133"/>
      <c r="Q19" s="132"/>
      <c r="R19" s="883">
        <f>+R18+R17+R16</f>
        <v>14222913.450000001</v>
      </c>
    </row>
    <row r="20" spans="1:19">
      <c r="A20" s="122"/>
      <c r="B20" s="129"/>
      <c r="C20" s="54"/>
      <c r="D20" s="130"/>
      <c r="E20" s="129"/>
      <c r="F20" s="131"/>
      <c r="G20" s="134"/>
      <c r="H20" s="134"/>
      <c r="I20" s="135"/>
      <c r="J20" s="135"/>
      <c r="K20" s="135"/>
      <c r="L20" s="135"/>
      <c r="M20" s="135"/>
      <c r="N20" s="135"/>
      <c r="O20" s="135"/>
      <c r="P20" s="135"/>
      <c r="Q20" s="136"/>
      <c r="R20" s="136"/>
    </row>
    <row r="21" spans="1:19">
      <c r="A21" s="122"/>
      <c r="B21" s="129"/>
      <c r="C21" s="54" t="s">
        <v>12</v>
      </c>
      <c r="D21" s="130"/>
      <c r="E21" s="129"/>
      <c r="F21" s="131"/>
      <c r="G21" s="134"/>
      <c r="H21" s="134"/>
      <c r="I21" s="135"/>
      <c r="J21" s="135"/>
      <c r="K21" s="135"/>
      <c r="L21" s="135"/>
      <c r="M21" s="135"/>
      <c r="N21" s="135"/>
      <c r="O21" s="135"/>
      <c r="P21" s="135"/>
      <c r="Q21" s="136"/>
      <c r="R21" s="136"/>
    </row>
    <row r="22" spans="1:19">
      <c r="A22" s="122">
        <v>6</v>
      </c>
      <c r="B22" s="107"/>
      <c r="C22" s="46" t="s">
        <v>758</v>
      </c>
      <c r="D22" s="103"/>
      <c r="E22" s="107"/>
      <c r="F22" s="74"/>
      <c r="G22" s="126"/>
      <c r="H22" s="126"/>
      <c r="I22" s="128"/>
      <c r="J22" s="128"/>
      <c r="K22" s="128"/>
      <c r="L22" s="128"/>
      <c r="M22" s="128"/>
      <c r="N22" s="128"/>
      <c r="O22" s="128"/>
      <c r="P22" s="128"/>
      <c r="Q22" s="137"/>
      <c r="R22" s="138">
        <f t="shared" ref="R22:R34" si="2">SUM(G22:Q22)</f>
        <v>0</v>
      </c>
    </row>
    <row r="23" spans="1:19">
      <c r="A23" s="122">
        <v>7</v>
      </c>
      <c r="B23" s="107"/>
      <c r="C23" s="46" t="s">
        <v>759</v>
      </c>
      <c r="D23" s="103"/>
      <c r="E23" s="107"/>
      <c r="F23" s="74"/>
      <c r="G23" s="866">
        <f>+'Operating Report'!I53</f>
        <v>-117677.54378400001</v>
      </c>
      <c r="H23" s="126"/>
      <c r="I23" s="866">
        <f>+'Operating Report'!K53</f>
        <v>604670.87622640014</v>
      </c>
      <c r="J23" s="866">
        <f>+'Operating Report'!L53</f>
        <v>37411.897597199997</v>
      </c>
      <c r="K23" s="128"/>
      <c r="L23" s="128"/>
      <c r="M23" s="128"/>
      <c r="N23" s="128"/>
      <c r="O23" s="866">
        <f>+'Operating Report'!Q53</f>
        <v>51907.2229544</v>
      </c>
      <c r="P23" s="128"/>
      <c r="Q23" s="137"/>
      <c r="R23" s="885">
        <f t="shared" si="2"/>
        <v>576312.45299400017</v>
      </c>
    </row>
    <row r="24" spans="1:19">
      <c r="A24" s="122">
        <v>8</v>
      </c>
      <c r="B24" s="107"/>
      <c r="C24" s="58" t="s">
        <v>34</v>
      </c>
      <c r="D24" s="103"/>
      <c r="E24" s="107"/>
      <c r="F24" s="74"/>
      <c r="G24" s="126"/>
      <c r="H24" s="126"/>
      <c r="I24" s="128"/>
      <c r="J24" s="128"/>
      <c r="K24" s="128">
        <f>+'Operating Report'!M57</f>
        <v>0</v>
      </c>
      <c r="L24" s="128"/>
      <c r="M24" s="128"/>
      <c r="N24" s="128">
        <f>+'Operating Report'!P57</f>
        <v>13282.7868</v>
      </c>
      <c r="O24" s="128"/>
      <c r="P24" s="128"/>
      <c r="Q24" s="137"/>
      <c r="R24" s="124">
        <f t="shared" si="2"/>
        <v>13282.7868</v>
      </c>
    </row>
    <row r="25" spans="1:19">
      <c r="A25" s="122">
        <v>9</v>
      </c>
      <c r="B25" s="107"/>
      <c r="C25" s="58" t="s">
        <v>13</v>
      </c>
      <c r="D25" s="103"/>
      <c r="E25" s="107"/>
      <c r="F25" s="74"/>
      <c r="G25" s="126"/>
      <c r="H25" s="126"/>
      <c r="I25" s="128"/>
      <c r="J25" s="128"/>
      <c r="K25" s="128">
        <f>+'Operating Report'!M85</f>
        <v>77164.839599999992</v>
      </c>
      <c r="L25" s="128"/>
      <c r="M25" s="128"/>
      <c r="N25" s="128">
        <f>+'Operating Report'!P85</f>
        <v>904453.37531963992</v>
      </c>
      <c r="O25" s="128"/>
      <c r="P25" s="128">
        <f>+'Operating Report'!R61</f>
        <v>925749.91111111105</v>
      </c>
      <c r="Q25" s="137"/>
      <c r="R25" s="124">
        <f t="shared" si="2"/>
        <v>1907368.126030751</v>
      </c>
    </row>
    <row r="26" spans="1:19">
      <c r="A26" s="122">
        <v>10</v>
      </c>
      <c r="B26" s="107"/>
      <c r="C26" s="58" t="s">
        <v>35</v>
      </c>
      <c r="D26" s="103"/>
      <c r="E26" s="107"/>
      <c r="F26" s="74"/>
      <c r="G26" s="882">
        <f>+'Operating Report'!I93</f>
        <v>-11674.481745569734</v>
      </c>
      <c r="H26" s="139"/>
      <c r="I26" s="884">
        <f>+'Operating Report'!K91</f>
        <v>59987.818232679398</v>
      </c>
      <c r="J26" s="884">
        <f>+'Operating Report'!L91</f>
        <v>3711.5366409017465</v>
      </c>
      <c r="K26" s="600">
        <f>+'Operating Report'!M93</f>
        <v>3359.4546</v>
      </c>
      <c r="L26" s="140"/>
      <c r="M26" s="140"/>
      <c r="N26" s="600">
        <f>+'Operating Report'!P93</f>
        <v>231211.06368114002</v>
      </c>
      <c r="O26" s="884">
        <f>+'Operating Report'!Q91</f>
        <v>5149.5800078617403</v>
      </c>
      <c r="P26" s="140"/>
      <c r="Q26" s="141"/>
      <c r="R26" s="884">
        <f t="shared" si="2"/>
        <v>291744.97141701315</v>
      </c>
    </row>
    <row r="27" spans="1:19">
      <c r="A27" s="122">
        <v>11</v>
      </c>
      <c r="B27" s="107"/>
      <c r="C27" s="58" t="s">
        <v>14</v>
      </c>
      <c r="D27" s="103"/>
      <c r="E27" s="107"/>
      <c r="F27" s="74"/>
      <c r="G27" s="142"/>
      <c r="H27" s="126"/>
      <c r="I27" s="128"/>
      <c r="J27" s="128"/>
      <c r="K27" s="128"/>
      <c r="L27" s="128"/>
      <c r="M27" s="128"/>
      <c r="N27" s="600">
        <f>+'Operating Report'!P100</f>
        <v>57097.4784</v>
      </c>
      <c r="O27" s="128"/>
      <c r="P27" s="128"/>
      <c r="Q27" s="143"/>
      <c r="R27" s="124">
        <f t="shared" si="2"/>
        <v>57097.4784</v>
      </c>
    </row>
    <row r="28" spans="1:19">
      <c r="A28" s="122">
        <v>12</v>
      </c>
      <c r="B28" s="107"/>
      <c r="C28" s="58" t="s">
        <v>15</v>
      </c>
      <c r="D28" s="103"/>
      <c r="E28" s="107"/>
      <c r="F28" s="74"/>
      <c r="G28" s="126"/>
      <c r="H28" s="126">
        <f>+'Operating Report'!J105</f>
        <v>-1977.2275</v>
      </c>
      <c r="I28" s="128"/>
      <c r="J28" s="128"/>
      <c r="K28" s="128"/>
      <c r="L28" s="128"/>
      <c r="M28" s="128"/>
      <c r="N28" s="128"/>
      <c r="O28" s="128"/>
      <c r="P28" s="128"/>
      <c r="Q28" s="143"/>
      <c r="R28" s="124">
        <f t="shared" si="2"/>
        <v>-1977.2275</v>
      </c>
    </row>
    <row r="29" spans="1:19" ht="16.5" thickBot="1">
      <c r="A29" s="122">
        <v>13</v>
      </c>
      <c r="B29" s="129"/>
      <c r="C29" s="58" t="s">
        <v>16</v>
      </c>
      <c r="D29" s="130"/>
      <c r="E29" s="129"/>
      <c r="F29" s="131"/>
      <c r="G29" s="126"/>
      <c r="H29" s="126">
        <f>+'Operating Report'!J117</f>
        <v>-25714.466148000007</v>
      </c>
      <c r="I29" s="128"/>
      <c r="J29" s="128"/>
      <c r="K29" s="128">
        <f>+'Operating Report'!M123</f>
        <v>39.050400000000003</v>
      </c>
      <c r="L29" s="128">
        <f>+'Operating Report'!N121</f>
        <v>-1230735.4200000002</v>
      </c>
      <c r="M29" s="128"/>
      <c r="N29" s="128">
        <f>+'Operating Report'!P123</f>
        <v>705685.45852716023</v>
      </c>
      <c r="O29" s="128"/>
      <c r="P29" s="128"/>
      <c r="Q29" s="144"/>
      <c r="R29" s="124">
        <f t="shared" si="2"/>
        <v>-550725.37722083984</v>
      </c>
    </row>
    <row r="30" spans="1:19">
      <c r="A30" s="122">
        <v>14</v>
      </c>
      <c r="B30" s="107"/>
      <c r="C30" s="58" t="s">
        <v>36</v>
      </c>
      <c r="D30" s="103"/>
      <c r="E30" s="107"/>
      <c r="F30" s="74"/>
      <c r="G30" s="145"/>
      <c r="H30" s="145"/>
      <c r="I30" s="146"/>
      <c r="J30" s="678">
        <f>+'Operating Report'!L135</f>
        <v>2932909.6036830023</v>
      </c>
      <c r="K30" s="128"/>
      <c r="L30" s="146"/>
      <c r="M30" s="146"/>
      <c r="N30" s="128"/>
      <c r="O30" s="128">
        <f>+'Operating Report'!Q128</f>
        <v>2695058.5614869548</v>
      </c>
      <c r="P30" s="128"/>
      <c r="Q30" s="147"/>
      <c r="R30" s="124">
        <f t="shared" si="2"/>
        <v>5627968.1651699571</v>
      </c>
    </row>
    <row r="31" spans="1:19">
      <c r="A31" s="122">
        <v>15</v>
      </c>
      <c r="B31" s="107"/>
      <c r="C31" s="58" t="s">
        <v>37</v>
      </c>
      <c r="D31" s="103"/>
      <c r="E31" s="107"/>
      <c r="F31" s="74"/>
      <c r="G31" s="126"/>
      <c r="H31" s="126"/>
      <c r="I31" s="128"/>
      <c r="J31" s="128"/>
      <c r="K31" s="128"/>
      <c r="L31" s="128"/>
      <c r="M31" s="128"/>
      <c r="N31" s="128"/>
      <c r="O31" s="128"/>
      <c r="P31" s="128"/>
      <c r="Q31" s="143"/>
      <c r="R31" s="124">
        <f t="shared" si="2"/>
        <v>0</v>
      </c>
    </row>
    <row r="32" spans="1:19">
      <c r="A32" s="122">
        <v>16</v>
      </c>
      <c r="B32" s="107"/>
      <c r="C32" s="58" t="s">
        <v>38</v>
      </c>
      <c r="D32" s="103"/>
      <c r="E32" s="107"/>
      <c r="F32" s="74"/>
      <c r="G32" s="126"/>
      <c r="H32" s="126"/>
      <c r="I32" s="128"/>
      <c r="J32" s="128"/>
      <c r="K32" s="128">
        <f>+'Operating Report'!M140</f>
        <v>6163.0958619000021</v>
      </c>
      <c r="L32" s="128"/>
      <c r="M32" s="128"/>
      <c r="N32" s="128">
        <f>+'Operating Report'!P140</f>
        <v>108841.00287307221</v>
      </c>
      <c r="O32" s="128">
        <f>+'Operating Report'!Q140</f>
        <v>765625.05402376899</v>
      </c>
      <c r="P32" s="128"/>
      <c r="Q32" s="143"/>
      <c r="R32" s="124">
        <f t="shared" si="2"/>
        <v>880629.15275874117</v>
      </c>
      <c r="S32" s="74"/>
    </row>
    <row r="33" spans="1:130">
      <c r="A33" s="122">
        <v>17</v>
      </c>
      <c r="B33" s="107"/>
      <c r="C33" s="58" t="s">
        <v>39</v>
      </c>
      <c r="D33" s="103"/>
      <c r="E33" s="107"/>
      <c r="F33" s="74"/>
      <c r="G33" s="866">
        <f>+'Operating Report'!I149</f>
        <v>-582714.75663879036</v>
      </c>
      <c r="H33" s="128">
        <f>+'Operating Report'!J143</f>
        <v>5815.255666080001</v>
      </c>
      <c r="I33" s="866">
        <f>+'Operating Report'!K149</f>
        <v>2994204.5963635934</v>
      </c>
      <c r="J33" s="866">
        <f>+'Operating Report'!L149</f>
        <v>-430655.06986343185</v>
      </c>
      <c r="K33" s="128">
        <f>+'Operating Report'!M149</f>
        <v>-18212.552496998997</v>
      </c>
      <c r="L33" s="128">
        <f>+'Operating Report'!N149</f>
        <v>258454.43820000003</v>
      </c>
      <c r="M33" s="128">
        <f>+'Operating Report'!O149</f>
        <v>91861.358542880698</v>
      </c>
      <c r="N33" s="128">
        <f>+'Operating Report'!P143</f>
        <v>-424365.73216821259</v>
      </c>
      <c r="O33" s="866">
        <f>+'Operating Report'!Q143</f>
        <v>554283.66074274806</v>
      </c>
      <c r="P33" s="128">
        <f>+'Operating Report'!R143</f>
        <v>-194407.4813333333</v>
      </c>
      <c r="Q33" s="143"/>
      <c r="R33" s="884">
        <f t="shared" si="2"/>
        <v>2254263.7170145353</v>
      </c>
      <c r="S33" s="74"/>
    </row>
    <row r="34" spans="1:130">
      <c r="A34" s="122">
        <v>18</v>
      </c>
      <c r="B34" s="107"/>
      <c r="C34" s="62" t="s">
        <v>40</v>
      </c>
      <c r="D34" s="103"/>
      <c r="E34" s="107"/>
      <c r="F34" s="74"/>
      <c r="G34" s="866">
        <f>SUM(G22:G33)</f>
        <v>-712066.78216836008</v>
      </c>
      <c r="H34" s="127">
        <f>SUM(H22:H33)</f>
        <v>-21876.437981920008</v>
      </c>
      <c r="I34" s="866">
        <f t="shared" ref="I34" si="3">SUM(I22:I33)</f>
        <v>3658863.2908226727</v>
      </c>
      <c r="J34" s="866">
        <f>SUM(J22:J33)</f>
        <v>2543377.9680576725</v>
      </c>
      <c r="K34" s="127">
        <f t="shared" ref="K34" si="4">SUM(K22:K33)</f>
        <v>68513.88796490099</v>
      </c>
      <c r="L34" s="127">
        <f>SUM(L24:L33)</f>
        <v>-972280.98180000018</v>
      </c>
      <c r="M34" s="127">
        <f>SUM(M24:M33)</f>
        <v>91861.358542880698</v>
      </c>
      <c r="N34" s="127">
        <f t="shared" ref="N34:P34" si="5">SUM(N22:N33)</f>
        <v>1596205.4334327995</v>
      </c>
      <c r="O34" s="866">
        <f>SUM(O22:O33)</f>
        <v>4072024.0792157338</v>
      </c>
      <c r="P34" s="127">
        <f t="shared" si="5"/>
        <v>731342.42977777775</v>
      </c>
      <c r="Q34" s="143"/>
      <c r="R34" s="884">
        <f t="shared" si="2"/>
        <v>11055964.245864157</v>
      </c>
      <c r="S34" s="74"/>
    </row>
    <row r="35" spans="1:130" ht="16.5" thickBot="1">
      <c r="A35" s="122">
        <v>19</v>
      </c>
      <c r="B35" s="107"/>
      <c r="C35" s="62" t="s">
        <v>17</v>
      </c>
      <c r="D35" s="103"/>
      <c r="E35" s="107"/>
      <c r="F35" s="74"/>
      <c r="G35" s="880">
        <f>+G19-G34</f>
        <v>-2192117.4178316402</v>
      </c>
      <c r="H35" s="148">
        <f>+H19-H34</f>
        <v>21876.437981920008</v>
      </c>
      <c r="I35" s="880">
        <f t="shared" ref="I35" si="6">+I19-I34</f>
        <v>11263912.52917733</v>
      </c>
      <c r="J35" s="880">
        <f>+J19-J34</f>
        <v>-1620083.3580576726</v>
      </c>
      <c r="K35" s="406">
        <f t="shared" ref="K35" si="7">+K19-K34</f>
        <v>-68513.88796490099</v>
      </c>
      <c r="L35" s="406">
        <f t="shared" ref="L35" si="8">+L19-L34</f>
        <v>972280.98180000018</v>
      </c>
      <c r="M35" s="406">
        <f t="shared" ref="M35:P35" si="9">+M19-M34</f>
        <v>-91861.358542880698</v>
      </c>
      <c r="N35" s="406">
        <f>+N19-N34</f>
        <v>-1596205.4334327995</v>
      </c>
      <c r="O35" s="880">
        <f>+O19-O34</f>
        <v>-2790996.8592157336</v>
      </c>
      <c r="P35" s="406">
        <f t="shared" si="9"/>
        <v>-731342.42977777775</v>
      </c>
      <c r="Q35" s="148"/>
      <c r="R35" s="880">
        <f>+R19-R34</f>
        <v>3166949.2041358445</v>
      </c>
      <c r="S35" s="74"/>
    </row>
    <row r="36" spans="1:130" ht="16.5" thickBot="1">
      <c r="A36" s="122"/>
      <c r="B36" s="107"/>
      <c r="C36" s="62"/>
      <c r="D36" s="103"/>
      <c r="E36" s="107"/>
      <c r="F36" s="74"/>
      <c r="G36" s="149"/>
      <c r="H36" s="149"/>
      <c r="I36" s="150"/>
      <c r="J36" s="150"/>
      <c r="K36" s="150"/>
      <c r="L36" s="150"/>
      <c r="M36" s="150"/>
      <c r="N36" s="653"/>
      <c r="O36" s="150"/>
      <c r="P36" s="150"/>
      <c r="Q36" s="151"/>
      <c r="R36" s="149"/>
      <c r="S36" s="152"/>
    </row>
    <row r="37" spans="1:130" ht="16.5" thickTop="1">
      <c r="A37" s="122">
        <v>20</v>
      </c>
      <c r="B37" s="107"/>
      <c r="C37" s="62" t="s">
        <v>41</v>
      </c>
      <c r="D37" s="103"/>
      <c r="E37" s="107"/>
      <c r="F37" s="74"/>
      <c r="G37" s="137"/>
      <c r="H37" s="137"/>
      <c r="I37" s="153"/>
      <c r="J37" s="153"/>
      <c r="K37" s="407"/>
      <c r="L37" s="153"/>
      <c r="M37" s="153"/>
      <c r="N37" s="125"/>
      <c r="O37" s="153"/>
      <c r="P37" s="153"/>
      <c r="Q37" s="137"/>
      <c r="R37" s="154"/>
      <c r="S37" s="74"/>
    </row>
    <row r="38" spans="1:130">
      <c r="A38" s="122">
        <v>21</v>
      </c>
      <c r="B38" s="107"/>
      <c r="C38" s="46" t="s">
        <v>43</v>
      </c>
      <c r="D38" s="103"/>
      <c r="E38" s="107"/>
      <c r="F38" s="74"/>
      <c r="G38" s="145"/>
      <c r="H38" s="145"/>
      <c r="I38" s="146"/>
      <c r="J38" s="866">
        <f>+'Rate Base'!H13-'Rate Base'!D13</f>
        <v>31077329.243195057</v>
      </c>
      <c r="K38" s="146"/>
      <c r="L38" s="146"/>
      <c r="M38" s="146"/>
      <c r="N38" s="128"/>
      <c r="O38" s="128">
        <f>+'Pro Forma Plant Additions'!E16</f>
        <v>66105637.284975991</v>
      </c>
      <c r="P38" s="128"/>
      <c r="Q38" s="141"/>
      <c r="R38" s="884">
        <f>SUM(G38:Q38)</f>
        <v>97182966.528171048</v>
      </c>
      <c r="S38" s="74"/>
    </row>
    <row r="39" spans="1:130">
      <c r="A39" s="122">
        <v>22</v>
      </c>
      <c r="B39" s="107"/>
      <c r="C39" s="46" t="s">
        <v>44</v>
      </c>
      <c r="D39" s="103"/>
      <c r="E39" s="107"/>
      <c r="F39" s="74"/>
      <c r="G39" s="156"/>
      <c r="H39" s="156"/>
      <c r="I39" s="157"/>
      <c r="J39" s="867">
        <f>+'Rate Base'!H14-'Rate Base'!D14</f>
        <v>-7438116.7491337657</v>
      </c>
      <c r="K39" s="601"/>
      <c r="L39" s="157"/>
      <c r="M39" s="157"/>
      <c r="N39" s="157"/>
      <c r="O39" s="157">
        <f>-'Pro Forma Plant Additions'!E19</f>
        <v>-1347529.2807434774</v>
      </c>
      <c r="P39" s="157"/>
      <c r="Q39" s="143"/>
      <c r="R39" s="884">
        <f>SUM(G39:Q39)</f>
        <v>-8785646.0298772436</v>
      </c>
      <c r="S39" s="74"/>
    </row>
    <row r="40" spans="1:130">
      <c r="A40" s="122">
        <v>23</v>
      </c>
      <c r="B40" s="107"/>
      <c r="C40" s="53" t="s">
        <v>18</v>
      </c>
      <c r="D40" s="103"/>
      <c r="E40" s="107"/>
      <c r="F40" s="74"/>
      <c r="G40" s="156"/>
      <c r="H40" s="156"/>
      <c r="I40" s="157"/>
      <c r="J40" s="867">
        <f>+'Rate Base'!H16-'Rate Base'!D16</f>
        <v>44862.196250000037</v>
      </c>
      <c r="K40" s="601"/>
      <c r="L40" s="157"/>
      <c r="M40" s="157"/>
      <c r="N40" s="157"/>
      <c r="O40" s="157"/>
      <c r="P40" s="157"/>
      <c r="Q40" s="143"/>
      <c r="R40" s="884">
        <f>SUM(G40:Q40)</f>
        <v>44862.196250000037</v>
      </c>
      <c r="S40" s="74"/>
    </row>
    <row r="41" spans="1:130" ht="16.5" thickBot="1">
      <c r="A41" s="122">
        <v>24</v>
      </c>
      <c r="B41" s="107"/>
      <c r="C41" s="53" t="s">
        <v>45</v>
      </c>
      <c r="D41" s="103"/>
      <c r="E41" s="107"/>
      <c r="F41" s="74"/>
      <c r="G41" s="156"/>
      <c r="H41" s="156"/>
      <c r="I41" s="157"/>
      <c r="J41" s="867">
        <f>+'Rate Base'!H17-'Rate Base'!D17</f>
        <v>-2047961.5683333576</v>
      </c>
      <c r="K41" s="601"/>
      <c r="L41" s="157"/>
      <c r="M41" s="157"/>
      <c r="N41" s="157"/>
      <c r="O41" s="157">
        <f>-'Pro Forma Plant Additions'!E22</f>
        <v>22690.202146537318</v>
      </c>
      <c r="P41" s="157"/>
      <c r="Q41" s="158"/>
      <c r="R41" s="884">
        <f>SUM(G41:Q41)</f>
        <v>-2025271.3661868202</v>
      </c>
      <c r="S41" s="74"/>
    </row>
    <row r="42" spans="1:130">
      <c r="A42" s="122">
        <v>25</v>
      </c>
      <c r="B42" s="107"/>
      <c r="C42" s="53" t="s">
        <v>46</v>
      </c>
      <c r="D42" s="103"/>
      <c r="E42" s="107"/>
      <c r="F42" s="74"/>
      <c r="G42" s="156"/>
      <c r="H42" s="156"/>
      <c r="I42" s="157"/>
      <c r="J42" s="157">
        <f>+'Rate Base'!H18-'Rate Base'!D18</f>
        <v>0</v>
      </c>
      <c r="K42" s="601"/>
      <c r="L42" s="157"/>
      <c r="M42" s="157"/>
      <c r="N42" s="157"/>
      <c r="O42" s="157"/>
      <c r="P42" s="157"/>
      <c r="Q42" s="143"/>
      <c r="R42" s="155">
        <f>SUM(G42:Q42)</f>
        <v>0</v>
      </c>
      <c r="S42" s="74"/>
    </row>
    <row r="43" spans="1:130" ht="16.5" thickBot="1">
      <c r="A43" s="122">
        <v>26</v>
      </c>
      <c r="B43" s="107"/>
      <c r="C43" s="62" t="s">
        <v>42</v>
      </c>
      <c r="D43" s="103"/>
      <c r="E43" s="107"/>
      <c r="F43" s="74"/>
      <c r="G43" s="159">
        <f>SUM(G38:G42)</f>
        <v>0</v>
      </c>
      <c r="H43" s="159">
        <f>SUM(H38:H42)</f>
        <v>0</v>
      </c>
      <c r="I43" s="159">
        <f>SUM(I38:I42)</f>
        <v>0</v>
      </c>
      <c r="J43" s="868">
        <f>SUM(J38:J42)</f>
        <v>21636113.121977933</v>
      </c>
      <c r="K43" s="159">
        <f t="shared" ref="K43" si="10">SUM(K38:K42)</f>
        <v>0</v>
      </c>
      <c r="L43" s="159">
        <f>SUM(L38:L42)</f>
        <v>0</v>
      </c>
      <c r="M43" s="159">
        <f>SUM(M38:M42)</f>
        <v>0</v>
      </c>
      <c r="N43" s="159">
        <f>SUM(N38:N42)</f>
        <v>0</v>
      </c>
      <c r="O43" s="159">
        <f>SUM(O38:O42)</f>
        <v>64780798.206379049</v>
      </c>
      <c r="P43" s="159"/>
      <c r="Q43" s="158"/>
      <c r="R43" s="868">
        <f>SUM(R38:R42)</f>
        <v>86416911.328356981</v>
      </c>
      <c r="S43" s="74"/>
    </row>
    <row r="44" spans="1:130" ht="16.5" thickBot="1">
      <c r="A44" s="122"/>
      <c r="B44" s="129"/>
      <c r="C44" s="160"/>
      <c r="D44" s="130"/>
      <c r="E44" s="129"/>
      <c r="F44" s="131"/>
      <c r="G44" s="132"/>
      <c r="H44" s="132"/>
      <c r="I44" s="133"/>
      <c r="J44" s="132"/>
      <c r="K44" s="133"/>
      <c r="L44" s="133"/>
      <c r="M44" s="133"/>
      <c r="N44" s="654"/>
      <c r="O44" s="161"/>
      <c r="P44" s="133"/>
      <c r="Q44" s="144"/>
      <c r="R44" s="161"/>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2"/>
      <c r="BX44" s="162"/>
      <c r="BY44" s="162"/>
      <c r="BZ44" s="162"/>
      <c r="CA44" s="162"/>
      <c r="CB44" s="162"/>
      <c r="CC44" s="162"/>
      <c r="CD44" s="162"/>
      <c r="CE44" s="162"/>
      <c r="CF44" s="162"/>
      <c r="CG44" s="162"/>
      <c r="CH44" s="162"/>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c r="DL44" s="162"/>
      <c r="DM44" s="162"/>
      <c r="DN44" s="162"/>
      <c r="DO44" s="162"/>
      <c r="DP44" s="162"/>
      <c r="DQ44" s="162"/>
      <c r="DR44" s="162"/>
      <c r="DS44" s="162"/>
      <c r="DT44" s="162"/>
      <c r="DU44" s="162"/>
      <c r="DV44" s="162"/>
      <c r="DW44" s="162"/>
      <c r="DX44" s="162"/>
      <c r="DY44" s="162"/>
      <c r="DZ44" s="162"/>
    </row>
    <row r="45" spans="1:130">
      <c r="A45" s="122">
        <v>27</v>
      </c>
      <c r="B45" s="163"/>
      <c r="C45" s="164" t="s">
        <v>59</v>
      </c>
      <c r="D45" s="165"/>
      <c r="E45" s="129"/>
      <c r="F45" s="131"/>
      <c r="G45" s="881">
        <f>((+G43*'Capital Structure Calculation'!$J$14)-'Exh MCP-10 - Summary of Adj'!G35)/'Exh MCP-4 - Conversion Factor'!$C$25</f>
        <v>2904184.2</v>
      </c>
      <c r="H45" s="166">
        <f>((+H43*'Capital Structure Calculation'!$J$14)-'Exh MCP-10 - Summary of Adj'!H35)/'Exh MCP-4 - Conversion Factor'!$C$25</f>
        <v>-28982.574118779015</v>
      </c>
      <c r="I45" s="881">
        <f>((+I43*'Capital Structure Calculation'!$J$14)-'Exh MCP-10 - Summary of Adj'!I35)/'Exh MCP-4 - Conversion Factor'!$C$25</f>
        <v>-14922775.820000004</v>
      </c>
      <c r="J45" s="881">
        <f>((+J43*'Capital Structure Calculation'!$J$14)-'Exh MCP-10 - Summary of Adj'!J35)/'Exh MCP-4 - Conversion Factor'!$C$25</f>
        <v>4308762.0529163945</v>
      </c>
      <c r="K45" s="167">
        <f>((+K43*'Capital Structure Calculation'!$J$14)-'Exh MCP-10 - Summary of Adj'!K35)/'Exh MCP-4 - Conversion Factor'!$C$25</f>
        <v>90769.294240203672</v>
      </c>
      <c r="L45" s="167">
        <f>((+L43*'Capital Structure Calculation'!$J$14)-'Exh MCP-10 - Summary of Adj'!L35)/'Exh MCP-4 - Conversion Factor'!$C$25</f>
        <v>-1288107.5814347249</v>
      </c>
      <c r="M45" s="167">
        <f>((+M43*'Capital Structure Calculation'!$J$14)-'Exh MCP-10 - Summary of Adj'!M35)/'Exh MCP-4 - Conversion Factor'!$C$25</f>
        <v>121700.73733306683</v>
      </c>
      <c r="N45" s="167">
        <f>((+N43*'Capital Structure Calculation'!$J$14)-'Exh MCP-10 - Summary of Adj'!N35)/'Exh MCP-4 - Conversion Factor'!$C$25</f>
        <v>2114701.7773870537</v>
      </c>
      <c r="O45" s="881">
        <f>((+O43*'Capital Structure Calculation'!$J$14)-'Exh MCP-10 - Summary of Adj'!O35)/'Exh MCP-4 - Conversion Factor'!$C$25</f>
        <v>10172129.083298689</v>
      </c>
      <c r="P45" s="167">
        <f>((+P43*'Capital Structure Calculation'!$J$14)-'Exh MCP-10 - Summary of Adj'!P35)/'Exh MCP-4 - Conversion Factor'!$C$25</f>
        <v>968904.8187259814</v>
      </c>
      <c r="Q45" s="166"/>
      <c r="R45" s="881">
        <f>((+R43*'Capital Structure Calculation'!$J$14)-'Exh MCP-10 - Summary of Adj'!R35)/'Exh MCP-4 - Conversion Factor'!$C$25</f>
        <v>4441285.9883478843</v>
      </c>
      <c r="S45" s="168"/>
      <c r="T45" s="168"/>
      <c r="U45" s="168"/>
      <c r="V45" s="168"/>
      <c r="W45" s="168"/>
      <c r="X45" s="168"/>
      <c r="Y45" s="168"/>
      <c r="Z45" s="168"/>
      <c r="AA45" s="168"/>
      <c r="AB45" s="168"/>
      <c r="AC45" s="168"/>
      <c r="AD45" s="168"/>
      <c r="AE45" s="168"/>
      <c r="AF45" s="168"/>
      <c r="AG45" s="168"/>
      <c r="AH45" s="168"/>
      <c r="AI45" s="168"/>
      <c r="AJ45" s="168"/>
      <c r="AK45" s="168"/>
      <c r="AL45" s="168"/>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68"/>
      <c r="BO45" s="168"/>
      <c r="BP45" s="168"/>
      <c r="BQ45" s="168"/>
      <c r="BR45" s="168"/>
      <c r="BS45" s="168"/>
      <c r="BT45" s="168"/>
      <c r="BU45" s="168"/>
      <c r="BV45" s="168"/>
      <c r="BW45" s="168"/>
      <c r="BX45" s="168"/>
      <c r="BY45" s="168"/>
      <c r="BZ45" s="168"/>
      <c r="CA45" s="168"/>
      <c r="CB45" s="168"/>
      <c r="CC45" s="168"/>
      <c r="CD45" s="168"/>
      <c r="CE45" s="168"/>
      <c r="CF45" s="168"/>
      <c r="CG45" s="168"/>
      <c r="CH45" s="168"/>
      <c r="CI45" s="168"/>
      <c r="CJ45" s="168"/>
      <c r="CK45" s="168"/>
      <c r="CL45" s="168"/>
      <c r="CM45" s="168"/>
      <c r="CN45" s="168"/>
      <c r="CO45" s="168"/>
      <c r="CP45" s="168"/>
      <c r="CQ45" s="168"/>
      <c r="CR45" s="168"/>
      <c r="CS45" s="168"/>
      <c r="CT45" s="168"/>
      <c r="CU45" s="168"/>
      <c r="CV45" s="168"/>
      <c r="CW45" s="168"/>
      <c r="CX45" s="168"/>
      <c r="CY45" s="168"/>
      <c r="CZ45" s="168"/>
      <c r="DA45" s="168"/>
      <c r="DB45" s="168"/>
      <c r="DC45" s="168"/>
      <c r="DD45" s="168"/>
      <c r="DE45" s="168"/>
      <c r="DF45" s="168"/>
      <c r="DG45" s="168"/>
      <c r="DH45" s="168"/>
      <c r="DI45" s="168"/>
      <c r="DJ45" s="168"/>
      <c r="DK45" s="168"/>
      <c r="DL45" s="168"/>
      <c r="DM45" s="168"/>
      <c r="DN45" s="168"/>
      <c r="DO45" s="168"/>
      <c r="DP45" s="168"/>
      <c r="DQ45" s="168"/>
      <c r="DR45" s="168"/>
      <c r="DS45" s="168"/>
      <c r="DT45" s="168"/>
      <c r="DU45" s="168"/>
      <c r="DV45" s="168"/>
      <c r="DW45" s="168"/>
      <c r="DX45" s="168"/>
      <c r="DY45" s="168"/>
      <c r="DZ45" s="168"/>
    </row>
    <row r="46" spans="1:130">
      <c r="A46" s="74"/>
      <c r="B46" s="74"/>
      <c r="C46" s="74"/>
      <c r="D46" s="74"/>
      <c r="E46" s="74"/>
      <c r="F46" s="74"/>
      <c r="G46" s="169"/>
      <c r="H46" s="169"/>
      <c r="I46" s="169"/>
      <c r="J46" s="169"/>
      <c r="K46" s="352"/>
      <c r="L46" s="352"/>
      <c r="M46" s="169"/>
      <c r="N46" s="169"/>
      <c r="O46" s="169"/>
      <c r="P46" s="352"/>
      <c r="Q46" s="169"/>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row>
    <row r="47" spans="1:130">
      <c r="A47" s="74"/>
      <c r="B47" s="74"/>
      <c r="C47" s="74"/>
      <c r="D47" s="74"/>
      <c r="E47" s="74"/>
      <c r="F47" s="74"/>
      <c r="G47" s="170"/>
      <c r="H47" s="170"/>
      <c r="I47" s="170"/>
      <c r="J47" s="170"/>
      <c r="K47" s="200"/>
      <c r="L47" s="200"/>
      <c r="M47" s="170"/>
      <c r="N47" s="170"/>
      <c r="O47" s="170"/>
      <c r="P47" s="200"/>
      <c r="Q47" s="171"/>
      <c r="R47" s="75"/>
      <c r="S47" s="75"/>
      <c r="T47" s="75"/>
      <c r="U47" s="75"/>
      <c r="V47" s="75"/>
      <c r="W47" s="75"/>
      <c r="X47" s="75"/>
      <c r="Y47" s="75"/>
      <c r="Z47" s="75"/>
      <c r="AA47" s="75"/>
      <c r="AB47" s="75"/>
      <c r="AC47" s="75"/>
      <c r="AD47" s="75"/>
      <c r="AE47" s="75"/>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row>
    <row r="48" spans="1:130">
      <c r="A48" s="74"/>
      <c r="B48" s="74"/>
      <c r="C48" s="74"/>
      <c r="D48" s="74"/>
      <c r="E48" s="74"/>
      <c r="F48" s="74"/>
      <c r="G48" s="75"/>
      <c r="H48" s="75"/>
      <c r="I48" s="75"/>
      <c r="J48" s="75"/>
      <c r="K48" s="75"/>
      <c r="L48" s="75"/>
      <c r="M48" s="75"/>
      <c r="N48" s="172"/>
      <c r="O48" s="75"/>
      <c r="P48" s="75"/>
      <c r="Q48" s="75"/>
      <c r="R48" s="173"/>
      <c r="S48" s="75"/>
      <c r="T48" s="75"/>
      <c r="U48" s="75"/>
      <c r="V48" s="75"/>
      <c r="W48" s="75"/>
      <c r="X48" s="75"/>
      <c r="Y48" s="75"/>
      <c r="Z48" s="75"/>
      <c r="AA48" s="75"/>
      <c r="AB48" s="75"/>
      <c r="AC48" s="75"/>
      <c r="AD48" s="75"/>
      <c r="AE48" s="75"/>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row>
    <row r="49" spans="1:130">
      <c r="A49" s="74"/>
      <c r="B49" s="74"/>
      <c r="C49" s="74"/>
      <c r="D49" s="74"/>
      <c r="E49" s="74"/>
      <c r="F49" s="74"/>
      <c r="G49" s="75"/>
      <c r="H49" s="75"/>
      <c r="I49" s="75"/>
      <c r="J49" s="75"/>
      <c r="K49" s="75"/>
      <c r="L49" s="75"/>
      <c r="M49" s="75"/>
      <c r="N49" s="174"/>
      <c r="O49" s="75"/>
      <c r="P49" s="75"/>
      <c r="Q49" s="75"/>
      <c r="R49" s="175"/>
      <c r="S49" s="75"/>
      <c r="T49" s="75"/>
      <c r="U49" s="75"/>
      <c r="V49" s="75"/>
      <c r="W49" s="75"/>
      <c r="X49" s="75"/>
      <c r="Y49" s="75"/>
      <c r="Z49" s="75"/>
      <c r="AA49" s="75"/>
      <c r="AB49" s="75"/>
      <c r="AC49" s="75"/>
      <c r="AD49" s="75"/>
      <c r="AE49" s="75"/>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row>
    <row r="50" spans="1:130">
      <c r="A50" s="74"/>
      <c r="B50" s="74"/>
      <c r="C50" s="74"/>
      <c r="D50" s="74"/>
      <c r="E50" s="74"/>
      <c r="F50" s="74"/>
      <c r="G50" s="75"/>
      <c r="H50" s="176"/>
      <c r="I50" s="176"/>
      <c r="J50" s="176"/>
      <c r="K50" s="176"/>
      <c r="L50" s="176"/>
      <c r="M50" s="176"/>
      <c r="N50" s="174"/>
      <c r="O50" s="176"/>
      <c r="P50" s="176"/>
      <c r="Q50" s="75"/>
      <c r="R50" s="75"/>
      <c r="S50" s="75"/>
      <c r="T50" s="75"/>
      <c r="U50" s="75"/>
      <c r="V50" s="75"/>
      <c r="W50" s="75"/>
      <c r="X50" s="75"/>
      <c r="Y50" s="75"/>
      <c r="Z50" s="75"/>
      <c r="AA50" s="75"/>
      <c r="AB50" s="75"/>
      <c r="AC50" s="75"/>
      <c r="AD50" s="75"/>
      <c r="AE50" s="75"/>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row>
    <row r="51" spans="1:130">
      <c r="A51" s="74"/>
      <c r="B51" s="74"/>
      <c r="C51" s="74"/>
      <c r="D51" s="74"/>
      <c r="E51" s="74"/>
      <c r="F51" s="74"/>
      <c r="G51" s="75"/>
      <c r="H51" s="75"/>
      <c r="I51" s="75"/>
      <c r="J51" s="75"/>
      <c r="K51" s="75"/>
      <c r="L51" s="75"/>
      <c r="M51" s="75"/>
      <c r="N51" s="174"/>
      <c r="O51" s="75"/>
      <c r="P51" s="75"/>
      <c r="Q51" s="75"/>
      <c r="R51" s="75"/>
      <c r="S51" s="75"/>
      <c r="T51" s="75"/>
      <c r="U51" s="75"/>
      <c r="V51" s="75"/>
      <c r="W51" s="75"/>
      <c r="X51" s="75"/>
      <c r="Y51" s="75"/>
      <c r="Z51" s="75"/>
      <c r="AA51" s="75"/>
      <c r="AB51" s="75"/>
      <c r="AC51" s="75"/>
      <c r="AD51" s="75"/>
      <c r="AE51" s="75"/>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row>
    <row r="52" spans="1:130">
      <c r="A52" s="74"/>
      <c r="B52" s="74"/>
      <c r="C52" s="74"/>
      <c r="D52" s="74"/>
      <c r="E52" s="74"/>
      <c r="F52" s="74"/>
      <c r="G52" s="75"/>
      <c r="H52" s="176"/>
      <c r="I52" s="176"/>
      <c r="J52" s="176"/>
      <c r="K52" s="176"/>
      <c r="L52" s="176"/>
      <c r="M52" s="176"/>
      <c r="N52" s="174"/>
      <c r="O52" s="176"/>
      <c r="P52" s="176"/>
      <c r="Q52" s="75"/>
      <c r="R52" s="75"/>
      <c r="S52" s="75"/>
      <c r="T52" s="75"/>
      <c r="U52" s="75"/>
      <c r="V52" s="75"/>
      <c r="W52" s="75"/>
      <c r="X52" s="75"/>
      <c r="Y52" s="75"/>
      <c r="Z52" s="75"/>
      <c r="AA52" s="75"/>
      <c r="AB52" s="75"/>
      <c r="AC52" s="75"/>
      <c r="AD52" s="75"/>
      <c r="AE52" s="75"/>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row>
    <row r="53" spans="1:130">
      <c r="A53" s="74"/>
      <c r="B53" s="74"/>
      <c r="C53" s="74"/>
      <c r="D53" s="74"/>
      <c r="E53" s="74"/>
      <c r="F53" s="74"/>
      <c r="G53" s="75"/>
      <c r="H53" s="177"/>
      <c r="I53" s="177"/>
      <c r="J53" s="177"/>
      <c r="K53" s="177"/>
      <c r="L53" s="177"/>
      <c r="M53" s="177"/>
      <c r="N53" s="174"/>
      <c r="O53" s="177"/>
      <c r="P53" s="177"/>
      <c r="Q53" s="75"/>
      <c r="R53" s="75"/>
      <c r="S53" s="75"/>
      <c r="T53" s="75"/>
      <c r="U53" s="75"/>
      <c r="V53" s="75"/>
      <c r="W53" s="75"/>
      <c r="X53" s="75"/>
      <c r="Y53" s="75"/>
      <c r="Z53" s="75"/>
      <c r="AA53" s="75"/>
      <c r="AB53" s="75"/>
      <c r="AC53" s="75"/>
      <c r="AD53" s="75"/>
      <c r="AE53" s="75"/>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row>
    <row r="54" spans="1:130">
      <c r="A54" s="74"/>
      <c r="B54" s="74"/>
      <c r="C54" s="74"/>
      <c r="D54" s="74"/>
      <c r="E54" s="74"/>
      <c r="F54" s="74"/>
      <c r="G54" s="75"/>
      <c r="H54" s="177"/>
      <c r="I54" s="177"/>
      <c r="J54" s="177"/>
      <c r="K54" s="177"/>
      <c r="L54" s="177"/>
      <c r="M54" s="177"/>
      <c r="N54" s="174"/>
      <c r="O54" s="177"/>
      <c r="P54" s="177"/>
      <c r="Q54" s="75"/>
      <c r="R54" s="75"/>
      <c r="S54" s="75"/>
      <c r="T54" s="75"/>
      <c r="U54" s="75"/>
      <c r="V54" s="75"/>
      <c r="W54" s="75"/>
      <c r="X54" s="75"/>
      <c r="Y54" s="75"/>
      <c r="Z54" s="75"/>
      <c r="AA54" s="75"/>
      <c r="AB54" s="75"/>
      <c r="AC54" s="75"/>
      <c r="AD54" s="75"/>
      <c r="AE54" s="75"/>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row>
    <row r="55" spans="1:130">
      <c r="A55" s="74"/>
      <c r="B55" s="74"/>
      <c r="C55" s="74"/>
      <c r="D55" s="74"/>
      <c r="E55" s="74"/>
      <c r="F55" s="74"/>
      <c r="G55" s="75"/>
      <c r="H55" s="177"/>
      <c r="I55" s="177"/>
      <c r="J55" s="177"/>
      <c r="K55" s="177"/>
      <c r="L55" s="177"/>
      <c r="M55" s="177"/>
      <c r="N55" s="174"/>
      <c r="O55" s="177"/>
      <c r="P55" s="177"/>
      <c r="Q55" s="75"/>
      <c r="R55" s="75"/>
      <c r="S55" s="75"/>
      <c r="T55" s="75"/>
      <c r="U55" s="75"/>
      <c r="V55" s="75"/>
      <c r="W55" s="75"/>
      <c r="X55" s="75"/>
      <c r="Y55" s="75"/>
      <c r="Z55" s="75"/>
      <c r="AA55" s="75"/>
      <c r="AB55" s="75"/>
      <c r="AC55" s="75"/>
      <c r="AD55" s="75"/>
      <c r="AE55" s="75"/>
    </row>
    <row r="56" spans="1:130">
      <c r="A56" s="74"/>
      <c r="B56" s="74"/>
      <c r="C56" s="74"/>
      <c r="D56" s="74"/>
      <c r="E56" s="74"/>
      <c r="F56" s="74"/>
      <c r="G56" s="75"/>
      <c r="H56" s="177"/>
      <c r="I56" s="177"/>
      <c r="J56" s="177"/>
      <c r="K56" s="177"/>
      <c r="L56" s="177"/>
      <c r="M56" s="177"/>
      <c r="N56" s="174"/>
      <c r="O56" s="177"/>
      <c r="P56" s="177"/>
      <c r="Q56" s="75"/>
      <c r="R56" s="75"/>
      <c r="S56" s="75"/>
      <c r="T56" s="75"/>
      <c r="U56" s="75"/>
      <c r="V56" s="75"/>
      <c r="W56" s="75"/>
      <c r="X56" s="75"/>
      <c r="Y56" s="75"/>
      <c r="Z56" s="75"/>
      <c r="AA56" s="75"/>
      <c r="AB56" s="75"/>
      <c r="AC56" s="75"/>
      <c r="AD56" s="75"/>
      <c r="AE56" s="75"/>
    </row>
    <row r="57" spans="1:130">
      <c r="A57" s="74"/>
      <c r="B57" s="74"/>
      <c r="C57" s="74"/>
      <c r="D57" s="74"/>
      <c r="E57" s="74"/>
      <c r="F57" s="74"/>
      <c r="G57" s="75"/>
      <c r="H57" s="75"/>
      <c r="I57" s="75"/>
      <c r="J57" s="75"/>
      <c r="K57" s="75"/>
      <c r="L57" s="75"/>
      <c r="M57" s="75"/>
      <c r="N57" s="174"/>
      <c r="O57" s="75"/>
      <c r="P57" s="75"/>
      <c r="Q57" s="75"/>
      <c r="R57" s="75"/>
      <c r="S57" s="75"/>
      <c r="T57" s="75"/>
      <c r="U57" s="75"/>
      <c r="V57" s="75"/>
      <c r="W57" s="75"/>
      <c r="X57" s="75"/>
      <c r="Y57" s="75"/>
      <c r="Z57" s="75"/>
      <c r="AA57" s="75"/>
      <c r="AB57" s="75"/>
      <c r="AC57" s="75"/>
      <c r="AD57" s="75"/>
      <c r="AE57" s="75"/>
    </row>
    <row r="58" spans="1:130">
      <c r="A58" s="74"/>
      <c r="B58" s="74"/>
      <c r="C58" s="74"/>
      <c r="D58" s="74"/>
      <c r="E58" s="74"/>
      <c r="F58" s="74"/>
      <c r="G58" s="75"/>
      <c r="H58" s="177"/>
      <c r="I58" s="177"/>
      <c r="J58" s="177"/>
      <c r="K58" s="177"/>
      <c r="L58" s="177"/>
      <c r="M58" s="177"/>
      <c r="N58" s="174"/>
      <c r="O58" s="177"/>
      <c r="P58" s="177"/>
      <c r="Q58" s="75"/>
      <c r="R58" s="75"/>
      <c r="S58" s="75"/>
      <c r="T58" s="75"/>
      <c r="U58" s="75"/>
      <c r="V58" s="75"/>
      <c r="W58" s="75"/>
      <c r="X58" s="75"/>
      <c r="Y58" s="75"/>
      <c r="Z58" s="75"/>
      <c r="AA58" s="75"/>
      <c r="AB58" s="75"/>
      <c r="AC58" s="75"/>
      <c r="AD58" s="75"/>
      <c r="AE58" s="75"/>
    </row>
    <row r="59" spans="1:130">
      <c r="A59" s="74"/>
      <c r="B59" s="74"/>
      <c r="C59" s="74"/>
      <c r="D59" s="74"/>
      <c r="E59" s="74"/>
      <c r="F59" s="74"/>
      <c r="G59" s="75"/>
      <c r="H59" s="178"/>
      <c r="I59" s="178"/>
      <c r="J59" s="178"/>
      <c r="K59" s="178"/>
      <c r="L59" s="178"/>
      <c r="M59" s="178"/>
      <c r="N59" s="174"/>
      <c r="O59" s="178"/>
      <c r="P59" s="178"/>
      <c r="Q59" s="75"/>
      <c r="R59" s="75"/>
      <c r="S59" s="75"/>
      <c r="T59" s="75"/>
      <c r="U59" s="75"/>
      <c r="V59" s="75"/>
      <c r="W59" s="75"/>
      <c r="X59" s="75"/>
      <c r="Y59" s="75"/>
      <c r="Z59" s="75"/>
      <c r="AA59" s="75"/>
      <c r="AB59" s="75"/>
      <c r="AC59" s="75"/>
      <c r="AD59" s="75"/>
      <c r="AE59" s="75"/>
    </row>
    <row r="60" spans="1:130">
      <c r="A60" s="74"/>
      <c r="B60" s="74"/>
      <c r="C60" s="74"/>
      <c r="D60" s="74"/>
      <c r="E60" s="74"/>
      <c r="F60" s="74"/>
      <c r="G60" s="75"/>
      <c r="H60" s="178"/>
      <c r="I60" s="178"/>
      <c r="J60" s="178"/>
      <c r="K60" s="178"/>
      <c r="L60" s="178"/>
      <c r="M60" s="178"/>
      <c r="N60" s="174"/>
      <c r="O60" s="178"/>
      <c r="P60" s="178"/>
      <c r="Q60" s="75"/>
      <c r="R60" s="75"/>
      <c r="S60" s="75"/>
      <c r="T60" s="75"/>
      <c r="U60" s="75"/>
      <c r="V60" s="75"/>
      <c r="W60" s="75"/>
      <c r="X60" s="75"/>
      <c r="Y60" s="75"/>
      <c r="Z60" s="75"/>
      <c r="AA60" s="75"/>
      <c r="AB60" s="75"/>
      <c r="AC60" s="75"/>
      <c r="AD60" s="75"/>
      <c r="AE60" s="75"/>
    </row>
    <row r="61" spans="1:130">
      <c r="A61" s="74"/>
      <c r="B61" s="74"/>
      <c r="C61" s="74"/>
      <c r="D61" s="74"/>
      <c r="E61" s="74"/>
      <c r="F61" s="74"/>
      <c r="G61" s="75"/>
      <c r="H61" s="75"/>
      <c r="I61" s="75"/>
      <c r="J61" s="75"/>
      <c r="K61" s="75"/>
      <c r="L61" s="75"/>
      <c r="M61" s="75"/>
      <c r="N61" s="174"/>
      <c r="O61" s="75"/>
      <c r="P61" s="75"/>
      <c r="Q61" s="75"/>
      <c r="R61" s="75"/>
      <c r="S61" s="75"/>
      <c r="T61" s="75"/>
      <c r="U61" s="75"/>
      <c r="V61" s="75"/>
      <c r="W61" s="75"/>
      <c r="X61" s="75"/>
      <c r="Y61" s="75"/>
      <c r="Z61" s="75"/>
      <c r="AA61" s="75"/>
      <c r="AB61" s="75"/>
      <c r="AC61" s="75"/>
      <c r="AD61" s="75"/>
      <c r="AE61" s="75"/>
    </row>
    <row r="62" spans="1:130">
      <c r="A62" s="74"/>
      <c r="B62" s="74"/>
      <c r="C62" s="74"/>
      <c r="D62" s="74"/>
      <c r="E62" s="74"/>
      <c r="F62" s="74"/>
      <c r="G62" s="75"/>
      <c r="H62" s="177"/>
      <c r="I62" s="177"/>
      <c r="J62" s="177"/>
      <c r="K62" s="177"/>
      <c r="L62" s="177"/>
      <c r="M62" s="177"/>
      <c r="N62" s="179"/>
      <c r="O62" s="177"/>
      <c r="P62" s="177"/>
      <c r="Q62" s="75"/>
      <c r="R62" s="75"/>
      <c r="S62" s="75"/>
      <c r="T62" s="75"/>
      <c r="U62" s="75"/>
      <c r="V62" s="75"/>
      <c r="W62" s="75"/>
      <c r="X62" s="75"/>
      <c r="Y62" s="75"/>
      <c r="Z62" s="75"/>
      <c r="AA62" s="75"/>
      <c r="AB62" s="75"/>
      <c r="AC62" s="75"/>
      <c r="AD62" s="75"/>
      <c r="AE62" s="75"/>
    </row>
    <row r="63" spans="1:130">
      <c r="A63" s="74"/>
      <c r="B63" s="74"/>
      <c r="C63" s="74"/>
      <c r="D63" s="74"/>
      <c r="E63" s="74"/>
      <c r="F63" s="74"/>
      <c r="G63" s="75"/>
      <c r="H63" s="177"/>
      <c r="I63" s="177"/>
      <c r="J63" s="177"/>
      <c r="K63" s="177"/>
      <c r="L63" s="177"/>
      <c r="M63" s="177"/>
      <c r="N63" s="174"/>
      <c r="O63" s="177"/>
      <c r="P63" s="177"/>
      <c r="Q63" s="75"/>
      <c r="R63" s="75"/>
      <c r="S63" s="75"/>
      <c r="T63" s="75"/>
      <c r="U63" s="75"/>
      <c r="V63" s="75"/>
      <c r="W63" s="75"/>
      <c r="X63" s="75"/>
      <c r="Y63" s="75"/>
      <c r="Z63" s="75"/>
      <c r="AA63" s="75"/>
      <c r="AB63" s="75"/>
      <c r="AC63" s="75"/>
      <c r="AD63" s="75"/>
      <c r="AE63" s="75"/>
    </row>
    <row r="64" spans="1:130">
      <c r="A64" s="74"/>
      <c r="B64" s="74"/>
      <c r="C64" s="74"/>
      <c r="D64" s="74"/>
      <c r="E64" s="74"/>
      <c r="F64" s="74"/>
      <c r="G64" s="75"/>
      <c r="H64" s="75"/>
      <c r="I64" s="75"/>
      <c r="J64" s="75"/>
      <c r="K64" s="75"/>
      <c r="L64" s="75"/>
      <c r="M64" s="75"/>
      <c r="N64" s="174"/>
      <c r="O64" s="75"/>
      <c r="P64" s="75"/>
      <c r="Q64" s="75"/>
      <c r="R64" s="75"/>
      <c r="S64" s="75"/>
      <c r="T64" s="75"/>
      <c r="U64" s="75"/>
      <c r="V64" s="75"/>
      <c r="W64" s="75"/>
      <c r="X64" s="75"/>
      <c r="Y64" s="75"/>
      <c r="Z64" s="75"/>
      <c r="AA64" s="75"/>
      <c r="AB64" s="75"/>
      <c r="AC64" s="75"/>
      <c r="AD64" s="75"/>
      <c r="AE64" s="75"/>
    </row>
    <row r="65" spans="1:31">
      <c r="A65" s="74"/>
      <c r="B65" s="74"/>
      <c r="C65" s="74"/>
      <c r="D65" s="74"/>
      <c r="E65" s="74"/>
      <c r="F65" s="74"/>
      <c r="G65" s="75"/>
      <c r="H65" s="75"/>
      <c r="I65" s="75"/>
      <c r="J65" s="75"/>
      <c r="K65" s="75"/>
      <c r="L65" s="75"/>
      <c r="M65" s="75"/>
      <c r="N65" s="174"/>
      <c r="O65" s="75"/>
      <c r="P65" s="75"/>
      <c r="Q65" s="75"/>
      <c r="R65" s="75"/>
      <c r="S65" s="75"/>
      <c r="T65" s="75"/>
      <c r="U65" s="75"/>
      <c r="V65" s="75"/>
      <c r="W65" s="75"/>
      <c r="X65" s="75"/>
      <c r="Y65" s="75"/>
      <c r="Z65" s="75"/>
      <c r="AA65" s="75"/>
      <c r="AB65" s="75"/>
      <c r="AC65" s="75"/>
      <c r="AD65" s="75"/>
      <c r="AE65" s="75"/>
    </row>
    <row r="66" spans="1:31">
      <c r="A66" s="74"/>
      <c r="B66" s="74"/>
      <c r="C66" s="74"/>
      <c r="D66" s="74"/>
      <c r="E66" s="74"/>
      <c r="F66" s="74"/>
      <c r="G66" s="75"/>
      <c r="H66" s="75"/>
      <c r="I66" s="75"/>
      <c r="J66" s="75"/>
      <c r="K66" s="75"/>
      <c r="L66" s="75"/>
      <c r="M66" s="75"/>
      <c r="N66" s="174"/>
      <c r="O66" s="75"/>
      <c r="P66" s="75"/>
      <c r="Q66" s="75"/>
      <c r="R66" s="75"/>
      <c r="S66" s="75"/>
      <c r="T66" s="75"/>
      <c r="U66" s="75"/>
      <c r="V66" s="75"/>
      <c r="W66" s="75"/>
      <c r="X66" s="75"/>
      <c r="Y66" s="75"/>
      <c r="Z66" s="75"/>
      <c r="AA66" s="75"/>
      <c r="AB66" s="75"/>
      <c r="AC66" s="75"/>
      <c r="AD66" s="75"/>
      <c r="AE66" s="75"/>
    </row>
  </sheetData>
  <mergeCells count="5">
    <mergeCell ref="O3:S3"/>
    <mergeCell ref="O4:S4"/>
    <mergeCell ref="B5:R5"/>
    <mergeCell ref="B6:R6"/>
    <mergeCell ref="B7:R7"/>
  </mergeCells>
  <printOptions horizontalCentered="1"/>
  <pageMargins left="0" right="0" top="0.5" bottom="0.5" header="0.3" footer="0.3"/>
  <pageSetup paperSize="5" scale="76" orientation="landscape" r:id="rId1"/>
  <headerFooter scaleWithDoc="0" alignWithMargins="0">
    <oddHeader>&amp;RDocket No. UG-200568
Exhibit _____ (MCP-10)
Page 1 of 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30"/>
  <sheetViews>
    <sheetView workbookViewId="0">
      <selection activeCell="B14" sqref="B14"/>
    </sheetView>
  </sheetViews>
  <sheetFormatPr defaultRowHeight="15.75"/>
  <cols>
    <col min="1" max="1" width="76.42578125" style="97" bestFit="1" customWidth="1"/>
    <col min="2" max="16384" width="9.140625" style="97"/>
  </cols>
  <sheetData>
    <row r="1" spans="1:1">
      <c r="A1" s="15" t="s">
        <v>1842</v>
      </c>
    </row>
    <row r="2" spans="1:1">
      <c r="A2" s="15" t="s">
        <v>1988</v>
      </c>
    </row>
    <row r="3" spans="1:1">
      <c r="A3" s="15" t="s">
        <v>1843</v>
      </c>
    </row>
    <row r="4" spans="1:1">
      <c r="A4" s="16"/>
    </row>
    <row r="5" spans="1:1">
      <c r="A5" s="17"/>
    </row>
    <row r="6" spans="1:1">
      <c r="A6" s="17"/>
    </row>
    <row r="7" spans="1:1">
      <c r="A7" s="17"/>
    </row>
    <row r="8" spans="1:1">
      <c r="A8" s="17"/>
    </row>
    <row r="9" spans="1:1">
      <c r="A9" s="17"/>
    </row>
    <row r="10" spans="1:1">
      <c r="A10" s="17"/>
    </row>
    <row r="11" spans="1:1">
      <c r="A11" s="17"/>
    </row>
    <row r="12" spans="1:1">
      <c r="A12" s="17"/>
    </row>
    <row r="13" spans="1:1">
      <c r="A13" s="17"/>
    </row>
    <row r="14" spans="1:1">
      <c r="A14" s="17"/>
    </row>
    <row r="15" spans="1:1">
      <c r="A15" s="17"/>
    </row>
    <row r="16" spans="1:1">
      <c r="A16" s="18"/>
    </row>
    <row r="17" spans="1:1">
      <c r="A17" s="18"/>
    </row>
    <row r="18" spans="1:1">
      <c r="A18" s="17"/>
    </row>
    <row r="19" spans="1:1">
      <c r="A19" s="18" t="s">
        <v>120</v>
      </c>
    </row>
    <row r="20" spans="1:1">
      <c r="A20" s="18"/>
    </row>
    <row r="21" spans="1:1">
      <c r="A21" s="18" t="s">
        <v>1284</v>
      </c>
    </row>
    <row r="22" spans="1:1">
      <c r="A22" s="18"/>
    </row>
    <row r="23" spans="1:1">
      <c r="A23" s="18"/>
    </row>
    <row r="24" spans="1:1">
      <c r="A24" s="19" t="s">
        <v>1989</v>
      </c>
    </row>
    <row r="25" spans="1:1">
      <c r="A25" s="18"/>
    </row>
    <row r="26" spans="1:1">
      <c r="A26" s="18"/>
    </row>
    <row r="27" spans="1:1">
      <c r="A27" s="18"/>
    </row>
    <row r="28" spans="1:1">
      <c r="A28" s="18"/>
    </row>
    <row r="29" spans="1:1">
      <c r="A29" s="18"/>
    </row>
    <row r="30" spans="1:1">
      <c r="A30" s="350" t="s">
        <v>2454</v>
      </c>
    </row>
  </sheetData>
  <pageMargins left="0.7" right="0.7" top="0.75" bottom="0.75" header="0.3" footer="0.3"/>
  <pageSetup fitToHeight="0" orientation="portrait" useFirstPageNumber="1" r:id="rId1"/>
  <headerFooter differentFirst="1" scaleWithDoc="0" alignWithMargins="0">
    <oddHeader>&amp;RDocket No. UG-170929
Exhibit _____ (MPP-12)
Page &amp;P of 3</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A9B141868A9DE943AC0520515758323A" ma:contentTypeVersion="44" ma:contentTypeDescription="" ma:contentTypeScope="" ma:versionID="495a5c5da9dc688e04dc96aba610800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Formal</CaseStatus>
    <OpenedDate xmlns="dc463f71-b30c-4ab2-9473-d307f9d35888">2020-06-19T07:00:00+00:00</OpenedDate>
    <SignificantOrder xmlns="dc463f71-b30c-4ab2-9473-d307f9d35888">false</SignificantOrder>
    <Date1 xmlns="dc463f71-b30c-4ab2-9473-d307f9d35888">2020-07-27T07:00:00+00:00</Date1>
    <IsDocumentOrder xmlns="dc463f71-b30c-4ab2-9473-d307f9d35888">false</IsDocumentOrder>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200568</DocketNumber>
    <DelegatedOrder xmlns="dc463f71-b30c-4ab2-9473-d307f9d35888">false</DelegatedOrder>
  </documentManagement>
</p:properties>
</file>

<file path=customXml/itemProps1.xml><?xml version="1.0" encoding="utf-8"?>
<ds:datastoreItem xmlns:ds="http://schemas.openxmlformats.org/officeDocument/2006/customXml" ds:itemID="{A042F89A-CFF3-4E6B-AD75-3C7A326C29A4}"/>
</file>

<file path=customXml/itemProps2.xml><?xml version="1.0" encoding="utf-8"?>
<ds:datastoreItem xmlns:ds="http://schemas.openxmlformats.org/officeDocument/2006/customXml" ds:itemID="{20814EE1-A3D5-463F-B19A-5A4F75C25519}"/>
</file>

<file path=customXml/itemProps3.xml><?xml version="1.0" encoding="utf-8"?>
<ds:datastoreItem xmlns:ds="http://schemas.openxmlformats.org/officeDocument/2006/customXml" ds:itemID="{38D4509F-74FF-4DF4-9F35-1783F33A405F}"/>
</file>

<file path=customXml/itemProps4.xml><?xml version="1.0" encoding="utf-8"?>
<ds:datastoreItem xmlns:ds="http://schemas.openxmlformats.org/officeDocument/2006/customXml" ds:itemID="{F24CC80C-B109-48F3-BF56-8D8D267099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vt:i4>
      </vt:variant>
    </vt:vector>
  </HeadingPairs>
  <TitlesOfParts>
    <vt:vector size="52" baseType="lpstr">
      <vt:lpstr>Cover Page MCP-8</vt:lpstr>
      <vt:lpstr>Exh MCP-8 - ROO Summary Sheet</vt:lpstr>
      <vt:lpstr>Cover Page MCP-9</vt:lpstr>
      <vt:lpstr>Exh MCP-9 - Rev Req Calc</vt:lpstr>
      <vt:lpstr>Cover Page MCP-4</vt:lpstr>
      <vt:lpstr>Exh MCP-4 - Conversion Factor</vt:lpstr>
      <vt:lpstr>Cover Page MCP-10</vt:lpstr>
      <vt:lpstr>Exh MCP-10 - Summary of Adj</vt:lpstr>
      <vt:lpstr>Cover Page MCP-6</vt:lpstr>
      <vt:lpstr>MCP-6 - 2020 Plant Additions</vt:lpstr>
      <vt:lpstr>MCP-6 - Supporting Explanations</vt:lpstr>
      <vt:lpstr>Workpaper - Support Documents &gt;</vt:lpstr>
      <vt:lpstr>Index</vt:lpstr>
      <vt:lpstr>Operating Report</vt:lpstr>
      <vt:lpstr>Rate Base</vt:lpstr>
      <vt:lpstr>Plant in Serv &amp; Accum Depr</vt:lpstr>
      <vt:lpstr>Adv for Const. &amp; Def Tax</vt:lpstr>
      <vt:lpstr>Capital Structure Calculation</vt:lpstr>
      <vt:lpstr>State Allocation Formulas</vt:lpstr>
      <vt:lpstr>Adjustment Workpapers---&gt;</vt:lpstr>
      <vt:lpstr>Annualize CRM Adjustment</vt:lpstr>
      <vt:lpstr>Advertising Adj</vt:lpstr>
      <vt:lpstr>Restate Revenues Adjustment</vt:lpstr>
      <vt:lpstr>EOP Revenue Adjustment</vt:lpstr>
      <vt:lpstr>EOP Depreciation Expense Adj</vt:lpstr>
      <vt:lpstr>Restate &amp; Pro Forma Wage Adjust</vt:lpstr>
      <vt:lpstr>Executive Incentives</vt:lpstr>
      <vt:lpstr>Interest Coord. Adj.</vt:lpstr>
      <vt:lpstr>Pro Forma Plant Additions</vt:lpstr>
      <vt:lpstr>MAOP UG-160787 Deferral</vt:lpstr>
      <vt:lpstr> Working Capital (AMA)</vt:lpstr>
      <vt:lpstr>'Annualize CRM Adjustment'!Print_Area</vt:lpstr>
      <vt:lpstr>'Capital Structure Calculation'!Print_Area</vt:lpstr>
      <vt:lpstr>'EOP Revenue Adjustment'!Print_Area</vt:lpstr>
      <vt:lpstr>'Exh MCP-10 - Summary of Adj'!Print_Area</vt:lpstr>
      <vt:lpstr>'Exh MCP-8 - ROO Summary Sheet'!Print_Area</vt:lpstr>
      <vt:lpstr>Index!Print_Area</vt:lpstr>
      <vt:lpstr>'MCP-6 - Supporting Explanations'!Print_Area</vt:lpstr>
      <vt:lpstr>'Operating Report'!Print_Area</vt:lpstr>
      <vt:lpstr>'Pro Forma Plant Additions'!Print_Area</vt:lpstr>
      <vt:lpstr>'Restate &amp; Pro Forma Wage Adjust'!Print_Area</vt:lpstr>
      <vt:lpstr>'Restate Revenues Adjustment'!Print_Area</vt:lpstr>
      <vt:lpstr>'State Allocation Formulas'!Print_Area</vt:lpstr>
      <vt:lpstr>'Workpaper - Support Documents &gt;'!Print_Area</vt:lpstr>
      <vt:lpstr>' Working Capital (AMA)'!Print_Titles</vt:lpstr>
      <vt:lpstr>'Adv for Const. &amp; Def Tax'!Print_Titles</vt:lpstr>
      <vt:lpstr>'Advertising Adj'!Print_Titles</vt:lpstr>
      <vt:lpstr>'MCP-6 - 2020 Plant Additions'!Print_Titles</vt:lpstr>
      <vt:lpstr>'MCP-6 - Supporting Explanations'!Print_Titles</vt:lpstr>
      <vt:lpstr>'Operating Report'!Print_Titles</vt:lpstr>
      <vt:lpstr>'Plant in Serv &amp; Accum Depr'!Print_Titles</vt:lpstr>
      <vt:lpstr>'Restate &amp; Pro Forma Wage Adjust'!Print_Titles</vt:lpstr>
    </vt:vector>
  </TitlesOfParts>
  <Company>MDU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Peters, Maryalice</cp:lastModifiedBy>
  <cp:lastPrinted>2020-07-22T15:29:11Z</cp:lastPrinted>
  <dcterms:created xsi:type="dcterms:W3CDTF">2014-12-11T21:48:04Z</dcterms:created>
  <dcterms:modified xsi:type="dcterms:W3CDTF">2020-07-24T17:16:46Z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0x0101006E56B4D1795A2E4DB2F0B01679ED314A00A9B141868A9DE943AC0520515758323A</vt:lpwstr>
  </property>
  <property fmtid="{D5CDD505-2E9C-101B-9397-08002B2CF9AE}" pid="3" name="_docset_NoMedatataSyncRequired">
    <vt:lpwstr>False</vt:lpwstr>
  </property>
  <property fmtid="{D5CDD505-2E9C-101B-9397-08002B2CF9AE}" pid="4" name="IsEFSEC">
    <vt:bool>false</vt:bool>
  </property>
</Properties>
</file>