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480" windowHeight="7935" tabRatio="616" activeTab="0"/>
  </bookViews>
  <sheets>
    <sheet name="MJS-4 " sheetId="1" r:id="rId1"/>
  </sheets>
  <externalReferences>
    <externalReference r:id="rId4"/>
    <externalReference r:id="rId5"/>
    <externalReference r:id="rId6"/>
  </externalReferences>
  <definedNames>
    <definedName name="__123Graph_ECURRENT" hidden="1">#N/A</definedName>
    <definedName name="_4.01">'MJS-4 '!$A$2:$F$58</definedName>
    <definedName name="_4.02">'MJS-4 '!$G$2:$K$60</definedName>
    <definedName name="_4.03">'MJS-4 '!$L$2:$P$67</definedName>
    <definedName name="_4.04">'MJS-4 '!$Q$2:$U$35</definedName>
    <definedName name="_4.05">'MJS-4 '!$V$2:$Y$34</definedName>
    <definedName name="_4.06">'MJS-4 '!$Z$2:$AD$43</definedName>
    <definedName name="_4.07">'MJS-4 '!$AE$2:$AI$38</definedName>
    <definedName name="_4.08">'MJS-4 '!$AJ$2:$AN$29</definedName>
    <definedName name="_4.09">'MJS-4 '!$AO$2:$AS$54</definedName>
    <definedName name="_4.10">'MJS-4 '!$AT$2:$AX$20</definedName>
    <definedName name="_4.11">'MJS-4 '!$AY$2:$BB$25</definedName>
    <definedName name="_4.12">'MJS-4 '!$BC$2:$BG$22</definedName>
    <definedName name="_4.13">'MJS-4 '!$BH$2:$BL$39</definedName>
    <definedName name="_4.14">'MJS-4 '!$BM$2:$BP$47</definedName>
    <definedName name="_4.15">'MJS-4 '!$BQ$2:$BS$27</definedName>
    <definedName name="_4.16">'MJS-4 '!$BT$2:$BX$21</definedName>
    <definedName name="_4.17">'MJS-4 '!$BY$2:$CC$22</definedName>
    <definedName name="_4.18">'MJS-4 '!$CD$2:$CJ$32</definedName>
    <definedName name="_4.19">'MJS-4 '!$CK$2:$CO$42</definedName>
    <definedName name="_4.20">'MJS-4 '!$CP$2:$CS$26</definedName>
    <definedName name="_4.21">'MJS-4 '!$CT$2:$CX$33</definedName>
    <definedName name="_4.22">'MJS-4 '!$CY$2:$DC$22</definedName>
    <definedName name="_4.23">'MJS-4 '!$DD$2:$DH$34</definedName>
    <definedName name="_4A">'MJS-4 '!$DO$2:$DV$60</definedName>
    <definedName name="_4B">'MJS-4 '!$DW$2:$EE$60</definedName>
    <definedName name="_4C">'MJS-4 '!$EF$2:$EM$60</definedName>
    <definedName name="_4D">'MJS-4 '!$EN$2:$EV$60</definedName>
    <definedName name="_5.01">'MJS-4 '!$DI$58:$DM$84</definedName>
    <definedName name="_5.02">'MJS-4 '!$DI$34:$DM$57</definedName>
    <definedName name="_5.03">'MJS-4 '!$DI$2:$DM$32</definedName>
    <definedName name="_FEDERAL_INCOME_TAX">'MJS-4 '!$DL$21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'MJS-4 '!$A$9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'[3]Model'!$GK$20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'MJS-4 '!$A$6:$DH$60</definedName>
    <definedName name="PSE">'MJS-4 '!$A$6</definedName>
    <definedName name="STATE_UTILITY_TAX">'MJS-4 '!$DL$16</definedName>
    <definedName name="SUMMARY">'MJS-4 '!$EW$2:$FC$60</definedName>
    <definedName name="TEST0">#REF!</definedName>
    <definedName name="TESTHKEY">#REF!</definedName>
    <definedName name="TESTKEYS">#REF!</definedName>
    <definedName name="TESTVKEY">#REF!</definedName>
    <definedName name="TESTYEAR">'MJS-4 '!$A$8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UTC_FILING_FEE">'MJS-4 '!$DM$15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0" hidden="1">'MJS-4 '!#REF!</definedName>
    <definedName name="Z_1B900283_A429_4403_A9D8_C71CBE042C5B_.wvu.PrintArea" localSheetId="0" hidden="1">'MJS-4 '!$BT$3:$BX$26</definedName>
    <definedName name="Z_1C1C43A1_DC1D_4B83_8878_3010F6B52F39_.wvu.PrintArea" localSheetId="0" hidden="1">'MJS-4 '!$BY$3:$CC$24</definedName>
    <definedName name="Z_1E45DDAB_A557_4269_B1F7_CCA75743796E_.wvu.PrintArea" localSheetId="0" hidden="1">'MJS-4 '!$V$3:$Y$37</definedName>
    <definedName name="Z_2C3700F5_7337_49E6_9C17_9B49CE910373_.wvu.PrintArea" localSheetId="0" hidden="1">'MJS-4 '!$AO$3:$AS$60</definedName>
    <definedName name="Z_31DFCE0A_9DA6_4A87_B609_465F85B537E0_.wvu.PrintArea" localSheetId="0" hidden="1">'MJS-4 '!$A$3:$F$59</definedName>
    <definedName name="Z_363BCC7B_365C_4862_8308_FD01127C4AC4_.wvu.PrintArea" localSheetId="0" hidden="1">'MJS-4 '!$AY$3:$BB$26</definedName>
    <definedName name="Z_368BDFFC_8B6F_4E1E_88F3_F226428845CF_.wvu.PrintArea" localSheetId="0" hidden="1">'MJS-4 '!$CD$3:$CJ$35</definedName>
    <definedName name="Z_3CBED636_2D45_404E_AAC8_3EE8AD1E87DC_.wvu.PrintArea" localSheetId="0" hidden="1">'MJS-4 '!$DI$3:$DM$31</definedName>
    <definedName name="Z_416960AD_1B0E_43B1_BBE2_4C2BAE619099_.wvu.PrintArea" localSheetId="0" hidden="1">'MJS-4 '!$CK$3:$CO$39</definedName>
    <definedName name="Z_4D415296_881A_4775_98CD_22EFE3033486_.wvu.PrintArea" localSheetId="0" hidden="1">'MJS-4 '!$BM$3:$BP$44</definedName>
    <definedName name="Z_5528C217_5C85_409E_BEF2_118EFA30D59F_.wvu.PrintArea" localSheetId="0" hidden="1">'MJS-4 '!$DI$35:$DM$57</definedName>
    <definedName name="Z_57344CAB_EDB4_4D23_8F83_6632FA133D6F_.wvu.PrintArea" localSheetId="0" hidden="1">'MJS-4 '!$AT$3:$AX$25</definedName>
    <definedName name="Z_6734E4FA_60B7_471C_AEFF_A65F9BB053D8_.wvu.Cols" localSheetId="0" hidden="1">'MJS-4 '!#REF!,'MJS-4 '!#REF!</definedName>
    <definedName name="Z_6734E4FA_60B7_471C_AEFF_A65F9BB053D8_.wvu.PrintArea" localSheetId="0" hidden="1">'MJS-4 '!$DO$3:$FC$61</definedName>
    <definedName name="Z_70410578_0BAB_407F_B45A_A1FD00E78914_.wvu.PrintArea" localSheetId="0" hidden="1">'MJS-4 '!#REF!</definedName>
    <definedName name="Z_833E8250_6973_4555_A9B1_5ACEC89F3481_.wvu.PrintArea" localSheetId="0" hidden="1">'MJS-4 '!$AJ$3:$AN$28</definedName>
    <definedName name="Z_9BA720D1_BA25_4C52_A40B_874BAF7D1762_.wvu.PrintArea" localSheetId="0" hidden="1">'MJS-4 '!$CD$3:$CJ$38</definedName>
    <definedName name="Z_A74B7FED_837E_46BE_A86A_510E0683DF4F_.wvu.PrintArea" localSheetId="0" hidden="1">'MJS-4 '!$DI$58:$DM$66</definedName>
    <definedName name="Z_BEBB2007_766E_4870_AB0B_58E56CB3F651_.wvu.PrintArea" localSheetId="0" hidden="1">'MJS-4 '!$BH$4:$CX$35</definedName>
    <definedName name="Z_DF51FD8A_8BA9_46B7_B455_DFD0D532E42D_.wvu.PrintArea" localSheetId="0" hidden="1">'MJS-4 '!$Q$3:$U$44</definedName>
    <definedName name="Z_E75FE358_FE2D_4487_BA5A_B5AB72EE82DF_.wvu.PrintArea" localSheetId="0" hidden="1">'MJS-4 '!$CT$3:$CX$26</definedName>
    <definedName name="Z_F0C9B202_A28C_4D84_9483_9F8FC93D796D_.wvu.PrintArea" localSheetId="0" hidden="1">'MJS-4 '!$DI$59:$DM$66</definedName>
  </definedNames>
  <calcPr fullCalcOnLoad="1"/>
</workbook>
</file>

<file path=xl/sharedStrings.xml><?xml version="1.0" encoding="utf-8"?>
<sst xmlns="http://schemas.openxmlformats.org/spreadsheetml/2006/main" count="865" uniqueCount="396">
  <si>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</si>
  <si>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</si>
  <si>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</si>
  <si>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</si>
  <si>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</si>
  <si>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</si>
  <si>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</si>
  <si>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</si>
  <si>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</si>
  <si>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</si>
  <si>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</si>
  <si>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</si>
  <si>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</si>
  <si>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</si>
  <si>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</si>
  <si>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</si>
  <si>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</si>
  <si>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</si>
  <si>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</si>
  <si>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</si>
  <si>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PUGET SOUND ENERGY-GAS</t>
  </si>
  <si>
    <t xml:space="preserve">PUGET SOUND ENERGY-GAS </t>
  </si>
  <si>
    <t>RESTATED PROPERTY TAX</t>
  </si>
  <si>
    <t>CONVERSION FACTOR</t>
  </si>
  <si>
    <t>RESULTS OF OPERATIONS</t>
  </si>
  <si>
    <t>&gt;</t>
  </si>
  <si>
    <t>LINE</t>
  </si>
  <si>
    <t>INCREASE</t>
  </si>
  <si>
    <t xml:space="preserve">LINE </t>
  </si>
  <si>
    <t>ACTUAL RESULTS OF</t>
  </si>
  <si>
    <t xml:space="preserve">FEDERAL </t>
  </si>
  <si>
    <t>TAX BENEFIT OF</t>
  </si>
  <si>
    <t xml:space="preserve">BAD </t>
  </si>
  <si>
    <t>MISCELLANEOUS</t>
  </si>
  <si>
    <t xml:space="preserve">PROPERTY 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</si>
  <si>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</si>
  <si>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</si>
  <si>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</si>
  <si>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</si>
  <si>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</si>
  <si>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</si>
  <si>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</si>
  <si>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</si>
  <si>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</si>
  <si>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</si>
  <si>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</si>
  <si>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</si>
  <si>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</si>
  <si>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</si>
  <si>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</si>
  <si>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</si>
  <si>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</si>
  <si>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</si>
  <si>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TAXES</t>
  </si>
  <si>
    <t>SALES</t>
  </si>
  <si>
    <t>INSURANCE</t>
  </si>
  <si>
    <t>PLAN</t>
  </si>
  <si>
    <t>EXPENSES</t>
  </si>
  <si>
    <t>RESULTS OF</t>
  </si>
  <si>
    <t>BASE</t>
  </si>
  <si>
    <t>RATE</t>
  </si>
  <si>
    <t>1</t>
  </si>
  <si>
    <t>TAXABLE INCOME</t>
  </si>
  <si>
    <t>INTEREST EXPENSE ITEMS PER BOOKS:</t>
  </si>
  <si>
    <t>-</t>
  </si>
  <si>
    <t>CHARGED TO EXPENSE IN TY</t>
  </si>
  <si>
    <t>OPERATING REVENUES</t>
  </si>
  <si>
    <t>INCREASE (DECREASE) EXPENSE</t>
  </si>
  <si>
    <t>INCREASE(DECREASE) EXPENSE</t>
  </si>
  <si>
    <t xml:space="preserve">FEDERAL INCOME TAX </t>
  </si>
  <si>
    <t>INCENTIVE/MERIT PAY</t>
  </si>
  <si>
    <t xml:space="preserve">   CURRENT FIT    @</t>
  </si>
  <si>
    <t>MUNICIPAL ADDITIONS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</si>
  <si>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</si>
  <si>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</si>
  <si>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</si>
  <si>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</si>
  <si>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</si>
  <si>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 (DECREASE) IN EXPENSE</t>
  </si>
  <si>
    <t>INCREASE(DECREASE) NOI</t>
  </si>
  <si>
    <t xml:space="preserve">   DEFERRED FIT - CREDIT</t>
  </si>
  <si>
    <t>ADJUSTMENT TO RATE BASE</t>
  </si>
  <si>
    <t>INCREASE (DECREASE) NOI</t>
  </si>
  <si>
    <t xml:space="preserve">   DEFERRED FIT - INV TAX CREDIT, NET OF AMORTIZATION</t>
  </si>
  <si>
    <t>TRANSMISSION</t>
  </si>
  <si>
    <t>OPERATING EXPENSE</t>
  </si>
  <si>
    <t xml:space="preserve">                    TOTAL RESTATED FIT</t>
  </si>
  <si>
    <t>DISTRIBUTION</t>
  </si>
  <si>
    <t>INCREASE(DECREASE) FIT</t>
  </si>
  <si>
    <t>CUSTOMER ACCTS</t>
  </si>
  <si>
    <t>SALARIED EMPLOYEES</t>
  </si>
  <si>
    <t>FIT PER BOOKS:</t>
  </si>
  <si>
    <t>CUSTOMER SERVICE</t>
  </si>
  <si>
    <t>UNION EMPLOYEES</t>
  </si>
  <si>
    <t xml:space="preserve">   CURRENT FIT    </t>
  </si>
  <si>
    <t>ADMIN. &amp; GENERAL</t>
  </si>
  <si>
    <t>PRO FORMA INSURANCE COSTS</t>
  </si>
  <si>
    <t>TOTAL WAGE INCREASE</t>
  </si>
  <si>
    <t>APPLICABLE TO OPERATIONS @</t>
  </si>
  <si>
    <t>FEDERAL INCOME TAX</t>
  </si>
  <si>
    <t xml:space="preserve">                    TOTAL CHARGED TO EXPENSE</t>
  </si>
  <si>
    <t>INCREASE(DECREASE) DEFERRED FIT</t>
  </si>
  <si>
    <t>OTHER POWER SUPPLY EXPENSES</t>
  </si>
  <si>
    <t>INCREASE(DECREASE) ITC</t>
  </si>
  <si>
    <t xml:space="preserve">INCREASE(DECREASE) NOI </t>
  </si>
  <si>
    <t>COST OF</t>
  </si>
  <si>
    <t>COST %</t>
  </si>
  <si>
    <t>CAPITAL</t>
  </si>
  <si>
    <t>CUSTOMER ACCOUNT EXPENSES</t>
  </si>
  <si>
    <t xml:space="preserve">   </t>
  </si>
  <si>
    <t>AMORTIZATION OF PROPERTY LOSS</t>
  </si>
  <si>
    <t>CAPITAL %</t>
  </si>
  <si>
    <t>PREFERRED</t>
  </si>
  <si>
    <t>EQUITY</t>
  </si>
  <si>
    <t>RATEBASE</t>
  </si>
  <si>
    <t>GENERAL RATE INCREASE</t>
  </si>
  <si>
    <t>RATE BASE</t>
  </si>
  <si>
    <t>QUALIFIED RETIREMENT FUND</t>
  </si>
  <si>
    <t>TOTAL ADJUSTMENT TO RATEBASE</t>
  </si>
  <si>
    <t>STATEMENT OF OPERATING INCOME AND ADJUSTMENTS</t>
  </si>
  <si>
    <t>INVESTMENT PLAN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</si>
  <si>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</si>
  <si>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</si>
  <si>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</si>
  <si>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</si>
  <si>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</si>
  <si>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</si>
  <si>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OTHER ENERGY SUPPLY EXPENSES</t>
  </si>
  <si>
    <t>INVESTMENT PLAN APPLICABLE TO MANAGEMENT</t>
  </si>
  <si>
    <t>TOTAL COMPANY CONTRIBUTION FOR MANAGEMENT</t>
  </si>
  <si>
    <t>PRO FORMA COSTS APPLICABLE TO OPERATIONS</t>
  </si>
  <si>
    <t>WEIGHTED COST OF DEBT</t>
  </si>
  <si>
    <t>INTEREST ON LONG TERM DEBT</t>
  </si>
  <si>
    <t>AMORTIZATION OF DEBT DISCOUNT</t>
  </si>
  <si>
    <t xml:space="preserve">    AND EXPENSE, NET OF PREMIUMS</t>
  </si>
  <si>
    <t>OTHER INTEREST EXPENSE</t>
  </si>
  <si>
    <t>CHARGED TO EXPENSE IN TEST YEAR</t>
  </si>
  <si>
    <t xml:space="preserve">INCREASE (DECREASE) FIT @ </t>
  </si>
  <si>
    <t>WAGE</t>
  </si>
  <si>
    <t>RATE BASE: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</si>
  <si>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</si>
  <si>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</si>
  <si>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</si>
  <si>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</si>
  <si>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</si>
  <si>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</si>
  <si>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</si>
  <si>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</si>
  <si>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</si>
  <si>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</si>
  <si>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</si>
  <si>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</si>
  <si>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</si>
  <si>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</si>
  <si>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</si>
  <si>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</si>
  <si>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</si>
  <si>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</si>
  <si>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</si>
  <si>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</si>
  <si>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TAX BENEFIT OF PRO FORMA INTEREST</t>
  </si>
  <si>
    <t>BAD DEBTS</t>
  </si>
  <si>
    <t>MISCELLANEOUS OPERATING EXPENSE</t>
  </si>
  <si>
    <t>PROPERTY TAXES</t>
  </si>
  <si>
    <t>WAGE INCREASE</t>
  </si>
  <si>
    <t>EMPLOYEE INSURANCE</t>
  </si>
  <si>
    <t>RATE CASE EXPENSES</t>
  </si>
  <si>
    <t>PROPERTY &amp; LIABILITY INSURANCE</t>
  </si>
  <si>
    <t>EXCISE TAX &amp; FILING FEE</t>
  </si>
  <si>
    <t>REVENUE &amp;</t>
  </si>
  <si>
    <t>PRO FORMA INTEREST</t>
  </si>
  <si>
    <t>EXCISE TAX &amp;</t>
  </si>
  <si>
    <t>FILING FEE</t>
  </si>
  <si>
    <t>RESTATING AND PRO FORMA ADJUSTMENTS</t>
  </si>
  <si>
    <t>PENSION PLAN</t>
  </si>
  <si>
    <t>PENSION</t>
  </si>
  <si>
    <t>GAS COSTS:</t>
  </si>
  <si>
    <t xml:space="preserve"> PURCHASED GAS</t>
  </si>
  <si>
    <t>PRO FORMA</t>
  </si>
  <si>
    <t>PRO FORMA COST OF CAPITAL</t>
  </si>
  <si>
    <t>TOTAL AFTER TAX COST OF CAPITAL</t>
  </si>
  <si>
    <t>RESTATED /</t>
  </si>
  <si>
    <t>PAYROLL TAXES</t>
  </si>
  <si>
    <t>INCREASE(DECREASE) OPERATING EXPENSE</t>
  </si>
  <si>
    <t>@</t>
  </si>
  <si>
    <t>INCREASE (DECREASE) OPERATING EXPENSE</t>
  </si>
  <si>
    <t>SERP PLAN</t>
  </si>
  <si>
    <t>Rate Increase</t>
  </si>
  <si>
    <t>DEPRECIATION</t>
  </si>
  <si>
    <t>3-Yr Average of Net Write Off Rate</t>
  </si>
  <si>
    <t>Test Period Revenues</t>
  </si>
  <si>
    <t>PROFORMA BAD DEBT RATE</t>
  </si>
  <si>
    <t>PROFORMA BAD DEBTS</t>
  </si>
  <si>
    <t>UNCOLLECTIBLES CHARGED TO EXPENSE IN TEST YEAR</t>
  </si>
  <si>
    <t>PREFERRED STOCK</t>
  </si>
  <si>
    <t>INCENTIVE PAY</t>
  </si>
  <si>
    <t>OPERATING INCOME REQUIREMENT</t>
  </si>
  <si>
    <t>PRO FORMA OPERATING INCOME</t>
  </si>
  <si>
    <t>OPERATING INCOME DEFICIENCY</t>
  </si>
  <si>
    <t>FAS 133</t>
  </si>
  <si>
    <t>NET</t>
  </si>
  <si>
    <t>GROSS</t>
  </si>
  <si>
    <t>WRITEOFFS</t>
  </si>
  <si>
    <t>REVENUES</t>
  </si>
  <si>
    <t>DEFERRED GAINS/</t>
  </si>
  <si>
    <t>LOSSES PROP SALES</t>
  </si>
  <si>
    <t>D&amp;O INSURANCE</t>
  </si>
  <si>
    <t>D &amp; O INS. CHG  EXPENSE</t>
  </si>
  <si>
    <t>INCREASE (DECREASE) D&amp;O EXPENSE</t>
  </si>
  <si>
    <t>D&amp;O</t>
  </si>
  <si>
    <t xml:space="preserve">  OTHER</t>
  </si>
  <si>
    <t xml:space="preserve">  UTILITY PLANT IN SERVICE</t>
  </si>
  <si>
    <t>EXPENSES TO BE NORMALIZED:</t>
  </si>
  <si>
    <t>TOTAL INCREASE (DECREASE) EXPENSE</t>
  </si>
  <si>
    <t>LESS TEST YEAR EXPENSE:  GRC DIRECT CHARGES TO O&amp;M</t>
  </si>
  <si>
    <t>INTEREST ON</t>
  </si>
  <si>
    <t>CUSTOMER DEPOSITS</t>
  </si>
  <si>
    <t>INTEREST ON CUSTOMER DEPOSITS</t>
  </si>
  <si>
    <t>INTEREST EXPENSE FOR TEST YEAR</t>
  </si>
  <si>
    <t>DEFERRED GAINS/LOSSES ON PROPERTY SALES</t>
  </si>
  <si>
    <t>INCREASE (DECREASE) FIT @ 35%</t>
  </si>
  <si>
    <t>INCREASE (DECREASE) EXPENSE  (Line 5 - Line 7)</t>
  </si>
  <si>
    <t>INCREASE (DECREASE) IN OPERATING EXPENSE</t>
  </si>
  <si>
    <t>LESS INTEREST ON CUSTOMER DEPOSITS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</si>
  <si>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</si>
  <si>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</si>
  <si>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</si>
  <si>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</si>
  <si>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</si>
  <si>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</si>
  <si>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</si>
  <si>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</si>
  <si>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ANNUAL NORMALIZATION (LINE 22 / 2 YEARS)</t>
  </si>
  <si>
    <t>TOTAL INCENTIVE PAY</t>
  </si>
  <si>
    <t>NET RATE BASE</t>
  </si>
  <si>
    <t>PROFORMA INTEREST</t>
  </si>
  <si>
    <t>INCOME TAXES</t>
  </si>
  <si>
    <t>TAXES OTHER THAN INCOME TAXES</t>
  </si>
  <si>
    <t>TOTAL DEFERRED NET (GAIN) LOSS TO AMORTIZE</t>
  </si>
  <si>
    <t>AMORTIZATION OF DEFERRED NET (GAIN) LOSS FOR RATE YEAR (Line 3/3years)</t>
  </si>
  <si>
    <t>AMORTIZATION OF DEFERRED NET (GAIN) LOSS FOR TEST YEAR</t>
  </si>
  <si>
    <t>INTEREST ON PREFERRED STOCK</t>
  </si>
  <si>
    <t xml:space="preserve">OPERATING EXPENSES </t>
  </si>
  <si>
    <t>INCREASE (DECREASE) INCOME</t>
  </si>
  <si>
    <t>CHARGED TO EXPENSE 09/30/07</t>
  </si>
  <si>
    <t>TEMPERATURE NORMALIZATION</t>
  </si>
  <si>
    <t>TEMPERATURE</t>
  </si>
  <si>
    <t>NORMALIZATION</t>
  </si>
  <si>
    <t>TEMPERATURE NORMALIZATION ADJUSTMENT:</t>
  </si>
  <si>
    <t>TEMP ADJ</t>
  </si>
  <si>
    <t>CHANGE</t>
  </si>
  <si>
    <t>REVENUE ADJUSTMENT:</t>
  </si>
  <si>
    <t>INCREASE (DECREASE) SALES TO CUSTOMERS</t>
  </si>
  <si>
    <t>UNCOLLECTIBLES @</t>
  </si>
  <si>
    <t>ANNUAL FILING FEE @</t>
  </si>
  <si>
    <t>INCREASE (DECREASE) EXPENSES</t>
  </si>
  <si>
    <t>STATE UTILITY TAX @</t>
  </si>
  <si>
    <t>INCREASE (DECREASE) TAXES OTHER</t>
  </si>
  <si>
    <t>THERMS</t>
  </si>
  <si>
    <t>Residential (23, 53)</t>
  </si>
  <si>
    <t>Residential (16)</t>
  </si>
  <si>
    <t>Interruptible (85)</t>
  </si>
  <si>
    <t>Transportation (57)</t>
  </si>
  <si>
    <t>Large volume (41)</t>
  </si>
  <si>
    <t>Compressed natural gas (50)</t>
  </si>
  <si>
    <t>Limited interruptible (86)</t>
  </si>
  <si>
    <t>Non exclusive interruptible (87)</t>
  </si>
  <si>
    <t>ADJUST REVENUE SENSITIVE ITEMS FOR REMOVAL OF REVENUE:</t>
  </si>
  <si>
    <t>PASS THROUGH REVENUE AND EXPENSE</t>
  </si>
  <si>
    <t>PASS THROUGH</t>
  </si>
  <si>
    <t>REVENUE &amp; EXPENSE</t>
  </si>
  <si>
    <t>RATEBASE DETAIL CHECK</t>
  </si>
  <si>
    <t xml:space="preserve">  ACCUMULATED DEFERRED FIT</t>
  </si>
  <si>
    <t>REMOVE PGA DEFERRAL AMORTIZATION EXP - SCHEDULE 106</t>
  </si>
  <si>
    <t>REMOVE MUNICIPAL TAXES ASSOC WITH OTHER OPRTG REV</t>
  </si>
  <si>
    <t>REMOVE MUNICIPAL TAXES ASSOC WITH SALES TO CUSTOMERS</t>
  </si>
  <si>
    <t>INCL. ABOVE</t>
  </si>
  <si>
    <t>INTEREST ON DEBT TO ASSOCIATED COMPANIES</t>
  </si>
  <si>
    <t>ADJUSTMENT TO OPERATING EXPENSES</t>
  </si>
  <si>
    <t>403 DEPRECIATION EXPENSE</t>
  </si>
  <si>
    <t>403 GAS PORTION OF COMMON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</si>
  <si>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</si>
  <si>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</si>
  <si>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</si>
  <si>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</si>
  <si>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</si>
  <si>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</si>
  <si>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4111 ACCRETION EXP. - FAS 143 (RECOVERED IN RATES)</t>
  </si>
  <si>
    <t>4111 ACCRETION EXP. - FAS 143 (NOT RECOVERED IN RATES)</t>
  </si>
  <si>
    <t>SUBTOTAL ACCRETION EXPENSE 411.1</t>
  </si>
  <si>
    <t>FLEET DEPR. EXP. ON INC STMNT NOT RECORDED IN 403</t>
  </si>
  <si>
    <t>SALES TO CUSTOMERS:</t>
  </si>
  <si>
    <t>TRUE UP CHANGE IN UNBILLED</t>
  </si>
  <si>
    <t>OTHER ADJUSTMENTS</t>
  </si>
  <si>
    <t>RESTATING ADJUSTMENTS SALES TO CUSTOMERS</t>
  </si>
  <si>
    <t>TOTAL INCREASE (DECREASE) SALES TO CUSTOMERS</t>
  </si>
  <si>
    <t>RENTALS:</t>
  </si>
  <si>
    <t>ADD GRC INCREASE DOCKET 060266</t>
  </si>
  <si>
    <t>TOTAL INCREASE (DECREASE) OTHER OPERATING REVENUE</t>
  </si>
  <si>
    <t>TOTAL INCREASE (DECREASE) REVENUES</t>
  </si>
  <si>
    <t>RECLASS PENALTIES AND NEW CUSTOMER REVENUE TO</t>
  </si>
  <si>
    <t>OTHER OPERATING</t>
  </si>
  <si>
    <t xml:space="preserve">OCTOBER 2007 PURCHASED GAS </t>
  </si>
  <si>
    <t>ADJUSTMENT, DOCKET UG-071775.</t>
  </si>
  <si>
    <t>RECLASS PENALTIES AND NEW CUSTOMER REVENUE</t>
  </si>
  <si>
    <t>FROM SALES TO CUSTOMERS</t>
  </si>
  <si>
    <t>REVENUE AND EXPENSES</t>
  </si>
  <si>
    <t>OPERATING EXPENSES:</t>
  </si>
  <si>
    <t>PURCHASED GAS COSTS</t>
  </si>
  <si>
    <t>INCREASE IN SERVICE CONTRACT BASELINE CHARGES TSM</t>
  </si>
  <si>
    <t>INCREASE IN SERVICE CONTRACT BASELINE CHARGES DIST</t>
  </si>
  <si>
    <t>ADJUST ACCUM DEPR FOR ADDITIONAL DEPR EXP (50% OF LINE 19)</t>
  </si>
  <si>
    <t>ADJUST ACCUMULATED DFIT FOR ADDITIONAL EXPENSE (50% OF LINE 21)</t>
  </si>
  <si>
    <t>REMOVE REVENUES ASSOCIATED WITH RIDERS:</t>
  </si>
  <si>
    <t>TOTAL (INCREASE) DECREASE REVENUES</t>
  </si>
  <si>
    <t>ANNUAL FILING FEE</t>
  </si>
  <si>
    <t>STATE UTILITY TAX</t>
  </si>
  <si>
    <t>REMOVE EXPENSES ASSOCIATED WITH RIDERS</t>
  </si>
  <si>
    <t>REMOVE LOW INCOME - SCHEDULE 129</t>
  </si>
  <si>
    <t>REMOVE CONSERVATION - SCHEDULE 120</t>
  </si>
  <si>
    <t>REMOVE REVENUE ASSOC WITH PGA AMORTIZATION - SCHEDULE 106</t>
  </si>
  <si>
    <t>REMOVE LOW INCOME AMORTIZATION - SCHEDULE 129</t>
  </si>
  <si>
    <t>REMOVE CONSERVATION AMORTIZATION - SCHEDULE 120</t>
  </si>
  <si>
    <t>INCREASE (DECREASE) IN OPERATING INCOME BEFORE TAXES</t>
  </si>
  <si>
    <t>AMORT OF DEFERRED TAXES OF INDIRECT OVERHEADS</t>
  </si>
  <si>
    <t xml:space="preserve">      REGULATORY ASSET (WUTC DOC # UG-051528)</t>
  </si>
  <si>
    <t xml:space="preserve">SUMMIT BUILDING CONTRACTUAL RENT INCREASES </t>
  </si>
  <si>
    <t xml:space="preserve">     PER ACCOUNTING PETITION #UE-071876</t>
  </si>
  <si>
    <t xml:space="preserve">AMORTIZATION OF SUMMIT BUYOUT PURCHASE OPTION </t>
  </si>
  <si>
    <t>STUDY</t>
  </si>
  <si>
    <t>MERGER SAVINGS</t>
  </si>
  <si>
    <t>DEPRECIATION STUDY</t>
  </si>
  <si>
    <t>INCREASE(DECREASE) DFIT</t>
  </si>
  <si>
    <t>FOR THE TWELVE MONTHS ENDED DECEMBER  31, 2008</t>
  </si>
  <si>
    <t>12ME Dec. 31, 2008</t>
  </si>
  <si>
    <t>ESTIMATED 2006 and 2007 GRC EXPENSES TO BE NORMALIZED</t>
  </si>
  <si>
    <t>ADD GRC INCREASE DOCKET UG-072301</t>
  </si>
  <si>
    <t>MERGER</t>
  </si>
  <si>
    <t>SAVINGS</t>
  </si>
  <si>
    <t>OPERATING EXPENSES</t>
  </si>
  <si>
    <t>MEGER COSTS</t>
  </si>
  <si>
    <t>TOTAL INCREASE (DECREASE) EXPENSES</t>
  </si>
  <si>
    <t>12 MOS ENDED</t>
  </si>
  <si>
    <t>DECEMBER</t>
  </si>
  <si>
    <t>AUGUST</t>
  </si>
  <si>
    <t>COMPANY STORE- NET PUCH/SALES OF MERCHANDISE IN A&amp;G</t>
  </si>
  <si>
    <t xml:space="preserve">SUMMIT BUILDING  RENT INCREASES 4th Floor </t>
  </si>
  <si>
    <t>ATHLETIC EVENTS - CHARGED ABOVE THE LINE</t>
  </si>
  <si>
    <t>FLEET BALANCE</t>
  </si>
  <si>
    <t>ACCUMULATED DEPRECIATION</t>
  </si>
  <si>
    <t>DEFERRED FIT</t>
  </si>
  <si>
    <t>NET FLEET RATEBASE</t>
  </si>
  <si>
    <t>FLEET OPERATING EXPENSES</t>
  </si>
  <si>
    <t>LEASE PAYMENT</t>
  </si>
  <si>
    <t>DEPRECIATION EXPENSE</t>
  </si>
  <si>
    <t xml:space="preserve">INCREASE (DECREASE) NOI </t>
  </si>
  <si>
    <t>FLEET VEHICLES</t>
  </si>
  <si>
    <t>FLEET</t>
  </si>
  <si>
    <t>VEHICLES</t>
  </si>
  <si>
    <t>NET INTEREST DUE TO IRS FOR SSCM</t>
  </si>
  <si>
    <t>CONSERVATION ADJUSTMENT</t>
  </si>
  <si>
    <t>Commercial &amp; industrial (31)</t>
  </si>
  <si>
    <t>AMORTIZATION OF DEFERRED SSCM NET INTEREST PAID TO IRS</t>
  </si>
  <si>
    <t>AMORTIZATION EXPENSE</t>
  </si>
  <si>
    <t>TOTAL OPERATING EXPENSES</t>
  </si>
  <si>
    <t>DEFERRED SSCM NET INTEREST PAID TO IRS</t>
  </si>
  <si>
    <t>GROSS DEFERRED BALANCE</t>
  </si>
  <si>
    <t>ACCUM AMORTIZATION</t>
  </si>
  <si>
    <t>DEFERRED FEDERAL INCOME TAX</t>
  </si>
  <si>
    <t>NET DEFERRED INTEREST ADDITION TO RATEBASE</t>
  </si>
  <si>
    <t>NET INTEREST</t>
  </si>
  <si>
    <t>TO IRS FOR SSCM</t>
  </si>
  <si>
    <t>Contracts (99)</t>
  </si>
  <si>
    <t>AIRPORT PARKING</t>
  </si>
  <si>
    <t>2007 GRC INCREASE DOCKET UG-072301</t>
  </si>
  <si>
    <t>RECLASS PENALITIES AND NEW CUSTOMER REVENUE TO</t>
  </si>
  <si>
    <t xml:space="preserve">OCTOBER 2007 PURCHASED GAS ADJUSTMENT </t>
  </si>
  <si>
    <t>DOCKET UG-071775</t>
  </si>
  <si>
    <t>CONSERVATION</t>
  </si>
  <si>
    <t>TOTAL PURCHASE GAS COSTS</t>
  </si>
  <si>
    <t xml:space="preserve">   PER ACCOUNTING PETITION #UE-071876</t>
  </si>
  <si>
    <t>INCREASE (DECREASE) IN REVENUES</t>
  </si>
  <si>
    <t>SUM OF TAXES OTHER</t>
  </si>
  <si>
    <t>CONVERSION FACTOR EXCLUDING FEDERAL INCOME TAX ( 1 - LINE 5)</t>
  </si>
  <si>
    <t>FEDERAL INCOME TAX ( LINE 7 * 35%)</t>
  </si>
  <si>
    <t>NON-UNION (EXCLUDING EXECUTIVES)</t>
  </si>
  <si>
    <t>NON-UNION ( EXECUTIVES)</t>
  </si>
  <si>
    <t>TOTAL PROFORMA COSTS (LN 4 + LN 9 + LN 14 + LN 19)</t>
  </si>
  <si>
    <t>CHARGED TO EXPENSE FOR YEAR ENDED 12/31/08</t>
  </si>
  <si>
    <t>SHORT TERM DEBT</t>
  </si>
  <si>
    <t>LONG TERM DEBT</t>
  </si>
  <si>
    <t>AFTER TAX SHORT TERM DEBT ( LINE 1 * 65%)</t>
  </si>
  <si>
    <t>AFTER TAX LONG TERM DEBT ( LINE 2 * 65%)</t>
  </si>
  <si>
    <r>
      <t>DEFERRED GAIN RECORDED SINCE UE-072300,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03/31/2010</t>
    </r>
  </si>
  <si>
    <r>
      <t>DEFERRED LOSS RECORDED SINCE UE-072300,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03/31/2010</t>
    </r>
  </si>
  <si>
    <t>REVENUE REQUIREMENT DEFICIENCY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</si>
</sst>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%"/>
    <numFmt numFmtId="167" formatCode="0.00000%"/>
    <numFmt numFmtId="168" formatCode="0.0000000"/>
    <numFmt numFmtId="169" formatCode="0.000000"/>
    <numFmt numFmtId="170" formatCode="#,##0.0000000;\(#,##0.0000000\)"/>
    <numFmt numFmtId="171" formatCode="#,##0;\(#,##0\)"/>
    <numFmt numFmtId="172" formatCode="yyyy"/>
    <numFmt numFmtId="173" formatCode="0."/>
    <numFmt numFmtId="174" formatCode=".0000000"/>
    <numFmt numFmtId="175" formatCode="&quot;$&quot;#,##0_);\(#,##0\)"/>
    <numFmt numFmtId="176" formatCode="#,##0.0_);\(#,##0.0\)"/>
    <numFmt numFmtId="177" formatCode="_(* #,##0_);_(* \(#,##0\);_(* &quot;-&quot;??_);_(@_)"/>
    <numFmt numFmtId="178" formatCode="_(&quot;$&quot;* #,##0_);_(&quot;$&quot;* \(#,##0\);_(&quot;$&quot;* &quot;-&quot;??_);_(@_)"/>
    <numFmt numFmtId="179" formatCode="_(* #,##0_);[Red]_(* \(#,##0\);_(* &quot;-&quot;_);_(@_)"/>
    <numFmt numFmtId="180" formatCode="_(&quot;$&quot;* #,##0_);[Red]_(&quot;$&quot;* \(#,##0\);_(&quot;$&quot;* &quot;-&quot;_);_(@_)"/>
    <numFmt numFmtId="181" formatCode="&quot;$&quot;#,##0.000000_);[Red]\(&quot;$&quot;#,##0.000000\)"/>
    <numFmt numFmtId="182" formatCode="_(&quot;$&quot;* #,##0.000000_);_(&quot;$&quot;* \(#,##0.000000\);_(&quot;$&quot;* &quot;-&quot;_);_(@_)"/>
    <numFmt numFmtId="183" formatCode="_(* #,##0.000000_);_(* \(#,##0.000000\);_(* &quot;-&quot;_);_(@_)"/>
    <numFmt numFmtId="184" formatCode="0.000000%"/>
    <numFmt numFmtId="185" formatCode="_(&quot;$&quot;* #,##0.0000_);_(&quot;$&quot;* \(#,##0.0000\);_(&quot;$&quot;* &quot;-&quot;??_);_(@_)"/>
    <numFmt numFmtId="186" formatCode="m/d/yy;@"/>
    <numFmt numFmtId="187" formatCode="_(* #,##0.0_);_(* \(#,##0.0\);_(* &quot;-&quot;_);_(@_)"/>
    <numFmt numFmtId="188" formatCode="_(* #,##0.00000_);_(* \(#,##0.00000\);_(* &quot;-&quot;??_);_(@_)"/>
    <numFmt numFmtId="189" formatCode="_(&quot;$&quot;* #,##0.000000_);_(&quot;$&quot;* \(#,##0.000000\);_(&quot;$&quot;* &quot;-&quot;??????_);_(@_)"/>
    <numFmt numFmtId="190" formatCode="_(* ###0_);_(* \(###0\);_(* &quot;-&quot;_);_(@_)"/>
    <numFmt numFmtId="191" formatCode="#,##0.00000"/>
    <numFmt numFmtId="192" formatCode="_(* #,##0.00000_);_(* \(#,##0.00000\);_(* &quot;-&quot;?????_);_(@_)"/>
    <numFmt numFmtId="193" formatCode="_(* #,##0.0_);_(* \(#,##0.0\);_(* &quot;-&quot;?_);_(@_)"/>
    <numFmt numFmtId="194" formatCode="0.00000"/>
    <numFmt numFmtId="195" formatCode="&quot;$&quot;#,##0.0_);[Red]\(&quot;$&quot;#,##0.0\)"/>
    <numFmt numFmtId="196" formatCode="d\.mmm\.yy"/>
    <numFmt numFmtId="197" formatCode="&quot;PAGE&quot;\ 0.00"/>
    <numFmt numFmtId="198" formatCode="_(&quot;$&quot;* #,##0.00_);_(&quot;$&quot;* \(#,##0.00\);_(&quot;$&quot;* &quot;-&quot;_);_(@_)"/>
    <numFmt numFmtId="199" formatCode="0.0000%"/>
    <numFmt numFmtId="200" formatCode="&quot;$&quot;#,##0.00"/>
    <numFmt numFmtId="201" formatCode="0.00_)"/>
    <numFmt numFmtId="202" formatCode="mmmm\ d\,\ yyyy"/>
    <numFmt numFmtId="203" formatCode="#."/>
    <numFmt numFmtId="204" formatCode="_(&quot;$&quot;* #,##0.0000_);_(&quot;$&quot;* \(#,##0.0000\);_(&quot;$&quot;* &quot;-&quot;????_);_(@_)"/>
    <numFmt numFmtId="205" formatCode="&quot;$&quot;#,##0;\-&quot;$&quot;#,##0"/>
    <numFmt numFmtId="206" formatCode="_(* #,##0.000000_);_(* \(#,##0.000000\);_(* &quot;-&quot;?????_);_(@_)"/>
    <numFmt numFmtId="207" formatCode="_(* #,##0.000000_);_(* \(#,##0.000000\);_(* &quot;-&quot;??????_);_(@_)"/>
    <numFmt numFmtId="208" formatCode="#,##0.00000000000;[Red]\-#,##0.00000000000"/>
    <numFmt numFmtId="209" formatCode="_(* #,##0.00000_);_(* \(#,##0.00000\);_(* &quot;-&quot;_);_(@_)"/>
    <numFmt numFmtId="210" formatCode="#,##0.0"/>
    <numFmt numFmtId="211" formatCode="mmm\-yyyy"/>
    <numFmt numFmtId="212" formatCode="\$#,##0.00_);[Red]\(\$#,##0.00\)"/>
    <numFmt numFmtId="213" formatCode="0.00000_);[Red]\(0.00000\)"/>
    <numFmt numFmtId="214" formatCode="_(&quot;$&quot;* #,##0.0_);_(&quot;$&quot;* \(#,##0.0\);_(&quot;$&quot;* &quot;-&quot;_);_(@_)"/>
    <numFmt numFmtId="215" formatCode="_(&quot;$&quot;* #,##0.000_);_(&quot;$&quot;* \(#,##0.000\);_(&quot;$&quot;* &quot;-&quot;_);_(@_)"/>
    <numFmt numFmtId="216" formatCode="#,##0.000_);\(#,##0.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65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u val="single"/>
      <sz val="7.05"/>
      <color indexed="12"/>
      <name val="Helv"/>
      <family val="0"/>
    </font>
    <font>
      <u val="single"/>
      <sz val="7.05"/>
      <color indexed="36"/>
      <name val="Helv"/>
      <family val="0"/>
    </font>
    <font>
      <sz val="12"/>
      <color indexed="24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b/>
      <sz val="10"/>
      <name val="Helv"/>
      <family val="0"/>
    </font>
    <font>
      <i/>
      <sz val="10"/>
      <name val="Times New Roman"/>
      <family val="1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i/>
      <sz val="16"/>
      <name val="Helv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2"/>
      <name val="Arial"/>
      <family val="2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376">
    <xf numFmtId="16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6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68" fontId="11" fillId="0" borderId="0">
      <alignment horizontal="left" wrapText="1"/>
      <protection/>
    </xf>
    <xf numFmtId="16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0" fontId="38" fillId="0" borderId="0">
      <alignment/>
      <protection/>
    </xf>
    <xf numFmtId="188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188" fontId="11" fillId="0" borderId="0">
      <alignment horizontal="left" wrapText="1"/>
      <protection/>
    </xf>
    <xf numFmtId="0" fontId="38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196" fontId="27" fillId="0" borderId="0" applyFill="0" applyBorder="0" applyAlignment="0">
      <protection/>
    </xf>
    <xf numFmtId="196" fontId="27" fillId="0" borderId="0" applyFill="0" applyBorder="0" applyAlignment="0">
      <protection/>
    </xf>
    <xf numFmtId="196" fontId="27" fillId="0" borderId="0" applyFill="0" applyBorder="0" applyAlignment="0">
      <protection/>
    </xf>
    <xf numFmtId="41" fontId="11" fillId="16" borderId="0">
      <alignment/>
      <protection/>
    </xf>
    <xf numFmtId="0" fontId="52" fillId="16" borderId="1" applyNumberFormat="0" applyAlignment="0" applyProtection="0"/>
    <xf numFmtId="0" fontId="52" fillId="16" borderId="1" applyNumberFormat="0" applyAlignment="0" applyProtection="0"/>
    <xf numFmtId="0" fontId="53" fillId="17" borderId="2" applyNumberFormat="0" applyAlignment="0" applyProtection="0"/>
    <xf numFmtId="41" fontId="11" fillId="18" borderId="0">
      <alignment/>
      <protection/>
    </xf>
    <xf numFmtId="41" fontId="11" fillId="18" borderId="0">
      <alignment/>
      <protection/>
    </xf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8" fillId="0" borderId="0" applyFill="0" applyBorder="0" applyAlignment="0" applyProtection="0"/>
    <xf numFmtId="203" fontId="41" fillId="0" borderId="0">
      <alignment/>
      <protection locked="0"/>
    </xf>
    <xf numFmtId="0" fontId="40" fillId="0" borderId="0">
      <alignment/>
      <protection/>
    </xf>
    <xf numFmtId="0" fontId="40" fillId="0" borderId="0">
      <alignment/>
      <protection/>
    </xf>
    <xf numFmtId="0" fontId="28" fillId="0" borderId="0" applyNumberFormat="0" applyAlignment="0">
      <protection/>
    </xf>
    <xf numFmtId="0" fontId="28" fillId="0" borderId="0" applyNumberFormat="0" applyAlignment="0">
      <protection/>
    </xf>
    <xf numFmtId="0" fontId="28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6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5" fontId="48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7" fillId="0" borderId="0" applyFont="0" applyFill="0" applyBorder="0" applyAlignment="0" applyProtection="0"/>
    <xf numFmtId="202" fontId="48" fillId="0" borderId="0" applyFill="0" applyBorder="0" applyAlignment="0" applyProtection="0"/>
    <xf numFmtId="169" fontId="11" fillId="0" borderId="0">
      <alignment/>
      <protection/>
    </xf>
    <xf numFmtId="0" fontId="5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48" fillId="0" borderId="0" applyFill="0" applyBorder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0" fontId="55" fillId="6" borderId="0" applyNumberFormat="0" applyBorder="0" applyAlignment="0" applyProtection="0"/>
    <xf numFmtId="38" fontId="13" fillId="18" borderId="0" applyNumberFormat="0" applyBorder="0" applyAlignment="0" applyProtection="0"/>
    <xf numFmtId="38" fontId="13" fillId="18" borderId="0" applyNumberFormat="0" applyBorder="0" applyAlignment="0" applyProtection="0"/>
    <xf numFmtId="38" fontId="13" fillId="18" borderId="0" applyNumberFormat="0" applyBorder="0" applyAlignment="0" applyProtection="0"/>
    <xf numFmtId="38" fontId="13" fillId="18" borderId="0" applyNumberFormat="0" applyBorder="0" applyAlignment="0" applyProtection="0"/>
    <xf numFmtId="0" fontId="30" fillId="0" borderId="3" applyNumberFormat="0" applyAlignment="0" applyProtection="0"/>
    <xf numFmtId="0" fontId="30" fillId="0" borderId="3" applyNumberFormat="0" applyAlignment="0" applyProtection="0"/>
    <xf numFmtId="0" fontId="30" fillId="0" borderId="3" applyNumberFormat="0" applyAlignment="0" applyProtection="0"/>
    <xf numFmtId="0" fontId="30" fillId="0" borderId="4">
      <alignment horizontal="left"/>
      <protection/>
    </xf>
    <xf numFmtId="0" fontId="30" fillId="0" borderId="4">
      <alignment horizontal="left"/>
      <protection/>
    </xf>
    <xf numFmtId="0" fontId="30" fillId="0" borderId="4">
      <alignment horizontal="left"/>
      <protection/>
    </xf>
    <xf numFmtId="0" fontId="20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38" fontId="12" fillId="0" borderId="0">
      <alignment/>
      <protection/>
    </xf>
    <xf numFmtId="38" fontId="12" fillId="0" borderId="0">
      <alignment/>
      <protection/>
    </xf>
    <xf numFmtId="38" fontId="12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0" fontId="18" fillId="0" borderId="0" applyNumberFormat="0" applyFill="0" applyBorder="0" applyAlignment="0" applyProtection="0"/>
    <xf numFmtId="0" fontId="59" fillId="7" borderId="1" applyNumberFormat="0" applyAlignment="0" applyProtection="0"/>
    <xf numFmtId="10" fontId="13" fillId="16" borderId="8" applyNumberFormat="0" applyBorder="0" applyAlignment="0" applyProtection="0"/>
    <xf numFmtId="10" fontId="13" fillId="16" borderId="8" applyNumberFormat="0" applyBorder="0" applyAlignment="0" applyProtection="0"/>
    <xf numFmtId="10" fontId="13" fillId="16" borderId="8" applyNumberFormat="0" applyBorder="0" applyAlignment="0" applyProtection="0"/>
    <xf numFmtId="10" fontId="13" fillId="16" borderId="8" applyNumberFormat="0" applyBorder="0" applyAlignment="0" applyProtection="0"/>
    <xf numFmtId="41" fontId="31" fillId="7" borderId="9">
      <alignment horizontal="left"/>
      <protection locked="0"/>
    </xf>
    <xf numFmtId="10" fontId="31" fillId="7" borderId="9">
      <alignment horizontal="right"/>
      <protection locked="0"/>
    </xf>
    <xf numFmtId="0" fontId="13" fillId="18" borderId="0">
      <alignment/>
      <protection/>
    </xf>
    <xf numFmtId="0" fontId="13" fillId="18" borderId="0">
      <alignment/>
      <protection/>
    </xf>
    <xf numFmtId="3" fontId="42" fillId="0" borderId="0" applyFill="0" applyBorder="0" applyAlignment="0" applyProtection="0"/>
    <xf numFmtId="0" fontId="60" fillId="0" borderId="10" applyNumberFormat="0" applyFill="0" applyAlignment="0" applyProtection="0"/>
    <xf numFmtId="44" fontId="21" fillId="0" borderId="11" applyNumberFormat="0" applyFont="0" applyAlignment="0">
      <protection/>
    </xf>
    <xf numFmtId="44" fontId="21" fillId="0" borderId="11" applyNumberFormat="0" applyFont="0" applyAlignment="0">
      <protection/>
    </xf>
    <xf numFmtId="44" fontId="21" fillId="0" borderId="11" applyNumberFormat="0" applyFont="0" applyAlignment="0">
      <protection/>
    </xf>
    <xf numFmtId="44" fontId="21" fillId="0" borderId="11" applyNumberFormat="0" applyFont="0" applyAlignment="0">
      <protection/>
    </xf>
    <xf numFmtId="44" fontId="21" fillId="0" borderId="12" applyNumberFormat="0" applyFont="0" applyAlignment="0">
      <protection/>
    </xf>
    <xf numFmtId="44" fontId="21" fillId="0" borderId="12" applyNumberFormat="0" applyFont="0" applyAlignment="0">
      <protection/>
    </xf>
    <xf numFmtId="44" fontId="21" fillId="0" borderId="12" applyNumberFormat="0" applyFont="0" applyAlignment="0">
      <protection/>
    </xf>
    <xf numFmtId="44" fontId="21" fillId="0" borderId="12" applyNumberFormat="0" applyFont="0" applyAlignment="0">
      <protection/>
    </xf>
    <xf numFmtId="0" fontId="61" fillId="7" borderId="0" applyNumberFormat="0" applyBorder="0" applyAlignment="0" applyProtection="0"/>
    <xf numFmtId="37" fontId="32" fillId="0" borderId="0">
      <alignment/>
      <protection/>
    </xf>
    <xf numFmtId="37" fontId="32" fillId="0" borderId="0">
      <alignment/>
      <protection/>
    </xf>
    <xf numFmtId="37" fontId="32" fillId="0" borderId="0">
      <alignment/>
      <protection/>
    </xf>
    <xf numFmtId="189" fontId="0" fillId="0" borderId="0">
      <alignment/>
      <protection/>
    </xf>
    <xf numFmtId="201" fontId="36" fillId="0" borderId="0">
      <alignment/>
      <protection/>
    </xf>
    <xf numFmtId="201" fontId="36" fillId="0" borderId="0">
      <alignment/>
      <protection/>
    </xf>
    <xf numFmtId="205" fontId="11" fillId="0" borderId="0">
      <alignment/>
      <protection/>
    </xf>
    <xf numFmtId="164" fontId="11" fillId="0" borderId="0">
      <alignment/>
      <protection/>
    </xf>
    <xf numFmtId="208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39" fillId="0" borderId="0">
      <alignment/>
      <protection/>
    </xf>
    <xf numFmtId="202" fontId="11" fillId="0" borderId="0">
      <alignment horizontal="left" wrapText="1"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" borderId="13" applyNumberFormat="0" applyFont="0" applyAlignment="0" applyProtection="0"/>
    <xf numFmtId="0" fontId="46" fillId="4" borderId="13" applyNumberFormat="0" applyFont="0" applyAlignment="0" applyProtection="0"/>
    <xf numFmtId="0" fontId="62" fillId="16" borderId="1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9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6" fillId="0" borderId="0" applyFont="0" applyFill="0" applyBorder="0" applyAlignment="0" applyProtection="0"/>
    <xf numFmtId="41" fontId="11" fillId="19" borderId="9">
      <alignment/>
      <protection/>
    </xf>
    <xf numFmtId="41" fontId="11" fillId="19" borderId="9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33" fillId="0" borderId="15">
      <alignment horizontal="center"/>
      <protection/>
    </xf>
    <xf numFmtId="0" fontId="33" fillId="0" borderId="15">
      <alignment horizontal="center"/>
      <protection/>
    </xf>
    <xf numFmtId="0" fontId="33" fillId="0" borderId="15">
      <alignment horizont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0" borderId="0" applyNumberFormat="0" applyFont="0" applyBorder="0" applyAlignment="0" applyProtection="0"/>
    <xf numFmtId="0" fontId="6" fillId="20" borderId="0" applyNumberFormat="0" applyFont="0" applyBorder="0" applyAlignment="0" applyProtection="0"/>
    <xf numFmtId="0" fontId="6" fillId="20" borderId="0" applyNumberFormat="0" applyFon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3" fontId="43" fillId="0" borderId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3" fontId="43" fillId="0" borderId="0" applyFill="0" applyBorder="0" applyAlignment="0" applyProtection="0"/>
    <xf numFmtId="42" fontId="11" fillId="16" borderId="0">
      <alignment/>
      <protection/>
    </xf>
    <xf numFmtId="0" fontId="49" fillId="21" borderId="0">
      <alignment/>
      <protection/>
    </xf>
    <xf numFmtId="0" fontId="25" fillId="21" borderId="16">
      <alignment/>
      <protection/>
    </xf>
    <xf numFmtId="0" fontId="3" fillId="22" borderId="17">
      <alignment/>
      <protection/>
    </xf>
    <xf numFmtId="0" fontId="2" fillId="21" borderId="18">
      <alignment/>
      <protection/>
    </xf>
    <xf numFmtId="42" fontId="11" fillId="16" borderId="0">
      <alignment/>
      <protection/>
    </xf>
    <xf numFmtId="42" fontId="11" fillId="16" borderId="19">
      <alignment vertical="center"/>
      <protection/>
    </xf>
    <xf numFmtId="42" fontId="11" fillId="16" borderId="19">
      <alignment vertical="center"/>
      <protection/>
    </xf>
    <xf numFmtId="0" fontId="21" fillId="16" borderId="20" applyNumberFormat="0">
      <alignment horizontal="center" vertical="center" wrapText="1"/>
      <protection/>
    </xf>
    <xf numFmtId="0" fontId="21" fillId="16" borderId="20" applyNumberFormat="0">
      <alignment horizontal="center" vertical="center" wrapText="1"/>
      <protection/>
    </xf>
    <xf numFmtId="10" fontId="11" fillId="16" borderId="0">
      <alignment/>
      <protection/>
    </xf>
    <xf numFmtId="10" fontId="11" fillId="16" borderId="0">
      <alignment/>
      <protection/>
    </xf>
    <xf numFmtId="204" fontId="11" fillId="16" borderId="0">
      <alignment/>
      <protection/>
    </xf>
    <xf numFmtId="204" fontId="11" fillId="16" borderId="0">
      <alignment/>
      <protection/>
    </xf>
    <xf numFmtId="177" fontId="12" fillId="0" borderId="0" applyBorder="0" applyAlignment="0">
      <protection/>
    </xf>
    <xf numFmtId="42" fontId="11" fillId="16" borderId="21">
      <alignment horizontal="left"/>
      <protection/>
    </xf>
    <xf numFmtId="42" fontId="11" fillId="16" borderId="21">
      <alignment horizontal="left"/>
      <protection/>
    </xf>
    <xf numFmtId="204" fontId="24" fillId="16" borderId="21">
      <alignment horizontal="left"/>
      <protection/>
    </xf>
    <xf numFmtId="14" fontId="0" fillId="0" borderId="0" applyNumberFormat="0" applyFill="0" applyBorder="0" applyAlignment="0" applyProtection="0"/>
    <xf numFmtId="187" fontId="11" fillId="0" borderId="0" applyFont="0" applyFill="0" applyAlignment="0">
      <protection/>
    </xf>
    <xf numFmtId="187" fontId="11" fillId="0" borderId="0" applyFont="0" applyFill="0" applyAlignment="0">
      <protection/>
    </xf>
    <xf numFmtId="187" fontId="11" fillId="0" borderId="0" applyFont="0" applyFill="0" applyAlignment="0">
      <protection/>
    </xf>
    <xf numFmtId="39" fontId="11" fillId="23" borderId="0">
      <alignment/>
      <protection/>
    </xf>
    <xf numFmtId="39" fontId="11" fillId="23" borderId="0">
      <alignment/>
      <protection/>
    </xf>
    <xf numFmtId="39" fontId="11" fillId="23" borderId="0">
      <alignment/>
      <protection/>
    </xf>
    <xf numFmtId="38" fontId="13" fillId="0" borderId="22">
      <alignment/>
      <protection/>
    </xf>
    <xf numFmtId="38" fontId="13" fillId="0" borderId="22">
      <alignment/>
      <protection/>
    </xf>
    <xf numFmtId="38" fontId="13" fillId="0" borderId="22">
      <alignment/>
      <protection/>
    </xf>
    <xf numFmtId="38" fontId="13" fillId="0" borderId="22">
      <alignment/>
      <protection/>
    </xf>
    <xf numFmtId="38" fontId="12" fillId="0" borderId="21">
      <alignment/>
      <protection/>
    </xf>
    <xf numFmtId="38" fontId="12" fillId="0" borderId="21">
      <alignment/>
      <protection/>
    </xf>
    <xf numFmtId="38" fontId="12" fillId="0" borderId="21">
      <alignment/>
      <protection/>
    </xf>
    <xf numFmtId="39" fontId="0" fillId="24" borderId="0">
      <alignment/>
      <protection/>
    </xf>
    <xf numFmtId="169" fontId="11" fillId="0" borderId="0">
      <alignment horizontal="left" wrapText="1"/>
      <protection/>
    </xf>
    <xf numFmtId="188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40" fontId="34" fillId="0" borderId="0" applyBorder="0">
      <alignment horizontal="right"/>
      <protection/>
    </xf>
    <xf numFmtId="41" fontId="37" fillId="16" borderId="0">
      <alignment horizontal="left"/>
      <protection/>
    </xf>
    <xf numFmtId="0" fontId="11" fillId="0" borderId="0" applyNumberFormat="0" applyBorder="0" applyAlignment="0">
      <protection/>
    </xf>
    <xf numFmtId="0" fontId="63" fillId="0" borderId="0" applyNumberFormat="0" applyFill="0" applyBorder="0" applyAlignment="0" applyProtection="0"/>
    <xf numFmtId="0" fontId="49" fillId="0" borderId="0">
      <alignment/>
      <protection/>
    </xf>
    <xf numFmtId="0" fontId="25" fillId="21" borderId="0">
      <alignment/>
      <protection/>
    </xf>
    <xf numFmtId="200" fontId="45" fillId="16" borderId="0">
      <alignment horizontal="left" vertical="center"/>
      <protection/>
    </xf>
    <xf numFmtId="0" fontId="21" fillId="16" borderId="0">
      <alignment horizontal="left" wrapText="1"/>
      <protection/>
    </xf>
    <xf numFmtId="0" fontId="21" fillId="16" borderId="0">
      <alignment horizontal="left" wrapText="1"/>
      <protection/>
    </xf>
    <xf numFmtId="0" fontId="35" fillId="0" borderId="0">
      <alignment horizontal="left" vertical="center"/>
      <protection/>
    </xf>
    <xf numFmtId="0" fontId="20" fillId="0" borderId="23" applyNumberFormat="0" applyFon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40" fillId="0" borderId="25">
      <alignment/>
      <protection/>
    </xf>
    <xf numFmtId="0" fontId="40" fillId="0" borderId="25">
      <alignment/>
      <protection/>
    </xf>
    <xf numFmtId="0" fontId="60" fillId="0" borderId="0" applyNumberFormat="0" applyFill="0" applyBorder="0" applyAlignment="0" applyProtection="0"/>
  </cellStyleXfs>
  <cellXfs count="540"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>
      <alignment horizontal="fill"/>
    </xf>
    <xf numFmtId="0" fontId="8" fillId="0" borderId="0" xfId="0" applyNumberFormat="1" applyFont="1" applyFill="1" applyAlignment="1">
      <alignment horizontal="centerContinuous"/>
    </xf>
    <xf numFmtId="10" fontId="7" fillId="0" borderId="0" xfId="286" applyNumberFormat="1" applyFont="1" applyFill="1" applyAlignment="1">
      <alignment/>
    </xf>
    <xf numFmtId="41" fontId="7" fillId="0" borderId="0" xfId="142" applyNumberFormat="1" applyFont="1" applyFill="1" applyBorder="1" applyAlignment="1" applyProtection="1">
      <alignment/>
      <protection locked="0"/>
    </xf>
    <xf numFmtId="42" fontId="7" fillId="0" borderId="0" xfId="179" applyNumberFormat="1" applyFont="1" applyFill="1" applyAlignment="1" applyProtection="1">
      <alignment/>
      <protection locked="0"/>
    </xf>
    <xf numFmtId="41" fontId="7" fillId="0" borderId="0" xfId="142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 applyProtection="1">
      <alignment/>
      <protection locked="0"/>
    </xf>
    <xf numFmtId="0" fontId="8" fillId="0" borderId="20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171" fontId="7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applyProtection="1">
      <alignment horizontal="center"/>
      <protection locked="0"/>
    </xf>
    <xf numFmtId="42" fontId="7" fillId="0" borderId="0" xfId="179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>
      <alignment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20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right"/>
    </xf>
    <xf numFmtId="0" fontId="8" fillId="0" borderId="20" xfId="0" applyNumberFormat="1" applyFont="1" applyFill="1" applyBorder="1" applyAlignment="1">
      <alignment horizontal="left"/>
    </xf>
    <xf numFmtId="0" fontId="8" fillId="0" borderId="2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21" xfId="179" applyNumberFormat="1" applyFont="1" applyFill="1" applyBorder="1" applyAlignment="1" applyProtection="1">
      <alignment/>
      <protection locked="0"/>
    </xf>
    <xf numFmtId="42" fontId="7" fillId="0" borderId="21" xfId="179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2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quotePrefix="1">
      <alignment horizontal="right"/>
    </xf>
    <xf numFmtId="42" fontId="7" fillId="0" borderId="0" xfId="179" applyNumberFormat="1" applyFont="1" applyFill="1" applyBorder="1" applyAlignment="1" applyProtection="1">
      <alignment/>
      <protection locked="0"/>
    </xf>
    <xf numFmtId="42" fontId="7" fillId="0" borderId="0" xfId="179" applyNumberFormat="1" applyFont="1" applyFill="1" applyBorder="1" applyAlignment="1">
      <alignment/>
    </xf>
    <xf numFmtId="0" fontId="7" fillId="0" borderId="0" xfId="179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179" applyNumberFormat="1" applyFont="1" applyFill="1" applyBorder="1" applyAlignment="1" applyProtection="1">
      <alignment/>
      <protection locked="0"/>
    </xf>
    <xf numFmtId="0" fontId="7" fillId="0" borderId="0" xfId="179" applyNumberFormat="1" applyFont="1" applyFill="1" applyAlignment="1" applyProtection="1" quotePrefix="1">
      <alignment/>
      <protection locked="0"/>
    </xf>
    <xf numFmtId="0" fontId="7" fillId="0" borderId="0" xfId="179" applyNumberFormat="1" applyFont="1" applyFill="1" applyBorder="1" applyAlignment="1" applyProtection="1" quotePrefix="1">
      <alignment/>
      <protection locked="0"/>
    </xf>
    <xf numFmtId="41" fontId="7" fillId="0" borderId="20" xfId="0" applyNumberFormat="1" applyFont="1" applyFill="1" applyBorder="1" applyAlignment="1" applyProtection="1">
      <alignment/>
      <protection locked="0"/>
    </xf>
    <xf numFmtId="41" fontId="7" fillId="0" borderId="0" xfId="142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179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/>
    </xf>
    <xf numFmtId="3" fontId="7" fillId="0" borderId="0" xfId="142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left" vertical="center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17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42" fontId="7" fillId="0" borderId="0" xfId="179" applyNumberFormat="1" applyFont="1" applyFill="1" applyAlignment="1">
      <alignment horizontal="left"/>
    </xf>
    <xf numFmtId="0" fontId="8" fillId="0" borderId="0" xfId="0" applyNumberFormat="1" applyFont="1" applyFill="1" applyAlignment="1" quotePrefix="1">
      <alignment horizontal="fill"/>
    </xf>
    <xf numFmtId="42" fontId="7" fillId="0" borderId="0" xfId="179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20" xfId="0" applyNumberFormat="1" applyFont="1" applyFill="1" applyBorder="1" applyAlignment="1">
      <alignment horizontal="right"/>
    </xf>
    <xf numFmtId="41" fontId="7" fillId="0" borderId="0" xfId="179" applyNumberFormat="1" applyFont="1" applyFill="1" applyAlignment="1">
      <alignment horizontal="right"/>
    </xf>
    <xf numFmtId="185" fontId="7" fillId="0" borderId="0" xfId="0" applyNumberFormat="1" applyFont="1" applyFill="1" applyAlignment="1">
      <alignment/>
    </xf>
    <xf numFmtId="6" fontId="7" fillId="0" borderId="0" xfId="179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8" fontId="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right"/>
      <protection locked="0"/>
    </xf>
    <xf numFmtId="42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/>
    </xf>
    <xf numFmtId="41" fontId="7" fillId="0" borderId="20" xfId="142" applyNumberFormat="1" applyFont="1" applyFill="1" applyBorder="1" applyAlignment="1">
      <alignment/>
    </xf>
    <xf numFmtId="6" fontId="7" fillId="0" borderId="0" xfId="179" applyNumberFormat="1" applyFont="1" applyFill="1" applyAlignment="1">
      <alignment/>
    </xf>
    <xf numFmtId="15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Border="1" applyAlignment="1">
      <alignment/>
    </xf>
    <xf numFmtId="3" fontId="8" fillId="0" borderId="0" xfId="142" applyNumberFormat="1" applyFont="1" applyFill="1" applyAlignment="1">
      <alignment horizontal="centerContinuous"/>
    </xf>
    <xf numFmtId="0" fontId="8" fillId="0" borderId="0" xfId="0" applyNumberFormat="1" applyFont="1" applyFill="1" applyAlignment="1" quotePrefix="1">
      <alignment horizontal="left"/>
    </xf>
    <xf numFmtId="0" fontId="5" fillId="0" borderId="0" xfId="0" applyNumberFormat="1" applyFont="1" applyFill="1" applyAlignment="1">
      <alignment/>
    </xf>
    <xf numFmtId="3" fontId="8" fillId="0" borderId="0" xfId="142" applyNumberFormat="1" applyFont="1" applyFill="1" applyAlignment="1">
      <alignment/>
    </xf>
    <xf numFmtId="0" fontId="8" fillId="0" borderId="0" xfId="0" applyNumberFormat="1" applyFont="1" applyFill="1" applyAlignment="1">
      <alignment horizontal="fill"/>
    </xf>
    <xf numFmtId="3" fontId="8" fillId="0" borderId="20" xfId="142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2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17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fill"/>
    </xf>
    <xf numFmtId="37" fontId="7" fillId="0" borderId="0" xfId="142" applyNumberFormat="1" applyFont="1" applyFill="1" applyAlignment="1">
      <alignment/>
    </xf>
    <xf numFmtId="37" fontId="7" fillId="0" borderId="0" xfId="142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Alignment="1" quotePrefix="1">
      <alignment horizontal="left"/>
    </xf>
    <xf numFmtId="37" fontId="7" fillId="0" borderId="20" xfId="142" applyNumberFormat="1" applyFont="1" applyFill="1" applyBorder="1" applyAlignment="1">
      <alignment/>
    </xf>
    <xf numFmtId="9" fontId="7" fillId="0" borderId="0" xfId="286" applyFont="1" applyFill="1" applyAlignment="1">
      <alignment horizontal="center"/>
    </xf>
    <xf numFmtId="178" fontId="7" fillId="0" borderId="0" xfId="0" applyNumberFormat="1" applyFont="1" applyFill="1" applyAlignment="1">
      <alignment/>
    </xf>
    <xf numFmtId="41" fontId="7" fillId="0" borderId="0" xfId="179" applyNumberFormat="1" applyFont="1" applyFill="1" applyAlignment="1" applyProtection="1">
      <alignment/>
      <protection locked="0"/>
    </xf>
    <xf numFmtId="37" fontId="7" fillId="0" borderId="0" xfId="142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 vertical="top"/>
    </xf>
    <xf numFmtId="42" fontId="7" fillId="0" borderId="0" xfId="179" applyNumberFormat="1" applyFont="1" applyFill="1" applyBorder="1" applyAlignment="1" applyProtection="1">
      <alignment vertical="top"/>
      <protection locked="0"/>
    </xf>
    <xf numFmtId="9" fontId="7" fillId="0" borderId="0" xfId="286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>
      <alignment/>
    </xf>
    <xf numFmtId="6" fontId="7" fillId="0" borderId="0" xfId="179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>
      <alignment horizontal="right"/>
    </xf>
    <xf numFmtId="38" fontId="7" fillId="0" borderId="0" xfId="142" applyNumberFormat="1" applyFont="1" applyFill="1" applyBorder="1" applyAlignment="1">
      <alignment/>
    </xf>
    <xf numFmtId="17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 horizontal="center"/>
    </xf>
    <xf numFmtId="0" fontId="7" fillId="0" borderId="0" xfId="277" applyFont="1" applyFill="1" applyAlignment="1">
      <alignment horizontal="centerContinuous"/>
      <protection/>
    </xf>
    <xf numFmtId="0" fontId="8" fillId="0" borderId="0" xfId="277" applyFont="1" applyFill="1" applyAlignment="1">
      <alignment horizontal="centerContinuous"/>
      <protection/>
    </xf>
    <xf numFmtId="0" fontId="7" fillId="0" borderId="0" xfId="277" applyFont="1" applyFill="1" applyAlignment="1">
      <alignment horizontal="center"/>
      <protection/>
    </xf>
    <xf numFmtId="0" fontId="7" fillId="0" borderId="0" xfId="277" applyFont="1" applyFill="1">
      <alignment/>
      <protection/>
    </xf>
    <xf numFmtId="0" fontId="10" fillId="0" borderId="0" xfId="277" applyFont="1" applyFill="1" applyAlignment="1">
      <alignment horizontal="centerContinuous"/>
      <protection/>
    </xf>
    <xf numFmtId="0" fontId="7" fillId="0" borderId="0" xfId="277" applyFont="1" applyFill="1" applyBorder="1" applyAlignment="1">
      <alignment horizontal="center"/>
      <protection/>
    </xf>
    <xf numFmtId="0" fontId="10" fillId="0" borderId="0" xfId="277" applyFont="1" applyFill="1" applyBorder="1" applyAlignment="1">
      <alignment horizontal="centerContinuous"/>
      <protection/>
    </xf>
    <xf numFmtId="0" fontId="7" fillId="0" borderId="0" xfId="277" applyFont="1" applyFill="1" applyBorder="1">
      <alignment/>
      <protection/>
    </xf>
    <xf numFmtId="173" fontId="7" fillId="0" borderId="0" xfId="277" applyNumberFormat="1" applyFont="1" applyFill="1" applyBorder="1" applyAlignment="1">
      <alignment horizontal="center"/>
      <protection/>
    </xf>
    <xf numFmtId="5" fontId="7" fillId="0" borderId="0" xfId="277" applyNumberFormat="1" applyFont="1" applyFill="1" applyBorder="1">
      <alignment/>
      <protection/>
    </xf>
    <xf numFmtId="37" fontId="7" fillId="0" borderId="0" xfId="277" applyNumberFormat="1" applyFont="1" applyFill="1" applyBorder="1">
      <alignment/>
      <protection/>
    </xf>
    <xf numFmtId="176" fontId="7" fillId="0" borderId="0" xfId="277" applyNumberFormat="1" applyFont="1" applyFill="1" applyBorder="1">
      <alignment/>
      <protection/>
    </xf>
    <xf numFmtId="7" fontId="7" fillId="0" borderId="0" xfId="277" applyNumberFormat="1" applyFont="1" applyFill="1" applyBorder="1">
      <alignment/>
      <protection/>
    </xf>
    <xf numFmtId="0" fontId="8" fillId="0" borderId="0" xfId="277" applyFont="1" applyFill="1" applyBorder="1" applyAlignment="1">
      <alignment horizontal="centerContinuous"/>
      <protection/>
    </xf>
    <xf numFmtId="0" fontId="7" fillId="0" borderId="0" xfId="277" applyFont="1" applyFill="1" applyBorder="1" applyAlignment="1">
      <alignment horizontal="centerContinuous"/>
      <protection/>
    </xf>
    <xf numFmtId="5" fontId="7" fillId="0" borderId="0" xfId="277" applyNumberFormat="1" applyFont="1" applyFill="1" applyBorder="1" applyAlignment="1">
      <alignment horizontal="centerContinuous"/>
      <protection/>
    </xf>
    <xf numFmtId="175" fontId="7" fillId="0" borderId="0" xfId="277" applyNumberFormat="1" applyFont="1" applyFill="1" applyBorder="1" applyAlignment="1">
      <alignment horizontal="centerContinuous"/>
      <protection/>
    </xf>
    <xf numFmtId="175" fontId="7" fillId="0" borderId="0" xfId="277" applyNumberFormat="1" applyFont="1" applyFill="1" applyBorder="1">
      <alignment/>
      <protection/>
    </xf>
    <xf numFmtId="169" fontId="7" fillId="0" borderId="0" xfId="277" applyNumberFormat="1" applyFont="1" applyFill="1" applyBorder="1" applyAlignment="1">
      <alignment horizontal="left"/>
      <protection/>
    </xf>
    <xf numFmtId="0" fontId="8" fillId="0" borderId="0" xfId="278" applyFont="1" applyFill="1" applyBorder="1" applyAlignment="1">
      <alignment horizontal="centerContinuous"/>
      <protection/>
    </xf>
    <xf numFmtId="0" fontId="7" fillId="0" borderId="0" xfId="278" applyFont="1" applyFill="1" applyBorder="1" applyAlignment="1">
      <alignment horizontal="centerContinuous"/>
      <protection/>
    </xf>
    <xf numFmtId="0" fontId="7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7" fillId="0" borderId="0" xfId="278" applyFont="1" applyFill="1" applyBorder="1" applyAlignment="1">
      <alignment horizontal="center"/>
      <protection/>
    </xf>
    <xf numFmtId="0" fontId="7" fillId="0" borderId="0" xfId="278" applyFont="1" applyFill="1" applyBorder="1">
      <alignment/>
      <protection/>
    </xf>
    <xf numFmtId="173" fontId="7" fillId="0" borderId="0" xfId="278" applyNumberFormat="1" applyFont="1" applyFill="1" applyBorder="1" applyAlignment="1">
      <alignment horizontal="center"/>
      <protection/>
    </xf>
    <xf numFmtId="5" fontId="7" fillId="0" borderId="0" xfId="278" applyNumberFormat="1" applyFont="1" applyFill="1" applyBorder="1">
      <alignment/>
      <protection/>
    </xf>
    <xf numFmtId="37" fontId="7" fillId="0" borderId="0" xfId="278" applyNumberFormat="1" applyFont="1" applyFill="1" applyBorder="1">
      <alignment/>
      <protection/>
    </xf>
    <xf numFmtId="174" fontId="7" fillId="0" borderId="0" xfId="278" applyNumberFormat="1" applyFont="1" applyFill="1" applyBorder="1">
      <alignment/>
      <protection/>
    </xf>
    <xf numFmtId="175" fontId="7" fillId="0" borderId="0" xfId="278" applyNumberFormat="1" applyFont="1" applyFill="1" applyBorder="1">
      <alignment/>
      <protection/>
    </xf>
    <xf numFmtId="41" fontId="7" fillId="0" borderId="0" xfId="0" applyNumberFormat="1" applyFont="1" applyFill="1" applyAlignment="1" applyProtection="1">
      <alignment horizontal="left"/>
      <protection locked="0"/>
    </xf>
    <xf numFmtId="4" fontId="7" fillId="0" borderId="0" xfId="142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14" fontId="15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centerContinuous"/>
    </xf>
    <xf numFmtId="9" fontId="7" fillId="0" borderId="0" xfId="286" applyFont="1" applyFill="1" applyAlignment="1">
      <alignment horizontal="left"/>
    </xf>
    <xf numFmtId="37" fontId="7" fillId="0" borderId="0" xfId="142" applyNumberFormat="1" applyFont="1" applyFill="1" applyAlignment="1">
      <alignment vertical="top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9" fontId="7" fillId="0" borderId="0" xfId="286" applyFont="1" applyFill="1" applyAlignment="1">
      <alignment/>
    </xf>
    <xf numFmtId="10" fontId="7" fillId="0" borderId="0" xfId="286" applyNumberFormat="1" applyFont="1" applyFill="1" applyBorder="1" applyAlignment="1">
      <alignment/>
    </xf>
    <xf numFmtId="41" fontId="7" fillId="0" borderId="26" xfId="0" applyNumberFormat="1" applyFont="1" applyFill="1" applyBorder="1" applyAlignment="1">
      <alignment horizontal="right"/>
    </xf>
    <xf numFmtId="10" fontId="7" fillId="0" borderId="27" xfId="286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quotePrefix="1">
      <alignment horizontal="centerContinuous"/>
    </xf>
    <xf numFmtId="178" fontId="7" fillId="0" borderId="0" xfId="179" applyNumberFormat="1" applyFont="1" applyFill="1" applyBorder="1" applyAlignment="1">
      <alignment/>
    </xf>
    <xf numFmtId="41" fontId="7" fillId="0" borderId="0" xfId="142" applyNumberFormat="1" applyFont="1" applyFill="1" applyBorder="1" applyAlignment="1">
      <alignment/>
    </xf>
    <xf numFmtId="178" fontId="7" fillId="0" borderId="0" xfId="142" applyNumberFormat="1" applyFont="1" applyFill="1" applyBorder="1" applyAlignment="1">
      <alignment/>
    </xf>
    <xf numFmtId="37" fontId="7" fillId="0" borderId="21" xfId="142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42" fontId="7" fillId="0" borderId="0" xfId="179" applyNumberFormat="1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14" fontId="1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3" fontId="7" fillId="0" borderId="0" xfId="142" applyNumberFormat="1" applyFont="1" applyFill="1" applyAlignment="1">
      <alignment horizontal="centerContinuous" vertical="center"/>
    </xf>
    <xf numFmtId="42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 quotePrefix="1">
      <alignment horizontal="left"/>
    </xf>
    <xf numFmtId="172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184" fontId="7" fillId="0" borderId="0" xfId="286" applyNumberFormat="1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horizontal="left"/>
      <protection locked="0"/>
    </xf>
    <xf numFmtId="42" fontId="7" fillId="0" borderId="0" xfId="179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0" fontId="8" fillId="0" borderId="0" xfId="0" applyNumberFormat="1" applyFont="1" applyFill="1" applyAlignment="1">
      <alignment horizontal="left"/>
    </xf>
    <xf numFmtId="171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171" fontId="8" fillId="0" borderId="2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Alignment="1" applyProtection="1">
      <alignment horizontal="right"/>
      <protection locked="0"/>
    </xf>
    <xf numFmtId="177" fontId="7" fillId="0" borderId="0" xfId="142" applyNumberFormat="1" applyFont="1" applyFill="1" applyAlignment="1">
      <alignment/>
    </xf>
    <xf numFmtId="3" fontId="7" fillId="0" borderId="0" xfId="142" applyNumberFormat="1" applyFont="1" applyFill="1" applyAlignment="1">
      <alignment horizontal="right"/>
    </xf>
    <xf numFmtId="17" fontId="9" fillId="0" borderId="0" xfId="0" applyNumberFormat="1" applyFont="1" applyFill="1" applyBorder="1" applyAlignment="1">
      <alignment horizontal="left"/>
    </xf>
    <xf numFmtId="3" fontId="7" fillId="0" borderId="0" xfId="142" applyNumberFormat="1" applyFont="1" applyFill="1" applyBorder="1" applyAlignment="1">
      <alignment/>
    </xf>
    <xf numFmtId="177" fontId="7" fillId="0" borderId="20" xfId="142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41" fontId="7" fillId="0" borderId="0" xfId="0" applyNumberFormat="1" applyFont="1" applyFill="1" applyAlignment="1" applyProtection="1">
      <alignment vertical="center"/>
      <protection locked="0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/>
    </xf>
    <xf numFmtId="10" fontId="7" fillId="0" borderId="20" xfId="0" applyNumberFormat="1" applyFont="1" applyFill="1" applyBorder="1" applyAlignment="1">
      <alignment/>
    </xf>
    <xf numFmtId="0" fontId="14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/>
    </xf>
    <xf numFmtId="171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 applyProtection="1" quotePrefix="1">
      <alignment horizontal="center"/>
      <protection locked="0"/>
    </xf>
    <xf numFmtId="3" fontId="7" fillId="0" borderId="0" xfId="142" applyNumberFormat="1" applyFont="1" applyFill="1" applyAlignment="1">
      <alignment/>
    </xf>
    <xf numFmtId="41" fontId="7" fillId="0" borderId="0" xfId="142" applyNumberFormat="1" applyFont="1" applyFill="1" applyAlignment="1">
      <alignment/>
    </xf>
    <xf numFmtId="41" fontId="7" fillId="0" borderId="21" xfId="142" applyNumberFormat="1" applyFont="1" applyFill="1" applyBorder="1" applyAlignment="1">
      <alignment/>
    </xf>
    <xf numFmtId="169" fontId="7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 wrapText="1"/>
    </xf>
    <xf numFmtId="169" fontId="7" fillId="0" borderId="0" xfId="0" applyFont="1" applyAlignment="1">
      <alignment horizontal="left"/>
    </xf>
    <xf numFmtId="41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 quotePrefix="1">
      <alignment horizontal="left"/>
    </xf>
    <xf numFmtId="169" fontId="8" fillId="0" borderId="0" xfId="0" applyFont="1" applyFill="1" applyAlignment="1">
      <alignment/>
    </xf>
    <xf numFmtId="169" fontId="7" fillId="0" borderId="0" xfId="0" applyFont="1" applyFill="1" applyAlignment="1">
      <alignment/>
    </xf>
    <xf numFmtId="169" fontId="8" fillId="0" borderId="0" xfId="0" applyFont="1" applyFill="1" applyAlignment="1">
      <alignment horizontal="right"/>
    </xf>
    <xf numFmtId="169" fontId="8" fillId="0" borderId="0" xfId="0" applyFont="1" applyFill="1" applyAlignment="1">
      <alignment horizontal="left"/>
    </xf>
    <xf numFmtId="169" fontId="8" fillId="0" borderId="0" xfId="0" applyFont="1" applyFill="1" applyAlignment="1" applyProtection="1">
      <alignment horizontal="centerContinuous"/>
      <protection locked="0"/>
    </xf>
    <xf numFmtId="169" fontId="8" fillId="0" borderId="0" xfId="0" applyFont="1" applyFill="1" applyAlignment="1">
      <alignment horizontal="centerContinuous"/>
    </xf>
    <xf numFmtId="169" fontId="8" fillId="0" borderId="0" xfId="0" applyFont="1" applyFill="1" applyBorder="1" applyAlignment="1">
      <alignment horizontal="centerContinuous"/>
    </xf>
    <xf numFmtId="169" fontId="8" fillId="0" borderId="0" xfId="0" applyFont="1" applyFill="1" applyAlignment="1" applyProtection="1">
      <alignment horizontal="left"/>
      <protection locked="0"/>
    </xf>
    <xf numFmtId="169" fontId="8" fillId="0" borderId="0" xfId="0" applyFont="1" applyFill="1" applyAlignment="1">
      <alignment horizontal="center"/>
    </xf>
    <xf numFmtId="169" fontId="8" fillId="0" borderId="20" xfId="0" applyFont="1" applyFill="1" applyBorder="1" applyAlignment="1">
      <alignment horizontal="center"/>
    </xf>
    <xf numFmtId="169" fontId="8" fillId="0" borderId="20" xfId="0" applyFont="1" applyFill="1" applyBorder="1" applyAlignment="1">
      <alignment horizontal="left"/>
    </xf>
    <xf numFmtId="169" fontId="7" fillId="0" borderId="0" xfId="0" applyFont="1" applyFill="1" applyAlignment="1">
      <alignment horizontal="fill"/>
    </xf>
    <xf numFmtId="42" fontId="7" fillId="0" borderId="0" xfId="0" applyNumberFormat="1" applyFont="1" applyFill="1" applyAlignment="1" applyProtection="1">
      <alignment horizontal="right"/>
      <protection locked="0"/>
    </xf>
    <xf numFmtId="171" fontId="7" fillId="0" borderId="21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Border="1" applyAlignment="1">
      <alignment horizontal="right"/>
    </xf>
    <xf numFmtId="169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169" fontId="8" fillId="0" borderId="0" xfId="0" applyFont="1" applyFill="1" applyBorder="1" applyAlignment="1" quotePrefix="1">
      <alignment horizontal="right"/>
    </xf>
    <xf numFmtId="169" fontId="8" fillId="0" borderId="20" xfId="0" applyFont="1" applyFill="1" applyBorder="1" applyAlignment="1">
      <alignment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vertical="center" indent="2"/>
    </xf>
    <xf numFmtId="169" fontId="7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Alignment="1">
      <alignment vertical="top"/>
    </xf>
    <xf numFmtId="37" fontId="7" fillId="0" borderId="0" xfId="0" applyNumberFormat="1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left" wrapText="1"/>
    </xf>
    <xf numFmtId="41" fontId="7" fillId="0" borderId="0" xfId="142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1" fontId="7" fillId="0" borderId="20" xfId="179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Alignment="1">
      <alignment horizontal="center"/>
    </xf>
    <xf numFmtId="41" fontId="7" fillId="0" borderId="20" xfId="142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>
      <alignment horizontal="center"/>
    </xf>
    <xf numFmtId="42" fontId="7" fillId="0" borderId="0" xfId="142" applyNumberFormat="1" applyFont="1" applyFill="1" applyAlignment="1">
      <alignment horizontal="right"/>
    </xf>
    <xf numFmtId="41" fontId="7" fillId="0" borderId="0" xfId="142" applyNumberFormat="1" applyFont="1" applyFill="1" applyAlignment="1">
      <alignment horizontal="right"/>
    </xf>
    <xf numFmtId="10" fontId="0" fillId="0" borderId="0" xfId="286" applyNumberFormat="1" applyFont="1" applyFill="1" applyAlignment="1">
      <alignment/>
    </xf>
    <xf numFmtId="42" fontId="7" fillId="0" borderId="0" xfId="179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/>
    </xf>
    <xf numFmtId="180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42" fontId="7" fillId="0" borderId="0" xfId="179" applyNumberFormat="1" applyFont="1" applyFill="1" applyBorder="1" applyAlignment="1" applyProtection="1">
      <alignment/>
      <protection/>
    </xf>
    <xf numFmtId="179" fontId="7" fillId="0" borderId="0" xfId="0" applyNumberFormat="1" applyFont="1" applyFill="1" applyAlignment="1" applyProtection="1">
      <alignment horizontal="left"/>
      <protection/>
    </xf>
    <xf numFmtId="10" fontId="7" fillId="0" borderId="0" xfId="0" applyNumberFormat="1" applyFont="1" applyFill="1" applyAlignment="1" applyProtection="1">
      <alignment/>
      <protection/>
    </xf>
    <xf numFmtId="42" fontId="7" fillId="0" borderId="28" xfId="179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>
      <alignment vertical="top"/>
    </xf>
    <xf numFmtId="177" fontId="7" fillId="0" borderId="0" xfId="142" applyNumberFormat="1" applyFont="1" applyFill="1" applyBorder="1" applyAlignment="1">
      <alignment/>
    </xf>
    <xf numFmtId="177" fontId="7" fillId="0" borderId="0" xfId="179" applyNumberFormat="1" applyFont="1" applyFill="1" applyBorder="1" applyAlignment="1">
      <alignment/>
    </xf>
    <xf numFmtId="3" fontId="7" fillId="0" borderId="0" xfId="142" applyNumberFormat="1" applyFont="1" applyFill="1" applyBorder="1" applyAlignment="1">
      <alignment/>
    </xf>
    <xf numFmtId="177" fontId="7" fillId="0" borderId="0" xfId="142" applyNumberFormat="1" applyFont="1" applyBorder="1" applyAlignment="1">
      <alignment/>
    </xf>
    <xf numFmtId="169" fontId="7" fillId="0" borderId="21" xfId="0" applyFont="1" applyFill="1" applyBorder="1" applyAlignment="1">
      <alignment/>
    </xf>
    <xf numFmtId="41" fontId="7" fillId="0" borderId="0" xfId="142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vertical="center"/>
    </xf>
    <xf numFmtId="41" fontId="7" fillId="0" borderId="0" xfId="142" applyNumberFormat="1" applyFont="1" applyFill="1" applyAlignment="1">
      <alignment horizontal="left" vertical="top"/>
    </xf>
    <xf numFmtId="169" fontId="7" fillId="0" borderId="0" xfId="0" applyFont="1" applyFill="1" applyAlignment="1">
      <alignment horizontal="center"/>
    </xf>
    <xf numFmtId="169" fontId="7" fillId="0" borderId="0" xfId="0" applyFont="1" applyFill="1" applyAlignment="1">
      <alignment horizontal="left" wrapText="1"/>
    </xf>
    <xf numFmtId="171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center" vertical="top"/>
    </xf>
    <xf numFmtId="15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left" vertical="center"/>
    </xf>
    <xf numFmtId="169" fontId="7" fillId="0" borderId="0" xfId="0" applyFont="1" applyFill="1" applyAlignment="1">
      <alignment horizontal="center" vertical="center"/>
    </xf>
    <xf numFmtId="177" fontId="7" fillId="0" borderId="0" xfId="179" applyNumberFormat="1" applyFont="1" applyFill="1" applyAlignment="1">
      <alignment/>
    </xf>
    <xf numFmtId="169" fontId="7" fillId="0" borderId="21" xfId="0" applyFont="1" applyFill="1" applyBorder="1" applyAlignment="1">
      <alignment horizontal="left" wrapText="1"/>
    </xf>
    <xf numFmtId="37" fontId="7" fillId="0" borderId="21" xfId="0" applyNumberFormat="1" applyFont="1" applyFill="1" applyBorder="1" applyAlignment="1">
      <alignment vertical="top"/>
    </xf>
    <xf numFmtId="10" fontId="7" fillId="0" borderId="21" xfId="0" applyNumberFormat="1" applyFont="1" applyFill="1" applyBorder="1" applyAlignment="1">
      <alignment/>
    </xf>
    <xf numFmtId="42" fontId="7" fillId="0" borderId="19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left"/>
    </xf>
    <xf numFmtId="169" fontId="8" fillId="0" borderId="0" xfId="0" applyFont="1" applyFill="1" applyBorder="1" applyAlignment="1">
      <alignment horizontal="center"/>
    </xf>
    <xf numFmtId="42" fontId="7" fillId="0" borderId="19" xfId="179" applyNumberFormat="1" applyFont="1" applyFill="1" applyBorder="1" applyAlignment="1">
      <alignment/>
    </xf>
    <xf numFmtId="169" fontId="7" fillId="0" borderId="0" xfId="0" applyFont="1" applyFill="1" applyBorder="1" applyAlignment="1">
      <alignment horizontal="left"/>
    </xf>
    <xf numFmtId="169" fontId="8" fillId="0" borderId="0" xfId="0" applyFont="1" applyFill="1" applyAlignment="1">
      <alignment horizontal="left" wrapText="1"/>
    </xf>
    <xf numFmtId="42" fontId="7" fillId="0" borderId="28" xfId="0" applyNumberFormat="1" applyFont="1" applyFill="1" applyBorder="1" applyAlignment="1" applyProtection="1">
      <alignment horizontal="left" wrapText="1"/>
      <protection locked="0"/>
    </xf>
    <xf numFmtId="178" fontId="7" fillId="0" borderId="19" xfId="179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left"/>
    </xf>
    <xf numFmtId="42" fontId="7" fillId="0" borderId="0" xfId="179" applyNumberFormat="1" applyFont="1" applyFill="1" applyBorder="1" applyAlignment="1">
      <alignment horizontal="right"/>
    </xf>
    <xf numFmtId="169" fontId="7" fillId="0" borderId="0" xfId="0" applyFont="1" applyFill="1" applyAlignment="1" quotePrefix="1">
      <alignment horizontal="center"/>
    </xf>
    <xf numFmtId="169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69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Alignment="1">
      <alignment/>
    </xf>
    <xf numFmtId="177" fontId="7" fillId="0" borderId="0" xfId="142" applyNumberFormat="1" applyFont="1" applyFill="1" applyAlignment="1">
      <alignment/>
    </xf>
    <xf numFmtId="177" fontId="7" fillId="0" borderId="20" xfId="142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42" fontId="7" fillId="0" borderId="0" xfId="179" applyNumberFormat="1" applyFont="1" applyFill="1" applyAlignment="1">
      <alignment/>
    </xf>
    <xf numFmtId="169" fontId="0" fillId="0" borderId="0" xfId="0" applyFont="1" applyFill="1" applyBorder="1" applyAlignment="1">
      <alignment/>
    </xf>
    <xf numFmtId="37" fontId="7" fillId="0" borderId="0" xfId="142" applyNumberFormat="1" applyFont="1" applyFill="1" applyBorder="1" applyAlignment="1">
      <alignment/>
    </xf>
    <xf numFmtId="169" fontId="7" fillId="0" borderId="0" xfId="0" applyFont="1" applyFill="1" applyAlignment="1" quotePrefix="1">
      <alignment horizontal="left"/>
    </xf>
    <xf numFmtId="169" fontId="9" fillId="0" borderId="0" xfId="0" applyFont="1" applyFill="1" applyAlignment="1">
      <alignment horizontal="center"/>
    </xf>
    <xf numFmtId="169" fontId="7" fillId="0" borderId="0" xfId="0" applyFont="1" applyFill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20" xfId="0" applyNumberFormat="1" applyFont="1" applyBorder="1" applyAlignment="1">
      <alignment horizontal="right"/>
    </xf>
    <xf numFmtId="169" fontId="7" fillId="0" borderId="0" xfId="0" applyFont="1" applyBorder="1" applyAlignment="1">
      <alignment horizontal="left"/>
    </xf>
    <xf numFmtId="169" fontId="8" fillId="0" borderId="0" xfId="0" applyFont="1" applyFill="1" applyAlignment="1" applyProtection="1">
      <alignment horizontal="center"/>
      <protection locked="0"/>
    </xf>
    <xf numFmtId="18" fontId="8" fillId="0" borderId="0" xfId="0" applyNumberFormat="1" applyFont="1" applyFill="1" applyAlignment="1">
      <alignment horizontal="left" wrapText="1"/>
    </xf>
    <xf numFmtId="169" fontId="8" fillId="0" borderId="0" xfId="0" applyFont="1" applyFill="1" applyAlignment="1" applyProtection="1">
      <alignment horizontal="left" wrapText="1"/>
      <protection locked="0"/>
    </xf>
    <xf numFmtId="169" fontId="8" fillId="0" borderId="20" xfId="0" applyFont="1" applyFill="1" applyBorder="1" applyAlignment="1">
      <alignment horizontal="left" wrapText="1"/>
    </xf>
    <xf numFmtId="169" fontId="8" fillId="0" borderId="20" xfId="0" applyFont="1" applyFill="1" applyBorder="1" applyAlignment="1" applyProtection="1">
      <alignment horizontal="center"/>
      <protection locked="0"/>
    </xf>
    <xf numFmtId="169" fontId="7" fillId="0" borderId="0" xfId="0" applyFont="1" applyFill="1" applyAlignment="1">
      <alignment horizontal="left" indent="1"/>
    </xf>
    <xf numFmtId="42" fontId="26" fillId="0" borderId="0" xfId="0" applyNumberFormat="1" applyFont="1" applyFill="1" applyAlignment="1">
      <alignment/>
    </xf>
    <xf numFmtId="169" fontId="10" fillId="0" borderId="0" xfId="0" applyFont="1" applyFill="1" applyAlignment="1">
      <alignment/>
    </xf>
    <xf numFmtId="178" fontId="7" fillId="0" borderId="0" xfId="179" applyNumberFormat="1" applyFont="1" applyFill="1" applyAlignment="1" applyProtection="1">
      <alignment/>
      <protection locked="0"/>
    </xf>
    <xf numFmtId="177" fontId="7" fillId="0" borderId="0" xfId="142" applyNumberFormat="1" applyFont="1" applyFill="1" applyAlignment="1" applyProtection="1">
      <alignment/>
      <protection locked="0"/>
    </xf>
    <xf numFmtId="177" fontId="7" fillId="0" borderId="0" xfId="142" applyNumberFormat="1" applyFont="1" applyFill="1" applyBorder="1" applyAlignment="1" applyProtection="1">
      <alignment/>
      <protection locked="0"/>
    </xf>
    <xf numFmtId="177" fontId="7" fillId="0" borderId="21" xfId="142" applyNumberFormat="1" applyFont="1" applyFill="1" applyBorder="1" applyAlignment="1" applyProtection="1">
      <alignment/>
      <protection locked="0"/>
    </xf>
    <xf numFmtId="42" fontId="7" fillId="0" borderId="21" xfId="179" applyNumberFormat="1" applyFont="1" applyFill="1" applyBorder="1" applyAlignment="1" applyProtection="1">
      <alignment/>
      <protection locked="0"/>
    </xf>
    <xf numFmtId="177" fontId="7" fillId="0" borderId="20" xfId="142" applyNumberFormat="1" applyFont="1" applyFill="1" applyBorder="1" applyAlignment="1" applyProtection="1">
      <alignment/>
      <protection locked="0"/>
    </xf>
    <xf numFmtId="192" fontId="7" fillId="0" borderId="0" xfId="142" applyNumberFormat="1" applyFont="1" applyFill="1" applyAlignment="1">
      <alignment/>
    </xf>
    <xf numFmtId="192" fontId="7" fillId="0" borderId="0" xfId="142" applyNumberFormat="1" applyFont="1" applyFill="1" applyBorder="1" applyAlignment="1">
      <alignment/>
    </xf>
    <xf numFmtId="192" fontId="7" fillId="0" borderId="0" xfId="142" applyNumberFormat="1" applyFont="1" applyFill="1" applyBorder="1" applyAlignment="1" applyProtection="1">
      <alignment/>
      <protection locked="0"/>
    </xf>
    <xf numFmtId="192" fontId="7" fillId="0" borderId="0" xfId="142" applyNumberFormat="1" applyFont="1" applyFill="1" applyBorder="1" applyAlignment="1">
      <alignment vertical="top"/>
    </xf>
    <xf numFmtId="4" fontId="7" fillId="0" borderId="0" xfId="142" applyFont="1" applyFill="1" applyAlignment="1">
      <alignment/>
    </xf>
    <xf numFmtId="191" fontId="7" fillId="0" borderId="0" xfId="142" applyNumberFormat="1" applyFont="1" applyFill="1" applyAlignment="1">
      <alignment/>
    </xf>
    <xf numFmtId="191" fontId="7" fillId="0" borderId="0" xfId="142" applyNumberFormat="1" applyFont="1" applyFill="1" applyAlignment="1">
      <alignment horizontal="left" wrapText="1"/>
    </xf>
    <xf numFmtId="191" fontId="7" fillId="0" borderId="0" xfId="142" applyNumberFormat="1" applyFont="1" applyFill="1" applyAlignment="1">
      <alignment/>
    </xf>
    <xf numFmtId="169" fontId="8" fillId="0" borderId="0" xfId="0" applyFont="1" applyFill="1" applyBorder="1" applyAlignment="1">
      <alignment horizontal="right"/>
    </xf>
    <xf numFmtId="169" fontId="8" fillId="0" borderId="0" xfId="0" applyFont="1" applyFill="1" applyBorder="1" applyAlignment="1">
      <alignment/>
    </xf>
    <xf numFmtId="169" fontId="8" fillId="0" borderId="0" xfId="0" applyFont="1" applyFill="1" applyBorder="1" applyAlignment="1">
      <alignment horizontal="center"/>
    </xf>
    <xf numFmtId="169" fontId="7" fillId="0" borderId="0" xfId="0" applyFont="1" applyFill="1" applyBorder="1" applyAlignment="1">
      <alignment horizontal="left" indent="1"/>
    </xf>
    <xf numFmtId="41" fontId="7" fillId="0" borderId="0" xfId="142" applyNumberFormat="1" applyFont="1" applyAlignment="1">
      <alignment wrapText="1"/>
    </xf>
    <xf numFmtId="169" fontId="7" fillId="0" borderId="0" xfId="0" applyFont="1" applyFill="1" applyAlignment="1">
      <alignment horizontal="left" indent="3"/>
    </xf>
    <xf numFmtId="169" fontId="7" fillId="0" borderId="0" xfId="0" applyFont="1" applyFill="1" applyBorder="1" applyAlignment="1">
      <alignment horizontal="left" indent="2"/>
    </xf>
    <xf numFmtId="169" fontId="7" fillId="0" borderId="0" xfId="0" applyFont="1" applyFill="1" applyAlignment="1">
      <alignment horizontal="left" indent="2"/>
    </xf>
    <xf numFmtId="3" fontId="7" fillId="0" borderId="21" xfId="142" applyNumberFormat="1" applyFont="1" applyFill="1" applyBorder="1" applyAlignment="1">
      <alignment/>
    </xf>
    <xf numFmtId="37" fontId="7" fillId="0" borderId="21" xfId="0" applyNumberFormat="1" applyFont="1" applyFill="1" applyBorder="1" applyAlignment="1">
      <alignment/>
    </xf>
    <xf numFmtId="169" fontId="8" fillId="0" borderId="20" xfId="0" applyFont="1" applyFill="1" applyBorder="1" applyAlignment="1">
      <alignment horizontal="centerContinuous"/>
    </xf>
    <xf numFmtId="9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/>
    </xf>
    <xf numFmtId="177" fontId="7" fillId="0" borderId="21" xfId="142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horizontal="center"/>
      <protection locked="0"/>
    </xf>
    <xf numFmtId="169" fontId="9" fillId="0" borderId="0" xfId="0" applyFont="1" applyFill="1" applyAlignment="1">
      <alignment horizontal="left"/>
    </xf>
    <xf numFmtId="171" fontId="9" fillId="0" borderId="0" xfId="0" applyNumberFormat="1" applyFont="1" applyFill="1" applyBorder="1" applyAlignment="1" applyProtection="1">
      <alignment/>
      <protection locked="0"/>
    </xf>
    <xf numFmtId="171" fontId="7" fillId="0" borderId="21" xfId="0" applyNumberFormat="1" applyFont="1" applyFill="1" applyBorder="1" applyAlignment="1" applyProtection="1">
      <alignment/>
      <protection locked="0"/>
    </xf>
    <xf numFmtId="169" fontId="7" fillId="0" borderId="0" xfId="0" applyFont="1" applyFill="1" applyAlignment="1">
      <alignment horizontal="left" wrapText="1"/>
    </xf>
    <xf numFmtId="41" fontId="7" fillId="0" borderId="29" xfId="0" applyNumberFormat="1" applyFont="1" applyFill="1" applyBorder="1" applyAlignment="1">
      <alignment horizontal="right"/>
    </xf>
    <xf numFmtId="10" fontId="7" fillId="0" borderId="29" xfId="286" applyNumberFormat="1" applyFont="1" applyFill="1" applyBorder="1" applyAlignment="1">
      <alignment/>
    </xf>
    <xf numFmtId="42" fontId="7" fillId="0" borderId="0" xfId="142" applyNumberFormat="1" applyFont="1" applyFill="1" applyAlignment="1">
      <alignment/>
    </xf>
    <xf numFmtId="9" fontId="7" fillId="0" borderId="0" xfId="286" applyFont="1" applyFill="1" applyAlignment="1">
      <alignment/>
    </xf>
    <xf numFmtId="15" fontId="7" fillId="0" borderId="0" xfId="0" applyNumberFormat="1" applyFont="1" applyFill="1" applyBorder="1" applyAlignment="1">
      <alignment/>
    </xf>
    <xf numFmtId="9" fontId="7" fillId="0" borderId="0" xfId="286" applyFont="1" applyFill="1" applyBorder="1" applyAlignment="1">
      <alignment/>
    </xf>
    <xf numFmtId="41" fontId="7" fillId="0" borderId="0" xfId="0" applyNumberFormat="1" applyFont="1" applyFill="1" applyBorder="1" applyAlignment="1">
      <alignment horizontal="left"/>
    </xf>
    <xf numFmtId="41" fontId="7" fillId="0" borderId="0" xfId="142" applyNumberFormat="1" applyFont="1" applyFill="1" applyBorder="1" applyAlignment="1" applyProtection="1">
      <alignment/>
      <protection locked="0"/>
    </xf>
    <xf numFmtId="44" fontId="7" fillId="0" borderId="0" xfId="0" applyNumberFormat="1" applyFont="1" applyFill="1" applyAlignment="1">
      <alignment/>
    </xf>
    <xf numFmtId="177" fontId="7" fillId="0" borderId="0" xfId="142" applyNumberFormat="1" applyFont="1" applyFill="1" applyBorder="1" applyAlignment="1">
      <alignment/>
    </xf>
    <xf numFmtId="169" fontId="11" fillId="0" borderId="0" xfId="0" applyFont="1" applyAlignment="1">
      <alignment horizontal="left" wrapText="1"/>
    </xf>
    <xf numFmtId="41" fontId="7" fillId="0" borderId="0" xfId="179" applyNumberFormat="1" applyFont="1" applyFill="1" applyBorder="1" applyAlignment="1">
      <alignment/>
    </xf>
    <xf numFmtId="42" fontId="7" fillId="0" borderId="19" xfId="179" applyNumberFormat="1" applyFont="1" applyFill="1" applyBorder="1" applyAlignment="1">
      <alignment/>
    </xf>
    <xf numFmtId="41" fontId="7" fillId="0" borderId="0" xfId="179" applyNumberFormat="1" applyFont="1" applyFill="1" applyAlignment="1">
      <alignment/>
    </xf>
    <xf numFmtId="42" fontId="7" fillId="0" borderId="20" xfId="179" applyNumberFormat="1" applyFont="1" applyFill="1" applyBorder="1" applyAlignment="1">
      <alignment/>
    </xf>
    <xf numFmtId="41" fontId="7" fillId="0" borderId="20" xfId="179" applyNumberFormat="1" applyFont="1" applyFill="1" applyBorder="1" applyAlignment="1">
      <alignment/>
    </xf>
    <xf numFmtId="9" fontId="7" fillId="0" borderId="0" xfId="286" applyNumberFormat="1" applyFont="1" applyFill="1" applyAlignment="1">
      <alignment/>
    </xf>
    <xf numFmtId="0" fontId="22" fillId="0" borderId="0" xfId="0" applyNumberFormat="1" applyFont="1" applyFill="1" applyAlignment="1">
      <alignment horizontal="center"/>
    </xf>
    <xf numFmtId="184" fontId="7" fillId="0" borderId="4" xfId="0" applyNumberFormat="1" applyFont="1" applyFill="1" applyBorder="1" applyAlignment="1">
      <alignment horizontal="right" wrapText="1"/>
    </xf>
    <xf numFmtId="177" fontId="11" fillId="0" borderId="0" xfId="142" applyNumberFormat="1" applyFont="1" applyFill="1" applyAlignment="1">
      <alignment horizontal="right"/>
    </xf>
    <xf numFmtId="177" fontId="11" fillId="0" borderId="0" xfId="142" applyNumberFormat="1" applyFont="1" applyFill="1" applyAlignment="1">
      <alignment/>
    </xf>
    <xf numFmtId="42" fontId="7" fillId="0" borderId="19" xfId="142" applyNumberFormat="1" applyFont="1" applyFill="1" applyBorder="1" applyAlignment="1">
      <alignment/>
    </xf>
    <xf numFmtId="42" fontId="7" fillId="0" borderId="28" xfId="0" applyNumberFormat="1" applyFont="1" applyFill="1" applyBorder="1" applyAlignment="1">
      <alignment/>
    </xf>
    <xf numFmtId="42" fontId="7" fillId="0" borderId="0" xfId="0" applyNumberFormat="1" applyFont="1" applyFill="1" applyAlignment="1" applyProtection="1">
      <alignment vertical="center"/>
      <protection locked="0"/>
    </xf>
    <xf numFmtId="37" fontId="7" fillId="0" borderId="0" xfId="142" applyNumberFormat="1" applyFont="1" applyFill="1" applyAlignment="1" applyProtection="1">
      <alignment vertical="center"/>
      <protection locked="0"/>
    </xf>
    <xf numFmtId="5" fontId="7" fillId="0" borderId="19" xfId="179" applyNumberFormat="1" applyFont="1" applyFill="1" applyBorder="1" applyAlignment="1">
      <alignment/>
    </xf>
    <xf numFmtId="178" fontId="7" fillId="0" borderId="19" xfId="0" applyNumberFormat="1" applyFont="1" applyFill="1" applyBorder="1" applyAlignment="1">
      <alignment/>
    </xf>
    <xf numFmtId="199" fontId="7" fillId="0" borderId="0" xfId="286" applyNumberFormat="1" applyFont="1" applyFill="1" applyBorder="1" applyAlignment="1">
      <alignment/>
    </xf>
    <xf numFmtId="178" fontId="7" fillId="0" borderId="0" xfId="179" applyNumberFormat="1" applyFont="1" applyFill="1" applyBorder="1" applyAlignment="1" applyProtection="1">
      <alignment/>
      <protection locked="0"/>
    </xf>
    <xf numFmtId="167" fontId="7" fillId="0" borderId="20" xfId="286" applyNumberFormat="1" applyFont="1" applyFill="1" applyBorder="1" applyAlignment="1" applyProtection="1">
      <alignment/>
      <protection locked="0"/>
    </xf>
    <xf numFmtId="41" fontId="7" fillId="0" borderId="20" xfId="142" applyNumberFormat="1" applyFont="1" applyFill="1" applyBorder="1" applyAlignment="1">
      <alignment horizontal="right"/>
    </xf>
    <xf numFmtId="41" fontId="7" fillId="0" borderId="2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>
      <alignment horizontal="left"/>
    </xf>
    <xf numFmtId="6" fontId="7" fillId="0" borderId="21" xfId="179" applyNumberFormat="1" applyFont="1" applyFill="1" applyBorder="1" applyAlignment="1" applyProtection="1">
      <alignment/>
      <protection locked="0"/>
    </xf>
    <xf numFmtId="5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right"/>
    </xf>
    <xf numFmtId="171" fontId="7" fillId="0" borderId="2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42" fontId="7" fillId="0" borderId="0" xfId="179" applyNumberFormat="1" applyFont="1" applyFill="1" applyBorder="1" applyAlignment="1" applyProtection="1">
      <alignment horizontal="right"/>
      <protection locked="0"/>
    </xf>
    <xf numFmtId="42" fontId="7" fillId="0" borderId="21" xfId="0" applyNumberFormat="1" applyFont="1" applyFill="1" applyBorder="1" applyAlignment="1">
      <alignment/>
    </xf>
    <xf numFmtId="10" fontId="7" fillId="0" borderId="20" xfId="286" applyNumberFormat="1" applyFont="1" applyFill="1" applyBorder="1" applyAlignment="1">
      <alignment horizontal="right"/>
    </xf>
    <xf numFmtId="178" fontId="7" fillId="0" borderId="28" xfId="179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178" fontId="7" fillId="0" borderId="19" xfId="179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9" xfId="0" applyNumberFormat="1" applyFont="1" applyFill="1" applyBorder="1" applyAlignment="1">
      <alignment horizontal="right"/>
    </xf>
    <xf numFmtId="178" fontId="7" fillId="0" borderId="21" xfId="0" applyNumberFormat="1" applyFont="1" applyFill="1" applyBorder="1" applyAlignment="1">
      <alignment/>
    </xf>
    <xf numFmtId="178" fontId="7" fillId="0" borderId="28" xfId="0" applyNumberFormat="1" applyFont="1" applyFill="1" applyBorder="1" applyAlignment="1">
      <alignment/>
    </xf>
    <xf numFmtId="42" fontId="7" fillId="0" borderId="21" xfId="142" applyNumberFormat="1" applyFont="1" applyFill="1" applyBorder="1" applyAlignment="1" applyProtection="1">
      <alignment/>
      <protection locked="0"/>
    </xf>
    <xf numFmtId="42" fontId="7" fillId="0" borderId="0" xfId="142" applyNumberFormat="1" applyFont="1" applyFill="1" applyBorder="1" applyAlignment="1" applyProtection="1">
      <alignment/>
      <protection locked="0"/>
    </xf>
    <xf numFmtId="42" fontId="7" fillId="0" borderId="0" xfId="142" applyNumberFormat="1" applyFont="1" applyFill="1" applyAlignment="1" applyProtection="1">
      <alignment/>
      <protection locked="0"/>
    </xf>
    <xf numFmtId="42" fontId="7" fillId="0" borderId="4" xfId="0" applyNumberFormat="1" applyFont="1" applyFill="1" applyBorder="1" applyAlignment="1" applyProtection="1">
      <alignment/>
      <protection locked="0"/>
    </xf>
    <xf numFmtId="178" fontId="7" fillId="0" borderId="0" xfId="181" applyNumberFormat="1" applyFont="1" applyFill="1" applyAlignment="1" applyProtection="1">
      <alignment/>
      <protection locked="0"/>
    </xf>
    <xf numFmtId="177" fontId="7" fillId="0" borderId="0" xfId="144" applyNumberFormat="1" applyFont="1" applyFill="1" applyAlignment="1" applyProtection="1">
      <alignment/>
      <protection locked="0"/>
    </xf>
    <xf numFmtId="177" fontId="7" fillId="0" borderId="20" xfId="153" applyNumberFormat="1" applyFont="1" applyFill="1" applyBorder="1" applyAlignment="1" applyProtection="1">
      <alignment/>
      <protection locked="0"/>
    </xf>
    <xf numFmtId="169" fontId="7" fillId="0" borderId="0" xfId="356" applyFont="1" applyFill="1" applyAlignment="1">
      <alignment/>
      <protection/>
    </xf>
    <xf numFmtId="3" fontId="7" fillId="0" borderId="0" xfId="149" applyNumberFormat="1" applyFont="1" applyFill="1" applyBorder="1" applyAlignment="1">
      <alignment/>
    </xf>
    <xf numFmtId="41" fontId="7" fillId="0" borderId="0" xfId="356" applyNumberFormat="1" applyFont="1" applyFill="1" applyAlignment="1">
      <alignment/>
      <protection/>
    </xf>
    <xf numFmtId="41" fontId="7" fillId="0" borderId="0" xfId="356" applyNumberFormat="1" applyFont="1" applyFill="1" applyBorder="1" applyAlignment="1">
      <alignment/>
      <protection/>
    </xf>
    <xf numFmtId="42" fontId="7" fillId="0" borderId="0" xfId="186" applyNumberFormat="1" applyFont="1" applyFill="1" applyBorder="1" applyAlignment="1">
      <alignment/>
    </xf>
    <xf numFmtId="169" fontId="7" fillId="0" borderId="0" xfId="356" applyFont="1" applyFill="1" applyAlignment="1">
      <alignment horizontal="left"/>
      <protection/>
    </xf>
    <xf numFmtId="41" fontId="7" fillId="0" borderId="0" xfId="186" applyNumberFormat="1" applyFont="1" applyFill="1" applyBorder="1" applyAlignment="1">
      <alignment/>
    </xf>
    <xf numFmtId="37" fontId="7" fillId="0" borderId="0" xfId="356" applyNumberFormat="1" applyFont="1" applyFill="1" applyAlignment="1">
      <alignment/>
      <protection/>
    </xf>
    <xf numFmtId="9" fontId="7" fillId="0" borderId="0" xfId="356" applyNumberFormat="1" applyFont="1" applyFill="1" applyAlignment="1">
      <alignment horizontal="right"/>
      <protection/>
    </xf>
    <xf numFmtId="169" fontId="7" fillId="0" borderId="0" xfId="356" applyFont="1" applyFill="1" applyBorder="1">
      <alignment horizontal="left" wrapText="1"/>
      <protection/>
    </xf>
    <xf numFmtId="178" fontId="7" fillId="0" borderId="4" xfId="186" applyNumberFormat="1" applyFont="1" applyFill="1" applyBorder="1" applyAlignment="1">
      <alignment/>
    </xf>
    <xf numFmtId="169" fontId="8" fillId="0" borderId="0" xfId="356" applyFont="1" applyFill="1" applyBorder="1">
      <alignment horizontal="left" wrapText="1"/>
      <protection/>
    </xf>
    <xf numFmtId="178" fontId="7" fillId="0" borderId="19" xfId="186" applyNumberFormat="1" applyFont="1" applyFill="1" applyBorder="1" applyAlignment="1">
      <alignment/>
    </xf>
    <xf numFmtId="177" fontId="7" fillId="0" borderId="20" xfId="154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Fill="1" applyAlignment="1" applyProtection="1">
      <alignment horizontal="left" indent="1"/>
      <protection locked="0"/>
    </xf>
    <xf numFmtId="206" fontId="7" fillId="0" borderId="0" xfId="142" applyNumberFormat="1" applyFont="1" applyFill="1" applyAlignment="1">
      <alignment/>
    </xf>
    <xf numFmtId="206" fontId="7" fillId="0" borderId="21" xfId="142" applyNumberFormat="1" applyFont="1" applyFill="1" applyBorder="1" applyAlignment="1">
      <alignment/>
    </xf>
    <xf numFmtId="206" fontId="7" fillId="0" borderId="28" xfId="142" applyNumberFormat="1" applyFont="1" applyFill="1" applyBorder="1" applyAlignment="1" applyProtection="1">
      <alignment/>
      <protection locked="0"/>
    </xf>
    <xf numFmtId="206" fontId="7" fillId="0" borderId="0" xfId="142" applyNumberFormat="1" applyFont="1" applyFill="1" applyBorder="1" applyAlignment="1">
      <alignment/>
    </xf>
    <xf numFmtId="199" fontId="7" fillId="0" borderId="0" xfId="286" applyNumberFormat="1" applyFont="1" applyFill="1" applyBorder="1" applyAlignment="1">
      <alignment horizontal="right"/>
    </xf>
    <xf numFmtId="199" fontId="7" fillId="0" borderId="20" xfId="286" applyNumberFormat="1" applyFont="1" applyFill="1" applyBorder="1" applyAlignment="1">
      <alignment horizontal="right"/>
    </xf>
    <xf numFmtId="199" fontId="7" fillId="0" borderId="20" xfId="0" applyNumberFormat="1" applyFont="1" applyFill="1" applyBorder="1" applyAlignment="1">
      <alignment/>
    </xf>
    <xf numFmtId="10" fontId="7" fillId="0" borderId="0" xfId="179" applyNumberFormat="1" applyFont="1" applyFill="1" applyAlignment="1" applyProtection="1">
      <alignment/>
      <protection/>
    </xf>
    <xf numFmtId="169" fontId="9" fillId="0" borderId="0" xfId="0" applyFont="1" applyFill="1" applyBorder="1" applyAlignment="1">
      <alignment horizontal="left" indent="1"/>
    </xf>
    <xf numFmtId="42" fontId="7" fillId="0" borderId="0" xfId="142" applyNumberFormat="1" applyFont="1" applyFill="1" applyBorder="1" applyAlignment="1">
      <alignment/>
    </xf>
    <xf numFmtId="177" fontId="31" fillId="0" borderId="0" xfId="142" applyNumberFormat="1" applyFont="1" applyAlignment="1">
      <alignment/>
    </xf>
    <xf numFmtId="42" fontId="7" fillId="0" borderId="28" xfId="0" applyNumberFormat="1" applyFont="1" applyFill="1" applyBorder="1" applyAlignment="1">
      <alignment horizontal="left" wrapText="1"/>
    </xf>
    <xf numFmtId="42" fontId="7" fillId="0" borderId="0" xfId="0" applyNumberFormat="1" applyFont="1" applyFill="1" applyBorder="1" applyAlignment="1">
      <alignment horizontal="left" wrapText="1"/>
    </xf>
    <xf numFmtId="41" fontId="7" fillId="0" borderId="0" xfId="0" applyNumberFormat="1" applyFont="1" applyFill="1" applyBorder="1" applyAlignment="1">
      <alignment horizontal="left" wrapText="1"/>
    </xf>
    <xf numFmtId="42" fontId="7" fillId="0" borderId="0" xfId="142" applyNumberFormat="1" applyFont="1" applyFill="1" applyAlignment="1">
      <alignment/>
    </xf>
    <xf numFmtId="42" fontId="7" fillId="0" borderId="21" xfId="142" applyNumberFormat="1" applyFont="1" applyFill="1" applyBorder="1" applyAlignment="1">
      <alignment/>
    </xf>
    <xf numFmtId="41" fontId="7" fillId="0" borderId="20" xfId="356" applyNumberFormat="1" applyFont="1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169" fontId="7" fillId="0" borderId="0" xfId="356" applyNumberFormat="1" applyFont="1" applyAlignment="1">
      <alignment horizontal="left"/>
      <protection/>
    </xf>
    <xf numFmtId="169" fontId="9" fillId="0" borderId="0" xfId="356" applyNumberFormat="1" applyFont="1" applyAlignment="1">
      <alignment horizontal="left"/>
      <protection/>
    </xf>
    <xf numFmtId="169" fontId="7" fillId="0" borderId="0" xfId="356" applyNumberFormat="1" applyFont="1" applyAlignment="1">
      <alignment horizontal="left" indent="2"/>
      <protection/>
    </xf>
    <xf numFmtId="169" fontId="7" fillId="0" borderId="0" xfId="356" applyNumberFormat="1" applyFont="1" applyFill="1" applyAlignment="1">
      <alignment/>
      <protection/>
    </xf>
    <xf numFmtId="169" fontId="7" fillId="0" borderId="0" xfId="356" applyNumberFormat="1" applyFont="1" applyFill="1" applyAlignment="1" quotePrefix="1">
      <alignment horizontal="left"/>
      <protection/>
    </xf>
    <xf numFmtId="169" fontId="7" fillId="0" borderId="0" xfId="356" applyNumberFormat="1" applyFont="1" applyFill="1" applyAlignment="1">
      <alignment horizontal="left"/>
      <protection/>
    </xf>
    <xf numFmtId="41" fontId="11" fillId="0" borderId="0" xfId="356" applyNumberFormat="1" applyFont="1" applyBorder="1">
      <alignment horizontal="left" wrapText="1"/>
      <protection/>
    </xf>
    <xf numFmtId="41" fontId="37" fillId="0" borderId="0" xfId="356" applyNumberFormat="1" applyFont="1" applyBorder="1">
      <alignment horizontal="left" wrapText="1"/>
      <protection/>
    </xf>
    <xf numFmtId="41" fontId="22" fillId="0" borderId="0" xfId="142" applyNumberFormat="1" applyFont="1" applyFill="1" applyBorder="1" applyAlignment="1">
      <alignment/>
    </xf>
    <xf numFmtId="41" fontId="7" fillId="0" borderId="0" xfId="356" applyNumberFormat="1" applyFont="1" applyBorder="1">
      <alignment horizontal="left" wrapText="1"/>
      <protection/>
    </xf>
    <xf numFmtId="42" fontId="7" fillId="0" borderId="21" xfId="356" applyNumberFormat="1" applyFont="1" applyBorder="1">
      <alignment horizontal="left" wrapText="1"/>
      <protection/>
    </xf>
    <xf numFmtId="42" fontId="7" fillId="0" borderId="4" xfId="356" applyNumberFormat="1" applyFont="1" applyBorder="1">
      <alignment horizontal="left" wrapText="1"/>
      <protection/>
    </xf>
    <xf numFmtId="169" fontId="7" fillId="0" borderId="21" xfId="356" applyNumberFormat="1" applyFont="1" applyFill="1" applyBorder="1" applyAlignment="1">
      <alignment/>
      <protection/>
    </xf>
    <xf numFmtId="169" fontId="0" fillId="0" borderId="0" xfId="356" applyNumberFormat="1" applyFont="1" applyAlignment="1">
      <alignment/>
      <protection/>
    </xf>
    <xf numFmtId="37" fontId="7" fillId="0" borderId="0" xfId="356" applyNumberFormat="1" applyFont="1" applyFill="1" applyBorder="1" applyAlignment="1">
      <alignment/>
      <protection/>
    </xf>
    <xf numFmtId="42" fontId="7" fillId="0" borderId="0" xfId="356" applyNumberFormat="1" applyFont="1" applyFill="1" applyBorder="1" applyAlignment="1">
      <alignment/>
      <protection/>
    </xf>
    <xf numFmtId="9" fontId="7" fillId="0" borderId="0" xfId="356" applyNumberFormat="1" applyFont="1" applyFill="1" applyBorder="1" applyAlignment="1">
      <alignment/>
      <protection/>
    </xf>
    <xf numFmtId="169" fontId="7" fillId="0" borderId="0" xfId="356" applyNumberFormat="1" applyFont="1" applyFill="1" applyBorder="1" applyAlignment="1">
      <alignment/>
      <protection/>
    </xf>
    <xf numFmtId="178" fontId="7" fillId="0" borderId="19" xfId="356" applyNumberFormat="1" applyFont="1" applyFill="1" applyBorder="1" applyAlignment="1">
      <alignment/>
      <protection/>
    </xf>
    <xf numFmtId="169" fontId="7" fillId="0" borderId="0" xfId="356" applyNumberFormat="1" applyFont="1" applyFill="1">
      <alignment horizontal="left" wrapText="1"/>
      <protection/>
    </xf>
    <xf numFmtId="42" fontId="7" fillId="0" borderId="0" xfId="142" applyNumberFormat="1" applyFont="1" applyAlignment="1">
      <alignment/>
    </xf>
    <xf numFmtId="41" fontId="7" fillId="0" borderId="0" xfId="142" applyNumberFormat="1" applyFont="1" applyAlignment="1">
      <alignment/>
    </xf>
    <xf numFmtId="42" fontId="7" fillId="0" borderId="19" xfId="179" applyNumberFormat="1" applyFont="1" applyBorder="1" applyAlignment="1">
      <alignment/>
    </xf>
    <xf numFmtId="165" fontId="0" fillId="0" borderId="0" xfId="286" applyNumberFormat="1" applyFont="1" applyAlignment="1">
      <alignment/>
    </xf>
    <xf numFmtId="9" fontId="7" fillId="0" borderId="0" xfId="296" applyFont="1" applyFill="1" applyBorder="1" applyAlignment="1">
      <alignment horizontal="right" wrapText="1"/>
    </xf>
    <xf numFmtId="42" fontId="8" fillId="0" borderId="0" xfId="0" applyNumberFormat="1" applyFont="1" applyFill="1" applyAlignment="1" applyProtection="1">
      <alignment/>
      <protection locked="0"/>
    </xf>
    <xf numFmtId="42" fontId="8" fillId="0" borderId="0" xfId="0" applyNumberFormat="1" applyFont="1" applyFill="1" applyAlignment="1">
      <alignment/>
    </xf>
    <xf numFmtId="177" fontId="7" fillId="0" borderId="20" xfId="144" applyNumberFormat="1" applyFont="1" applyFill="1" applyBorder="1" applyAlignment="1" applyProtection="1">
      <alignment/>
      <protection locked="0"/>
    </xf>
    <xf numFmtId="3" fontId="7" fillId="0" borderId="0" xfId="142" applyNumberFormat="1" applyFont="1" applyFill="1" applyBorder="1" applyAlignment="1" applyProtection="1">
      <alignment/>
      <protection locked="0"/>
    </xf>
    <xf numFmtId="3" fontId="7" fillId="0" borderId="0" xfId="142" applyNumberFormat="1" applyFont="1" applyFill="1" applyBorder="1" applyAlignment="1" applyProtection="1">
      <alignment vertical="center"/>
      <protection locked="0"/>
    </xf>
    <xf numFmtId="10" fontId="7" fillId="0" borderId="0" xfId="286" applyNumberFormat="1" applyFont="1" applyFill="1" applyBorder="1" applyAlignment="1">
      <alignment/>
    </xf>
    <xf numFmtId="42" fontId="7" fillId="0" borderId="20" xfId="142" applyNumberFormat="1" applyFont="1" applyFill="1" applyBorder="1" applyAlignment="1">
      <alignment/>
    </xf>
    <xf numFmtId="169" fontId="8" fillId="0" borderId="0" xfId="358" applyNumberFormat="1" applyFont="1" applyFill="1" applyBorder="1" applyAlignment="1">
      <alignment/>
      <protection/>
    </xf>
    <xf numFmtId="169" fontId="7" fillId="0" borderId="0" xfId="358" applyNumberFormat="1" applyFont="1" applyFill="1" applyBorder="1" applyAlignment="1">
      <alignment/>
      <protection/>
    </xf>
    <xf numFmtId="169" fontId="7" fillId="0" borderId="0" xfId="358" applyNumberFormat="1" applyFont="1" applyFill="1" applyAlignment="1">
      <alignment horizontal="left" indent="1"/>
      <protection/>
    </xf>
    <xf numFmtId="169" fontId="7" fillId="0" borderId="0" xfId="358" applyNumberFormat="1" applyFont="1" applyFill="1" applyAlignment="1">
      <alignment horizontal="left" indent="2"/>
      <protection/>
    </xf>
    <xf numFmtId="169" fontId="7" fillId="0" borderId="0" xfId="358" applyNumberFormat="1" applyFont="1" applyFill="1" applyAlignment="1">
      <alignment horizontal="left"/>
      <protection/>
    </xf>
    <xf numFmtId="42" fontId="7" fillId="0" borderId="4" xfId="179" applyNumberFormat="1" applyFont="1" applyFill="1" applyBorder="1" applyAlignment="1">
      <alignment horizontal="right"/>
    </xf>
    <xf numFmtId="213" fontId="7" fillId="0" borderId="0" xfId="0" applyNumberFormat="1" applyFont="1" applyFill="1" applyAlignment="1">
      <alignment/>
    </xf>
    <xf numFmtId="0" fontId="8" fillId="0" borderId="30" xfId="0" applyNumberFormat="1" applyFont="1" applyFill="1" applyBorder="1" applyAlignment="1" quotePrefix="1">
      <alignment horizontal="right"/>
    </xf>
    <xf numFmtId="0" fontId="8" fillId="0" borderId="30" xfId="0" applyNumberFormat="1" applyFont="1" applyFill="1" applyBorder="1" applyAlignment="1">
      <alignment horizontal="right"/>
    </xf>
    <xf numFmtId="210" fontId="7" fillId="0" borderId="0" xfId="142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17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4" fontId="7" fillId="0" borderId="0" xfId="142" applyFont="1" applyFill="1" applyAlignment="1" applyProtection="1">
      <alignment/>
      <protection locked="0"/>
    </xf>
    <xf numFmtId="206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207" fontId="7" fillId="0" borderId="20" xfId="0" applyNumberFormat="1" applyFont="1" applyFill="1" applyBorder="1" applyAlignment="1">
      <alignment/>
    </xf>
    <xf numFmtId="169" fontId="8" fillId="0" borderId="20" xfId="0" applyFont="1" applyFill="1" applyBorder="1" applyAlignment="1">
      <alignment horizontal="left" vertical="top"/>
    </xf>
    <xf numFmtId="169" fontId="11" fillId="0" borderId="0" xfId="0" applyFont="1" applyBorder="1" applyAlignment="1">
      <alignment horizontal="left" wrapText="1"/>
    </xf>
    <xf numFmtId="0" fontId="7" fillId="0" borderId="20" xfId="0" applyNumberFormat="1" applyFont="1" applyFill="1" applyBorder="1" applyAlignment="1">
      <alignment horizontal="center"/>
    </xf>
    <xf numFmtId="42" fontId="7" fillId="0" borderId="19" xfId="179" applyNumberFormat="1" applyFont="1" applyFill="1" applyBorder="1" applyAlignment="1">
      <alignment horizontal="right"/>
    </xf>
    <xf numFmtId="197" fontId="8" fillId="0" borderId="0" xfId="0" applyNumberFormat="1" applyFont="1" applyFill="1" applyBorder="1" applyAlignment="1" quotePrefix="1">
      <alignment horizontal="right"/>
    </xf>
    <xf numFmtId="22" fontId="7" fillId="0" borderId="0" xfId="0" applyNumberFormat="1" applyFont="1" applyFill="1" applyBorder="1" applyAlignment="1">
      <alignment/>
    </xf>
    <xf numFmtId="169" fontId="8" fillId="0" borderId="0" xfId="0" applyFont="1" applyFill="1" applyBorder="1" applyAlignment="1" applyProtection="1">
      <alignment horizontal="center"/>
      <protection locked="0"/>
    </xf>
    <xf numFmtId="169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Alignment="1">
      <alignment/>
    </xf>
    <xf numFmtId="169" fontId="8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 vertical="top"/>
    </xf>
    <xf numFmtId="167" fontId="7" fillId="0" borderId="0" xfId="0" applyNumberFormat="1" applyFont="1" applyFill="1" applyBorder="1" applyAlignment="1">
      <alignment/>
    </xf>
  </cellXfs>
  <cellStyles count="362">
    <cellStyle name="Normal" xfId="0"/>
    <cellStyle name="_4.06E Pass Throughs" xfId="15"/>
    <cellStyle name="_4.06E Pass Throughs 2" xfId="16"/>
    <cellStyle name="_4.06E Pass Throughs 3" xfId="17"/>
    <cellStyle name="_4.06E Pass Throughs_04 07E Wild Horse Wind Expansion (C) (2)" xfId="18"/>
    <cellStyle name="_4.13E Montana Energy Tax" xfId="19"/>
    <cellStyle name="_4.13E Montana Energy Tax 2" xfId="20"/>
    <cellStyle name="_4.13E Montana Energy Tax 3" xfId="21"/>
    <cellStyle name="_4.13E Montana Energy Tax_04 07E Wild Horse Wind Expansion (C) (2)" xfId="22"/>
    <cellStyle name="_Book1" xfId="23"/>
    <cellStyle name="_Book1 (2)" xfId="24"/>
    <cellStyle name="_Book1 (2) 2" xfId="25"/>
    <cellStyle name="_Book1 (2) 3" xfId="26"/>
    <cellStyle name="_Book1 (2)_04 07E Wild Horse Wind Expansion (C) (2)" xfId="27"/>
    <cellStyle name="_Book1 2" xfId="28"/>
    <cellStyle name="_Book1 3" xfId="29"/>
    <cellStyle name="_Book2" xfId="30"/>
    <cellStyle name="_Book2 2" xfId="31"/>
    <cellStyle name="_Book2 3" xfId="32"/>
    <cellStyle name="_Book2_04 07E Wild Horse Wind Expansion (C) (2)" xfId="33"/>
    <cellStyle name="_Chelan Debt Forecast 12.19.05" xfId="34"/>
    <cellStyle name="_Chelan Debt Forecast 12.19.05 2" xfId="35"/>
    <cellStyle name="_Chelan Debt Forecast 12.19.05 3" xfId="36"/>
    <cellStyle name="_Costs not in AURORA 06GRC" xfId="37"/>
    <cellStyle name="_Costs not in AURORA 06GRC 2" xfId="38"/>
    <cellStyle name="_Costs not in AURORA 06GRC 3" xfId="39"/>
    <cellStyle name="_Costs not in AURORA 06GRC_04 07E Wild Horse Wind Expansion (C) (2)" xfId="40"/>
    <cellStyle name="_Costs not in AURORA 2006GRC 6.15.06" xfId="41"/>
    <cellStyle name="_Costs not in AURORA 2006GRC 6.15.06 2" xfId="42"/>
    <cellStyle name="_Costs not in AURORA 2006GRC 6.15.06 3" xfId="43"/>
    <cellStyle name="_Costs not in AURORA 2006GRC 6.15.06_04 07E Wild Horse Wind Expansion (C) (2)" xfId="44"/>
    <cellStyle name="_Costs not in AURORA 2007 Rate Case" xfId="45"/>
    <cellStyle name="_Costs not in AURORA 2007 Rate Case 2" xfId="46"/>
    <cellStyle name="_Costs not in AURORA 2007 Rate Case 3" xfId="47"/>
    <cellStyle name="_Costs not in KWI3000 '06Budget" xfId="48"/>
    <cellStyle name="_Costs not in KWI3000 '06Budget 2" xfId="49"/>
    <cellStyle name="_Costs not in KWI3000 '06Budget 3" xfId="50"/>
    <cellStyle name="_DEM-WP (C) Power Cost 2006GRC Order" xfId="51"/>
    <cellStyle name="_DEM-WP (C) Power Cost 2006GRC Order 2" xfId="52"/>
    <cellStyle name="_DEM-WP (C) Power Cost 2006GRC Order 3" xfId="53"/>
    <cellStyle name="_DEM-WP (C) Power Cost 2006GRC Order_04 07E Wild Horse Wind Expansion (C) (2)" xfId="54"/>
    <cellStyle name="_DEM-WP Revised (HC) Wild Horse 2006GRC" xfId="55"/>
    <cellStyle name="_DEM-WP(C) Costs not in AURORA 2006GRC" xfId="56"/>
    <cellStyle name="_DEM-WP(C) Costs not in AURORA 2006GRC 2" xfId="57"/>
    <cellStyle name="_DEM-WP(C) Costs not in AURORA 2006GRC 3" xfId="58"/>
    <cellStyle name="_DEM-WP(C) Costs not in AURORA 2007GRC" xfId="59"/>
    <cellStyle name="_DEM-WP(C) Costs not in AURORA 2007PCORC-5.07Update" xfId="60"/>
    <cellStyle name="_DEM-WP(C) Sumas Proforma 11.5.07" xfId="61"/>
    <cellStyle name="_DEM-WP(C) Westside Hydro Data_051007" xfId="62"/>
    <cellStyle name="_Fuel Prices 4-14" xfId="63"/>
    <cellStyle name="_Fuel Prices 4-14 2" xfId="64"/>
    <cellStyle name="_Fuel Prices 4-14 3" xfId="65"/>
    <cellStyle name="_Fuel Prices 4-14_04 07E Wild Horse Wind Expansion (C) (2)" xfId="66"/>
    <cellStyle name="_Power Cost Value Copy 11.30.05 gas 1.09.06 AURORA at 1.10.06" xfId="67"/>
    <cellStyle name="_Power Cost Value Copy 11.30.05 gas 1.09.06 AURORA at 1.10.06 2" xfId="68"/>
    <cellStyle name="_Power Cost Value Copy 11.30.05 gas 1.09.06 AURORA at 1.10.06 3" xfId="69"/>
    <cellStyle name="_Power Cost Value Copy 11.30.05 gas 1.09.06 AURORA at 1.10.06_04 07E Wild Horse Wind Expansion (C) (2)" xfId="70"/>
    <cellStyle name="_Pro Forma Rev 07 GRC" xfId="71"/>
    <cellStyle name="_Recon to Darrin's 5.11.05 proforma" xfId="72"/>
    <cellStyle name="_Recon to Darrin's 5.11.05 proforma 2" xfId="73"/>
    <cellStyle name="_Recon to Darrin's 5.11.05 proforma 3" xfId="74"/>
    <cellStyle name="_Revenue" xfId="75"/>
    <cellStyle name="_Revenue_Data" xfId="76"/>
    <cellStyle name="_Revenue_Data_1" xfId="77"/>
    <cellStyle name="_Revenue_Data_Pro Forma Rev 09 GRC" xfId="78"/>
    <cellStyle name="_Revenue_Mins" xfId="79"/>
    <cellStyle name="_Revenue_Pro Forma Rev 07 GRC" xfId="80"/>
    <cellStyle name="_Revenue_Pro Forma Rev 08 GRC" xfId="81"/>
    <cellStyle name="_Revenue_Pro Forma Rev 09 GRC" xfId="82"/>
    <cellStyle name="_Revenue_Sheet2" xfId="83"/>
    <cellStyle name="_Revenue_Therms Data" xfId="84"/>
    <cellStyle name="_Revenue_Therms Data Rerun" xfId="85"/>
    <cellStyle name="_Tenaska Comparison" xfId="86"/>
    <cellStyle name="_Tenaska Comparison 2" xfId="87"/>
    <cellStyle name="_Tenaska Comparison 3" xfId="88"/>
    <cellStyle name="_Therms Data" xfId="89"/>
    <cellStyle name="_Therms Data_Pro Forma Rev 09 GRC" xfId="90"/>
    <cellStyle name="_Value Copy 11 30 05 gas 12 09 05 AURORA at 12 14 05" xfId="91"/>
    <cellStyle name="_Value Copy 11 30 05 gas 12 09 05 AURORA at 12 14 05 2" xfId="92"/>
    <cellStyle name="_Value Copy 11 30 05 gas 12 09 05 AURORA at 12 14 05 3" xfId="93"/>
    <cellStyle name="_Value Copy 11 30 05 gas 12 09 05 AURORA at 12 14 05_04 07E Wild Horse Wind Expansion (C) (2)" xfId="94"/>
    <cellStyle name="_VC 6.15.06 update on 06GRC power costs.xls Chart 1" xfId="95"/>
    <cellStyle name="_VC 6.15.06 update on 06GRC power costs.xls Chart 1 2" xfId="96"/>
    <cellStyle name="_VC 6.15.06 update on 06GRC power costs.xls Chart 1 3" xfId="97"/>
    <cellStyle name="_VC 6.15.06 update on 06GRC power costs.xls Chart 1_04 07E Wild Horse Wind Expansion (C) (2)" xfId="98"/>
    <cellStyle name="_VC 6.15.06 update on 06GRC power costs.xls Chart 2" xfId="99"/>
    <cellStyle name="_VC 6.15.06 update on 06GRC power costs.xls Chart 2 2" xfId="100"/>
    <cellStyle name="_VC 6.15.06 update on 06GRC power costs.xls Chart 2 3" xfId="101"/>
    <cellStyle name="_VC 6.15.06 update on 06GRC power costs.xls Chart 2_04 07E Wild Horse Wind Expansion (C) (2)" xfId="102"/>
    <cellStyle name="_VC 6.15.06 update on 06GRC power costs.xls Chart 3" xfId="103"/>
    <cellStyle name="_VC 6.15.06 update on 06GRC power costs.xls Chart 3 2" xfId="104"/>
    <cellStyle name="_VC 6.15.06 update on 06GRC power costs.xls Chart 3 3" xfId="105"/>
    <cellStyle name="_VC 6.15.06 update on 06GRC power costs.xls Chart 3_04 07E Wild Horse Wind Expansion (C) (2)" xfId="106"/>
    <cellStyle name="0,0&#13;&#10;NA&#13;&#10;" xfId="107"/>
    <cellStyle name="20% - Accent1" xfId="108"/>
    <cellStyle name="20% - Accent2" xfId="109"/>
    <cellStyle name="20% - Accent3" xfId="110"/>
    <cellStyle name="20% - Accent4" xfId="111"/>
    <cellStyle name="20% - Accent5" xfId="112"/>
    <cellStyle name="20% - Accent6" xfId="113"/>
    <cellStyle name="40% - Accent1" xfId="114"/>
    <cellStyle name="40% - Accent2" xfId="115"/>
    <cellStyle name="40% - Accent3" xfId="116"/>
    <cellStyle name="40% - Accent4" xfId="117"/>
    <cellStyle name="40% - Accent5" xfId="118"/>
    <cellStyle name="40% - Accent6" xfId="119"/>
    <cellStyle name="60% - Accent1" xfId="120"/>
    <cellStyle name="60% - Accent2" xfId="121"/>
    <cellStyle name="60% - Accent3" xfId="122"/>
    <cellStyle name="60% - Accent4" xfId="123"/>
    <cellStyle name="60% - Accent5" xfId="124"/>
    <cellStyle name="60% - Accent6" xfId="125"/>
    <cellStyle name="Accent1" xfId="126"/>
    <cellStyle name="Accent2" xfId="127"/>
    <cellStyle name="Accent3" xfId="128"/>
    <cellStyle name="Accent4" xfId="129"/>
    <cellStyle name="Accent5" xfId="130"/>
    <cellStyle name="Accent6" xfId="131"/>
    <cellStyle name="Bad" xfId="132"/>
    <cellStyle name="Calc Currency (0)" xfId="133"/>
    <cellStyle name="Calc Currency (0) 2" xfId="134"/>
    <cellStyle name="Calc Currency (0) 3" xfId="135"/>
    <cellStyle name="Calculation" xfId="136"/>
    <cellStyle name="Calculation 2" xfId="137"/>
    <cellStyle name="Calculation 3" xfId="138"/>
    <cellStyle name="Check Cell" xfId="139"/>
    <cellStyle name="CheckCell" xfId="140"/>
    <cellStyle name="CheckCell 2" xfId="141"/>
    <cellStyle name="Comma" xfId="142"/>
    <cellStyle name="Comma [0]" xfId="143"/>
    <cellStyle name="Comma 2" xfId="144"/>
    <cellStyle name="Comma 2 2" xfId="145"/>
    <cellStyle name="Comma 2 3" xfId="146"/>
    <cellStyle name="Comma 2 4" xfId="147"/>
    <cellStyle name="Comma 3" xfId="148"/>
    <cellStyle name="Comma 3 2" xfId="149"/>
    <cellStyle name="Comma 4" xfId="150"/>
    <cellStyle name="Comma 5" xfId="151"/>
    <cellStyle name="Comma 6" xfId="152"/>
    <cellStyle name="Comma 7" xfId="153"/>
    <cellStyle name="Comma 8" xfId="154"/>
    <cellStyle name="Comma0" xfId="155"/>
    <cellStyle name="Comma0 - Style2" xfId="156"/>
    <cellStyle name="Comma0 - Style4" xfId="157"/>
    <cellStyle name="Comma0 - Style5" xfId="158"/>
    <cellStyle name="Comma0 - Style5 2" xfId="159"/>
    <cellStyle name="Comma0 2" xfId="160"/>
    <cellStyle name="Comma0 3" xfId="161"/>
    <cellStyle name="Comma0 4" xfId="162"/>
    <cellStyle name="Comma0 5" xfId="163"/>
    <cellStyle name="Comma0_00COS Ind Allocators" xfId="164"/>
    <cellStyle name="Comma1 - Style1" xfId="165"/>
    <cellStyle name="Comma1 - Style1 2" xfId="166"/>
    <cellStyle name="Copied" xfId="167"/>
    <cellStyle name="Copied 2" xfId="168"/>
    <cellStyle name="Copied 3" xfId="169"/>
    <cellStyle name="COST1" xfId="170"/>
    <cellStyle name="COST1 2" xfId="171"/>
    <cellStyle name="COST1 3" xfId="172"/>
    <cellStyle name="Curren - Style1" xfId="173"/>
    <cellStyle name="Curren - Style2" xfId="174"/>
    <cellStyle name="Curren - Style2 2" xfId="175"/>
    <cellStyle name="Curren - Style5" xfId="176"/>
    <cellStyle name="Curren - Style6" xfId="177"/>
    <cellStyle name="Curren - Style6 2" xfId="178"/>
    <cellStyle name="Currency" xfId="179"/>
    <cellStyle name="Currency [0]" xfId="180"/>
    <cellStyle name="Currency 2" xfId="181"/>
    <cellStyle name="Currency 2 2" xfId="182"/>
    <cellStyle name="Currency 2 3" xfId="183"/>
    <cellStyle name="Currency 2 4" xfId="184"/>
    <cellStyle name="Currency 3" xfId="185"/>
    <cellStyle name="Currency 3 2" xfId="186"/>
    <cellStyle name="Currency 4" xfId="187"/>
    <cellStyle name="Currency0" xfId="188"/>
    <cellStyle name="Currency0 2" xfId="189"/>
    <cellStyle name="Currency0 3" xfId="190"/>
    <cellStyle name="Currency0 4" xfId="191"/>
    <cellStyle name="Date" xfId="192"/>
    <cellStyle name="Date 2" xfId="193"/>
    <cellStyle name="Date 3" xfId="194"/>
    <cellStyle name="Date 4" xfId="195"/>
    <cellStyle name="Date 5" xfId="196"/>
    <cellStyle name="Entered" xfId="197"/>
    <cellStyle name="Explanatory Text" xfId="198"/>
    <cellStyle name="Fixed" xfId="199"/>
    <cellStyle name="Fixed 2" xfId="200"/>
    <cellStyle name="Fixed 3" xfId="201"/>
    <cellStyle name="Fixed 4" xfId="202"/>
    <cellStyle name="Fixed3 - Style3" xfId="203"/>
    <cellStyle name="Followed Hyperlink" xfId="204"/>
    <cellStyle name="Good" xfId="205"/>
    <cellStyle name="Grey" xfId="206"/>
    <cellStyle name="Grey 2" xfId="207"/>
    <cellStyle name="Grey 3" xfId="208"/>
    <cellStyle name="Grey 4" xfId="209"/>
    <cellStyle name="Header1" xfId="210"/>
    <cellStyle name="Header1 2" xfId="211"/>
    <cellStyle name="Header1 3" xfId="212"/>
    <cellStyle name="Header2" xfId="213"/>
    <cellStyle name="Header2 2" xfId="214"/>
    <cellStyle name="Header2 3" xfId="215"/>
    <cellStyle name="Heading 1" xfId="216"/>
    <cellStyle name="Heading 1 2" xfId="217"/>
    <cellStyle name="Heading 1 3" xfId="218"/>
    <cellStyle name="Heading 2" xfId="219"/>
    <cellStyle name="Heading 2 2" xfId="220"/>
    <cellStyle name="Heading 2 3" xfId="221"/>
    <cellStyle name="Heading 3" xfId="222"/>
    <cellStyle name="Heading 4" xfId="223"/>
    <cellStyle name="Heading1" xfId="224"/>
    <cellStyle name="Heading1 2" xfId="225"/>
    <cellStyle name="Heading1 3" xfId="226"/>
    <cellStyle name="Heading2" xfId="227"/>
    <cellStyle name="Heading2 2" xfId="228"/>
    <cellStyle name="Heading2 3" xfId="229"/>
    <cellStyle name="Hyperlink" xfId="230"/>
    <cellStyle name="Input" xfId="231"/>
    <cellStyle name="Input [yellow]" xfId="232"/>
    <cellStyle name="Input [yellow] 2" xfId="233"/>
    <cellStyle name="Input [yellow] 3" xfId="234"/>
    <cellStyle name="Input [yellow] 4" xfId="235"/>
    <cellStyle name="Input Cells" xfId="236"/>
    <cellStyle name="Input Cells Percent" xfId="237"/>
    <cellStyle name="Lines" xfId="238"/>
    <cellStyle name="Lines 2" xfId="239"/>
    <cellStyle name="LINKED" xfId="240"/>
    <cellStyle name="Linked Cell" xfId="241"/>
    <cellStyle name="modified border" xfId="242"/>
    <cellStyle name="modified border 2" xfId="243"/>
    <cellStyle name="modified border 3" xfId="244"/>
    <cellStyle name="modified border 4" xfId="245"/>
    <cellStyle name="modified border1" xfId="246"/>
    <cellStyle name="modified border1 2" xfId="247"/>
    <cellStyle name="modified border1 3" xfId="248"/>
    <cellStyle name="modified border1 4" xfId="249"/>
    <cellStyle name="Neutral" xfId="250"/>
    <cellStyle name="no dec" xfId="251"/>
    <cellStyle name="no dec 2" xfId="252"/>
    <cellStyle name="no dec 3" xfId="253"/>
    <cellStyle name="Normal - Style1" xfId="254"/>
    <cellStyle name="Normal - Style1 2" xfId="255"/>
    <cellStyle name="Normal - Style1 3" xfId="256"/>
    <cellStyle name="Normal - Style1 4" xfId="257"/>
    <cellStyle name="Normal - Style1 5" xfId="258"/>
    <cellStyle name="Normal - Style1_Book2" xfId="259"/>
    <cellStyle name="Normal 10" xfId="260"/>
    <cellStyle name="Normal 11" xfId="261"/>
    <cellStyle name="Normal 2" xfId="262"/>
    <cellStyle name="Normal 2 2" xfId="263"/>
    <cellStyle name="Normal 2 3" xfId="264"/>
    <cellStyle name="Normal 2 4" xfId="265"/>
    <cellStyle name="Normal 2 5" xfId="266"/>
    <cellStyle name="Normal 2 6" xfId="267"/>
    <cellStyle name="Normal 3" xfId="268"/>
    <cellStyle name="Normal 3 2" xfId="269"/>
    <cellStyle name="Normal 4" xfId="270"/>
    <cellStyle name="Normal 4 2" xfId="271"/>
    <cellStyle name="Normal 5" xfId="272"/>
    <cellStyle name="Normal 6" xfId="273"/>
    <cellStyle name="Normal 7" xfId="274"/>
    <cellStyle name="Normal 8" xfId="275"/>
    <cellStyle name="Normal 9" xfId="276"/>
    <cellStyle name="Normal_BASECOST" xfId="277"/>
    <cellStyle name="Normal_RESCOST" xfId="278"/>
    <cellStyle name="Note" xfId="279"/>
    <cellStyle name="Note 2" xfId="280"/>
    <cellStyle name="Output" xfId="281"/>
    <cellStyle name="Percen - Style1" xfId="282"/>
    <cellStyle name="Percen - Style2" xfId="283"/>
    <cellStyle name="Percen - Style3" xfId="284"/>
    <cellStyle name="Percen - Style3 2" xfId="285"/>
    <cellStyle name="Percent" xfId="286"/>
    <cellStyle name="Percent [2]" xfId="287"/>
    <cellStyle name="Percent 2" xfId="288"/>
    <cellStyle name="Percent 2 2" xfId="289"/>
    <cellStyle name="Percent 2 3" xfId="290"/>
    <cellStyle name="Percent 2 4" xfId="291"/>
    <cellStyle name="Percent 3" xfId="292"/>
    <cellStyle name="Percent 4" xfId="293"/>
    <cellStyle name="Percent 4 2" xfId="294"/>
    <cellStyle name="Percent 5" xfId="295"/>
    <cellStyle name="Percent 6" xfId="296"/>
    <cellStyle name="Processing" xfId="297"/>
    <cellStyle name="Processing 2" xfId="298"/>
    <cellStyle name="PSChar" xfId="299"/>
    <cellStyle name="PSChar 2" xfId="300"/>
    <cellStyle name="PSChar 3" xfId="301"/>
    <cellStyle name="PSDate" xfId="302"/>
    <cellStyle name="PSDate 2" xfId="303"/>
    <cellStyle name="PSDate 3" xfId="304"/>
    <cellStyle name="PSDec" xfId="305"/>
    <cellStyle name="PSDec 2" xfId="306"/>
    <cellStyle name="PSDec 3" xfId="307"/>
    <cellStyle name="PSHeading" xfId="308"/>
    <cellStyle name="PSHeading 2" xfId="309"/>
    <cellStyle name="PSHeading 3" xfId="310"/>
    <cellStyle name="PSInt" xfId="311"/>
    <cellStyle name="PSInt 2" xfId="312"/>
    <cellStyle name="PSInt 3" xfId="313"/>
    <cellStyle name="PSSpacer" xfId="314"/>
    <cellStyle name="PSSpacer 2" xfId="315"/>
    <cellStyle name="PSSpacer 3" xfId="316"/>
    <cellStyle name="purple - Style8" xfId="317"/>
    <cellStyle name="purple - Style8 2" xfId="318"/>
    <cellStyle name="RED" xfId="319"/>
    <cellStyle name="Red - Style7" xfId="320"/>
    <cellStyle name="Red - Style7 2" xfId="321"/>
    <cellStyle name="RED_04 07E Wild Horse Wind Expansion (C) (2)" xfId="322"/>
    <cellStyle name="Report" xfId="323"/>
    <cellStyle name="Report - Style5" xfId="324"/>
    <cellStyle name="Report - Style6" xfId="325"/>
    <cellStyle name="Report - Style7" xfId="326"/>
    <cellStyle name="Report - Style8" xfId="327"/>
    <cellStyle name="Report 2" xfId="328"/>
    <cellStyle name="Report Bar" xfId="329"/>
    <cellStyle name="Report Bar 2" xfId="330"/>
    <cellStyle name="Report Heading" xfId="331"/>
    <cellStyle name="Report Heading 2" xfId="332"/>
    <cellStyle name="Report Percent" xfId="333"/>
    <cellStyle name="Report Percent 2" xfId="334"/>
    <cellStyle name="Report Unit Cost" xfId="335"/>
    <cellStyle name="Report Unit Cost 2" xfId="336"/>
    <cellStyle name="Reports" xfId="337"/>
    <cellStyle name="Reports Total" xfId="338"/>
    <cellStyle name="Reports Total 2" xfId="339"/>
    <cellStyle name="Reports Unit Cost Total" xfId="340"/>
    <cellStyle name="RevList" xfId="341"/>
    <cellStyle name="round100" xfId="342"/>
    <cellStyle name="round100 2" xfId="343"/>
    <cellStyle name="round100 3" xfId="344"/>
    <cellStyle name="shade" xfId="345"/>
    <cellStyle name="shade 2" xfId="346"/>
    <cellStyle name="shade 3" xfId="347"/>
    <cellStyle name="StmtTtl1" xfId="348"/>
    <cellStyle name="StmtTtl1 2" xfId="349"/>
    <cellStyle name="StmtTtl1 3" xfId="350"/>
    <cellStyle name="StmtTtl1 4" xfId="351"/>
    <cellStyle name="StmtTtl2" xfId="352"/>
    <cellStyle name="StmtTtl2 2" xfId="353"/>
    <cellStyle name="StmtTtl2 3" xfId="354"/>
    <cellStyle name="STYL1 - Style1" xfId="355"/>
    <cellStyle name="Style 1" xfId="356"/>
    <cellStyle name="Style 1 2" xfId="357"/>
    <cellStyle name="Style 1 3" xfId="358"/>
    <cellStyle name="Style 1 4" xfId="359"/>
    <cellStyle name="Subtotal" xfId="360"/>
    <cellStyle name="Sub-total" xfId="361"/>
    <cellStyle name="Test" xfId="362"/>
    <cellStyle name="Title" xfId="363"/>
    <cellStyle name="Title: - Style3" xfId="364"/>
    <cellStyle name="Title: - Style4" xfId="365"/>
    <cellStyle name="Title: Major" xfId="366"/>
    <cellStyle name="Title: Minor" xfId="367"/>
    <cellStyle name="Title: Minor 2" xfId="368"/>
    <cellStyle name="Title: Worksheet" xfId="369"/>
    <cellStyle name="Total" xfId="370"/>
    <cellStyle name="Total 2" xfId="371"/>
    <cellStyle name="Total 3" xfId="372"/>
    <cellStyle name="Total4 - Style4" xfId="373"/>
    <cellStyle name="Total4 - Style4 2" xfId="374"/>
    <cellStyle name="Warning Text" xfId="375"/>
  </cellStyles>
  <dxfs count="4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4</xdr:row>
      <xdr:rowOff>0</xdr:rowOff>
    </xdr:from>
    <xdr:to>
      <xdr:col>50</xdr:col>
      <xdr:colOff>0</xdr:colOff>
      <xdr:row>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70713600" y="704850"/>
          <a:ext cx="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OriginalFiling2009GRC\Models&amp;Adjs2009GRCOrig\4.15E%20Property%20Tax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OriginalFiling2009GRC\Models&amp;Adjs2009GRCOrig\Electric%20Rev%20Req%20Model%20(2009%20GRC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15 Electric"/>
      <sheetName val="P Tax 08-09"/>
      <sheetName val="Whitehorn"/>
      <sheetName val="HR expansion"/>
      <sheetName val="Fredonia"/>
      <sheetName val="SAP"/>
      <sheetName val="P Tax Fac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C)"/>
      <sheetName val="Model"/>
      <sheetName val="Summary"/>
      <sheetName val="Expl"/>
      <sheetName val="JHS-6 Unit Cost"/>
      <sheetName val="JHS - 6 Detail"/>
      <sheetName val="Compare A-1"/>
      <sheetName val="JHS-7 Ex A-1"/>
      <sheetName val="JHS-7 Ex A-2"/>
      <sheetName val="JHS-7 Exhibit D"/>
      <sheetName val="JHS-7 Ex A-3 Colstrip (C)"/>
      <sheetName val="JHS-7 Ex A-4 Prod Adj"/>
      <sheetName val="JHS-7 Ex A-5 PC"/>
      <sheetName val="MF-RevReq"/>
      <sheetName val="WH-RevReq"/>
      <sheetName val="Summary Proforma Proposed"/>
      <sheetName val="JHS-6 Unit Cost (Old)"/>
      <sheetName val="PCA Dfcncy"/>
      <sheetName val="Explain"/>
      <sheetName val="Restated TY"/>
      <sheetName val="08-09"/>
      <sheetName val="P Tax 08-09"/>
      <sheetName val="557"/>
      <sheetName val="Production Adjustment"/>
      <sheetName val="Production Factor"/>
      <sheetName val="Production Plant Premiums"/>
      <sheetName val="Prod Plant"/>
      <sheetName val="Pwr Csts"/>
      <sheetName val="DEM RY PC"/>
      <sheetName val="Prodn OM09GRC"/>
      <sheetName val="Verify"/>
      <sheetName val="EB&amp;Taxes"/>
      <sheetName val="TransmRev"/>
      <sheetName val="Before"/>
      <sheetName val="Change"/>
      <sheetName val="Rlfwd"/>
      <sheetName val="Restating Print Macros"/>
      <sheetName val="Module13"/>
      <sheetName val="Module14"/>
      <sheetName val="Module15"/>
      <sheetName val="Module1"/>
      <sheetName val="Matr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F328"/>
  <sheetViews>
    <sheetView tabSelected="1" view="pageBreakPreview" zoomScale="60" zoomScaleNormal="70" zoomScalePageLayoutView="0" workbookViewId="0" topLeftCell="A1">
      <pane xSplit="1" ySplit="12" topLeftCell="DC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T52" sqref="DT52"/>
    </sheetView>
  </sheetViews>
  <sheetFormatPr defaultColWidth="9.33203125" defaultRowHeight="12.75" customHeight="1"/>
  <cols>
    <col min="1" max="1" width="6.83203125" style="3" customWidth="1"/>
    <col min="2" max="2" width="45.16015625" style="3" customWidth="1"/>
    <col min="3" max="3" width="16" style="3" customWidth="1"/>
    <col min="4" max="4" width="22.16015625" style="3" customWidth="1"/>
    <col min="5" max="5" width="20.16015625" style="3" customWidth="1"/>
    <col min="6" max="6" width="21.33203125" style="3" customWidth="1"/>
    <col min="7" max="7" width="7.16015625" style="3" bestFit="1" customWidth="1"/>
    <col min="8" max="8" width="74.16015625" style="3" bestFit="1" customWidth="1"/>
    <col min="9" max="9" width="9.5" style="3" bestFit="1" customWidth="1"/>
    <col min="10" max="10" width="17" style="3" bestFit="1" customWidth="1"/>
    <col min="11" max="11" width="17.83203125" style="3" bestFit="1" customWidth="1"/>
    <col min="12" max="12" width="6.83203125" style="3" customWidth="1"/>
    <col min="13" max="13" width="75.5" style="3" bestFit="1" customWidth="1"/>
    <col min="14" max="16" width="21.33203125" style="3" customWidth="1"/>
    <col min="17" max="17" width="6.83203125" style="3" customWidth="1"/>
    <col min="18" max="20" width="23" style="3" customWidth="1"/>
    <col min="21" max="21" width="20" style="3" customWidth="1"/>
    <col min="22" max="22" width="6.83203125" style="3" customWidth="1"/>
    <col min="23" max="23" width="60" style="3" bestFit="1" customWidth="1"/>
    <col min="24" max="24" width="21.5" style="3" customWidth="1"/>
    <col min="25" max="25" width="22.16015625" style="3" customWidth="1"/>
    <col min="26" max="26" width="7.5" style="3" customWidth="1"/>
    <col min="27" max="27" width="73.16015625" style="3" bestFit="1" customWidth="1"/>
    <col min="28" max="30" width="20.66015625" style="3" customWidth="1"/>
    <col min="31" max="31" width="6.83203125" style="3" customWidth="1"/>
    <col min="32" max="32" width="66.5" style="3" customWidth="1"/>
    <col min="33" max="35" width="17.83203125" style="3" customWidth="1"/>
    <col min="36" max="36" width="6.83203125" style="3" customWidth="1"/>
    <col min="37" max="37" width="51.16015625" style="3" customWidth="1"/>
    <col min="38" max="38" width="15.83203125" style="3" customWidth="1"/>
    <col min="39" max="39" width="17" style="3" customWidth="1"/>
    <col min="40" max="40" width="17.83203125" style="3" customWidth="1"/>
    <col min="41" max="41" width="6.83203125" style="3" customWidth="1"/>
    <col min="42" max="42" width="72.5" style="3" customWidth="1"/>
    <col min="43" max="43" width="18.16015625" style="3" customWidth="1"/>
    <col min="44" max="45" width="18.5" style="3" customWidth="1"/>
    <col min="46" max="46" width="6.83203125" style="3" customWidth="1"/>
    <col min="47" max="47" width="45.5" style="3" customWidth="1"/>
    <col min="48" max="48" width="19.66015625" style="3" customWidth="1"/>
    <col min="49" max="49" width="7.33203125" style="3" customWidth="1"/>
    <col min="50" max="50" width="35.33203125" style="3" customWidth="1"/>
    <col min="51" max="51" width="5.83203125" style="3" customWidth="1"/>
    <col min="52" max="52" width="54.5" style="3" bestFit="1" customWidth="1"/>
    <col min="53" max="53" width="14" style="3" customWidth="1"/>
    <col min="54" max="54" width="17.83203125" style="52" customWidth="1"/>
    <col min="55" max="55" width="7.33203125" style="3" customWidth="1"/>
    <col min="56" max="56" width="46.5" style="3" bestFit="1" customWidth="1"/>
    <col min="57" max="57" width="15.83203125" style="3" customWidth="1"/>
    <col min="58" max="58" width="16.83203125" style="3" customWidth="1"/>
    <col min="59" max="59" width="20" style="3" customWidth="1"/>
    <col min="60" max="60" width="7.16015625" style="3" bestFit="1" customWidth="1"/>
    <col min="61" max="61" width="41.16015625" style="3" customWidth="1"/>
    <col min="62" max="64" width="18.33203125" style="3" customWidth="1"/>
    <col min="65" max="65" width="5.83203125" style="52" customWidth="1"/>
    <col min="66" max="66" width="93.33203125" style="52" customWidth="1"/>
    <col min="67" max="68" width="20.16015625" style="52" customWidth="1"/>
    <col min="69" max="69" width="5.83203125" style="3" customWidth="1"/>
    <col min="70" max="70" width="91.5" style="3" customWidth="1"/>
    <col min="71" max="71" width="26.66015625" style="3" customWidth="1"/>
    <col min="72" max="72" width="5.83203125" style="3" customWidth="1"/>
    <col min="73" max="73" width="43.83203125" style="3" customWidth="1"/>
    <col min="74" max="74" width="17.33203125" style="3" customWidth="1"/>
    <col min="75" max="75" width="18.83203125" style="3" customWidth="1"/>
    <col min="76" max="76" width="17.33203125" style="3" customWidth="1"/>
    <col min="77" max="77" width="5.83203125" style="3" customWidth="1"/>
    <col min="78" max="78" width="43.83203125" style="3" customWidth="1"/>
    <col min="79" max="80" width="17.33203125" style="3" customWidth="1"/>
    <col min="81" max="81" width="19.16015625" style="3" customWidth="1"/>
    <col min="82" max="82" width="6.83203125" style="3" customWidth="1"/>
    <col min="83" max="83" width="42.83203125" style="3" customWidth="1"/>
    <col min="84" max="84" width="4.83203125" style="3" customWidth="1"/>
    <col min="85" max="85" width="15.66015625" style="3" customWidth="1"/>
    <col min="86" max="88" width="18" style="3" customWidth="1"/>
    <col min="89" max="89" width="5.83203125" style="3" customWidth="1"/>
    <col min="90" max="90" width="67.5" style="3" customWidth="1"/>
    <col min="91" max="93" width="18" style="3" customWidth="1"/>
    <col min="94" max="94" width="6.83203125" style="3" customWidth="1"/>
    <col min="95" max="95" width="75.5" style="3" customWidth="1"/>
    <col min="96" max="96" width="13.66015625" style="3" customWidth="1"/>
    <col min="97" max="97" width="25.5" style="3" customWidth="1"/>
    <col min="98" max="98" width="7.33203125" style="3" customWidth="1"/>
    <col min="99" max="99" width="55.16015625" style="3" bestFit="1" customWidth="1"/>
    <col min="100" max="100" width="17.33203125" style="3" customWidth="1"/>
    <col min="101" max="102" width="18.33203125" style="3" customWidth="1"/>
    <col min="103" max="103" width="7.33203125" style="3" customWidth="1"/>
    <col min="104" max="104" width="55.16015625" style="3" bestFit="1" customWidth="1"/>
    <col min="105" max="105" width="17.33203125" style="3" customWidth="1"/>
    <col min="106" max="107" width="18.33203125" style="3" customWidth="1"/>
    <col min="108" max="108" width="7.33203125" style="3" customWidth="1"/>
    <col min="109" max="109" width="55.16015625" style="3" bestFit="1" customWidth="1"/>
    <col min="110" max="110" width="17.33203125" style="3" customWidth="1"/>
    <col min="111" max="112" width="18.33203125" style="3" customWidth="1"/>
    <col min="113" max="113" width="6.83203125" style="3" hidden="1" customWidth="1"/>
    <col min="114" max="114" width="52.16015625" style="3" hidden="1" customWidth="1"/>
    <col min="115" max="115" width="17.66015625" style="3" hidden="1" customWidth="1"/>
    <col min="116" max="116" width="22.33203125" style="3" hidden="1" customWidth="1"/>
    <col min="117" max="117" width="19.16015625" style="3" hidden="1" customWidth="1"/>
    <col min="118" max="118" width="15.16015625" style="3" customWidth="1"/>
    <col min="119" max="119" width="7.16015625" style="3" bestFit="1" customWidth="1"/>
    <col min="120" max="120" width="48" style="3" customWidth="1"/>
    <col min="121" max="121" width="30.83203125" style="3" customWidth="1"/>
    <col min="122" max="123" width="26.33203125" style="3" customWidth="1"/>
    <col min="124" max="124" width="22.5" style="3" bestFit="1" customWidth="1"/>
    <col min="125" max="125" width="18.66015625" style="3" customWidth="1"/>
    <col min="126" max="126" width="32.33203125" style="3" customWidth="1"/>
    <col min="127" max="127" width="7.16015625" style="3" bestFit="1" customWidth="1"/>
    <col min="128" max="128" width="56.5" style="3" customWidth="1"/>
    <col min="129" max="129" width="18.66015625" style="3" bestFit="1" customWidth="1"/>
    <col min="130" max="130" width="28" style="3" bestFit="1" customWidth="1"/>
    <col min="131" max="131" width="15.5" style="3" bestFit="1" customWidth="1"/>
    <col min="132" max="132" width="31.33203125" style="3" customWidth="1"/>
    <col min="133" max="133" width="15.33203125" style="3" bestFit="1" customWidth="1"/>
    <col min="134" max="134" width="22.33203125" style="3" customWidth="1"/>
    <col min="135" max="135" width="16.66015625" style="3" customWidth="1"/>
    <col min="136" max="136" width="7.16015625" style="3" bestFit="1" customWidth="1"/>
    <col min="137" max="137" width="56.5" style="3" customWidth="1"/>
    <col min="138" max="138" width="27.5" style="3" customWidth="1"/>
    <col min="139" max="139" width="20.66015625" style="3" customWidth="1"/>
    <col min="140" max="140" width="26.5" style="3" bestFit="1" customWidth="1"/>
    <col min="141" max="141" width="24.83203125" style="3" customWidth="1"/>
    <col min="142" max="142" width="22.33203125" style="3" customWidth="1"/>
    <col min="143" max="143" width="23.66015625" style="3" customWidth="1"/>
    <col min="144" max="144" width="7.16015625" style="3" bestFit="1" customWidth="1"/>
    <col min="145" max="145" width="59.83203125" style="3" bestFit="1" customWidth="1"/>
    <col min="146" max="150" width="23.66015625" style="3" customWidth="1"/>
    <col min="151" max="151" width="24.83203125" style="3" bestFit="1" customWidth="1"/>
    <col min="152" max="152" width="20.5" style="3" bestFit="1" customWidth="1"/>
    <col min="153" max="153" width="10.83203125" style="3" customWidth="1"/>
    <col min="154" max="154" width="56.5" style="3" bestFit="1" customWidth="1"/>
    <col min="155" max="155" width="19.83203125" style="3" bestFit="1" customWidth="1"/>
    <col min="156" max="156" width="22" style="3" bestFit="1" customWidth="1"/>
    <col min="157" max="157" width="20.5" style="3" bestFit="1" customWidth="1"/>
    <col min="158" max="158" width="24.83203125" style="3" customWidth="1"/>
    <col min="159" max="159" width="23.33203125" style="3" customWidth="1"/>
    <col min="160" max="160" width="2.83203125" style="3" customWidth="1"/>
    <col min="161" max="161" width="17.33203125" style="3" bestFit="1" customWidth="1"/>
    <col min="162" max="162" width="21.16015625" style="3" customWidth="1"/>
    <col min="163" max="16384" width="9.33203125" style="3" customWidth="1"/>
  </cols>
  <sheetData>
    <row r="1" spans="1:112" s="536" customFormat="1" ht="12.75" customHeight="1">
      <c r="A1" s="536">
        <f>ROUND(SUM(B1:CX1),0)</f>
        <v>0</v>
      </c>
      <c r="B1" s="536">
        <f>EV63</f>
        <v>0</v>
      </c>
      <c r="F1" s="536">
        <f>ROUND(F57-DR47,0)</f>
        <v>0</v>
      </c>
      <c r="K1" s="536">
        <f>K60+K65-DS47</f>
        <v>0</v>
      </c>
      <c r="O1" s="536">
        <f>P29-DT49</f>
        <v>0</v>
      </c>
      <c r="P1" s="536">
        <f>P22-DT47</f>
        <v>0</v>
      </c>
      <c r="U1" s="536">
        <f>ROUND(U34-DU47,0)</f>
        <v>0</v>
      </c>
      <c r="Y1" s="536">
        <f>ROUND(Y33-DV47,0)</f>
        <v>0</v>
      </c>
      <c r="AB1" s="536">
        <f>ROUND(AD42-DY49,0)</f>
        <v>0</v>
      </c>
      <c r="AD1" s="536">
        <f>ROUND(AD36-DY47,0)</f>
        <v>0</v>
      </c>
      <c r="AI1" s="536">
        <f>ROUND(AI38-DZ47,0)</f>
        <v>0</v>
      </c>
      <c r="AN1" s="536">
        <f>ROUND(AN29-EA47,0)</f>
        <v>0</v>
      </c>
      <c r="AR1" s="536">
        <f>ROUND(AS45-EB49,0)</f>
        <v>0</v>
      </c>
      <c r="AS1" s="536">
        <f>ROUND(AS35-EB47,0)</f>
        <v>0</v>
      </c>
      <c r="AX1" s="536">
        <f>ROUND(AX19-EC47,0)</f>
        <v>0</v>
      </c>
      <c r="BB1" s="536">
        <f>ROUND(BB25-ED47,0)</f>
        <v>0</v>
      </c>
      <c r="BG1" s="536">
        <f>ROUND(BG21-EE47,0)</f>
        <v>0</v>
      </c>
      <c r="BL1" s="536">
        <f>ROUND(BL16-EH47,0)</f>
        <v>0</v>
      </c>
      <c r="BP1" s="536">
        <f>ROUND(BP27-EI47,0)</f>
        <v>0</v>
      </c>
      <c r="BS1" s="536">
        <f>ROUND(BS26-EJ47,0)</f>
        <v>0</v>
      </c>
      <c r="BX1" s="536">
        <f>ROUND(BX20-EK47,0)</f>
        <v>0</v>
      </c>
      <c r="CC1" s="536">
        <f>ROUND(CC21-EL47,0)</f>
        <v>0</v>
      </c>
      <c r="CJ1" s="536">
        <f>ROUND(CJ31-EM47,0)</f>
        <v>0</v>
      </c>
      <c r="CO1" s="536">
        <f>ROUND(CO41-EP47,0)</f>
        <v>0</v>
      </c>
      <c r="CS1" s="536">
        <f>ROUND(CS25-EQ47,0)</f>
        <v>0</v>
      </c>
      <c r="CX1" s="536">
        <f>ROUND(CX32-ER47,0)</f>
        <v>0</v>
      </c>
      <c r="DC1" s="536">
        <f>ROUND(DC22-ES47,0)</f>
        <v>0</v>
      </c>
      <c r="DG1" s="536">
        <f>DH17-ET49</f>
        <v>0</v>
      </c>
      <c r="DH1" s="536">
        <f>ROUND(DH29-ET47,0)</f>
        <v>0</v>
      </c>
    </row>
    <row r="2" spans="1:159" ht="14.25" customHeight="1">
      <c r="A2" s="37"/>
      <c r="F2" s="251"/>
      <c r="G2" s="249"/>
      <c r="H2" s="250"/>
      <c r="I2" s="250"/>
      <c r="K2" s="251"/>
      <c r="P2" s="251"/>
      <c r="Q2" s="37"/>
      <c r="U2" s="251"/>
      <c r="V2" s="37"/>
      <c r="Y2" s="251"/>
      <c r="AD2" s="251"/>
      <c r="AE2" s="251"/>
      <c r="AF2" s="251"/>
      <c r="AG2" s="251"/>
      <c r="AH2" s="251"/>
      <c r="AI2" s="251"/>
      <c r="AN2" s="251"/>
      <c r="AS2" s="251"/>
      <c r="AX2" s="251"/>
      <c r="BB2" s="251"/>
      <c r="BG2" s="251"/>
      <c r="BL2" s="251"/>
      <c r="BP2" s="251"/>
      <c r="BS2" s="251"/>
      <c r="BX2" s="251"/>
      <c r="CC2" s="251"/>
      <c r="CJ2" s="251"/>
      <c r="CO2" s="251"/>
      <c r="CS2" s="251"/>
      <c r="CU2" s="37"/>
      <c r="CX2" s="251"/>
      <c r="CZ2" s="37"/>
      <c r="DC2" s="251"/>
      <c r="DE2" s="37"/>
      <c r="DH2" s="251"/>
      <c r="DM2" s="251"/>
      <c r="DO2" s="249"/>
      <c r="DQ2" s="9"/>
      <c r="DV2" s="251"/>
      <c r="DW2" s="249"/>
      <c r="EE2" s="251"/>
      <c r="EF2" s="249"/>
      <c r="EJ2" s="37"/>
      <c r="EM2" s="251"/>
      <c r="EN2" s="249"/>
      <c r="EV2" s="251"/>
      <c r="EW2" s="249"/>
      <c r="FA2" s="37"/>
      <c r="FB2" s="180"/>
      <c r="FC2" s="251"/>
    </row>
    <row r="3" spans="1:160" ht="14.25" customHeight="1">
      <c r="A3" s="37"/>
      <c r="F3" s="251"/>
      <c r="G3" s="250"/>
      <c r="H3" s="250"/>
      <c r="I3" s="250"/>
      <c r="K3" s="420"/>
      <c r="L3" s="37"/>
      <c r="M3" s="251"/>
      <c r="N3" s="251"/>
      <c r="O3" s="251"/>
      <c r="P3" s="420"/>
      <c r="Q3" s="105"/>
      <c r="U3" s="420"/>
      <c r="V3" s="105"/>
      <c r="Y3" s="420"/>
      <c r="Z3" s="37"/>
      <c r="AA3" s="1"/>
      <c r="AB3" s="200"/>
      <c r="AC3" s="200"/>
      <c r="AD3" s="420"/>
      <c r="AE3" s="256"/>
      <c r="AF3" s="256"/>
      <c r="AG3" s="256"/>
      <c r="AH3" s="256"/>
      <c r="AI3" s="420"/>
      <c r="AJ3" s="37"/>
      <c r="AK3" s="88"/>
      <c r="AL3" s="88"/>
      <c r="AM3" s="88"/>
      <c r="AN3" s="420"/>
      <c r="AO3" s="37"/>
      <c r="AQ3" s="21"/>
      <c r="AS3" s="420"/>
      <c r="AT3" s="37"/>
      <c r="AX3" s="420"/>
      <c r="AY3" s="37"/>
      <c r="BB3" s="420"/>
      <c r="BC3" s="37"/>
      <c r="BD3" s="250"/>
      <c r="BE3" s="250"/>
      <c r="BF3" s="250"/>
      <c r="BG3" s="420"/>
      <c r="BH3" s="37"/>
      <c r="BI3" s="180"/>
      <c r="BJ3" s="180"/>
      <c r="BK3" s="180"/>
      <c r="BL3" s="420"/>
      <c r="BM3" s="37"/>
      <c r="BN3" s="321"/>
      <c r="BP3" s="420"/>
      <c r="BQ3" s="37"/>
      <c r="BR3" s="1"/>
      <c r="BS3" s="420"/>
      <c r="BT3" s="37"/>
      <c r="BX3" s="420"/>
      <c r="BY3" s="37"/>
      <c r="BZ3" s="37"/>
      <c r="CC3" s="420"/>
      <c r="CD3" s="37"/>
      <c r="CE3" s="37"/>
      <c r="CJ3" s="420"/>
      <c r="CK3" s="37"/>
      <c r="CL3" s="37"/>
      <c r="CO3" s="420"/>
      <c r="CP3" s="37"/>
      <c r="CQ3" s="37"/>
      <c r="CS3" s="420"/>
      <c r="CT3" s="37"/>
      <c r="CU3" s="37"/>
      <c r="CX3" s="420"/>
      <c r="CY3" s="37"/>
      <c r="CZ3" s="37"/>
      <c r="DC3" s="420"/>
      <c r="DD3" s="37"/>
      <c r="DE3" s="37"/>
      <c r="DH3" s="420"/>
      <c r="DI3" s="37"/>
      <c r="DJ3" s="1"/>
      <c r="DK3" s="200"/>
      <c r="DM3" s="251"/>
      <c r="DO3" s="105"/>
      <c r="DP3" s="9"/>
      <c r="DQ3" s="56"/>
      <c r="DT3" s="37"/>
      <c r="DV3" s="1"/>
      <c r="EE3" s="1"/>
      <c r="EJ3" s="11"/>
      <c r="EM3" s="1"/>
      <c r="EU3" s="11"/>
      <c r="EV3" s="1"/>
      <c r="FA3" s="76"/>
      <c r="FC3" s="1"/>
      <c r="FD3" s="180"/>
    </row>
    <row r="4" spans="1:160" s="2" customFormat="1" ht="14.25" customHeight="1">
      <c r="A4" s="110"/>
      <c r="F4" s="366"/>
      <c r="G4" s="366"/>
      <c r="H4" s="366"/>
      <c r="I4" s="366"/>
      <c r="K4" s="530"/>
      <c r="L4" s="366"/>
      <c r="M4" s="366"/>
      <c r="N4" s="366"/>
      <c r="O4" s="366"/>
      <c r="P4" s="530"/>
      <c r="U4" s="530"/>
      <c r="W4" s="531"/>
      <c r="Y4" s="530"/>
      <c r="AD4" s="530"/>
      <c r="AE4" s="532"/>
      <c r="AF4" s="532"/>
      <c r="AG4" s="532"/>
      <c r="AH4" s="532"/>
      <c r="AI4" s="530"/>
      <c r="AK4" s="389"/>
      <c r="AL4" s="389"/>
      <c r="AM4" s="389"/>
      <c r="AN4" s="530"/>
      <c r="AQ4" s="21"/>
      <c r="AR4" s="110"/>
      <c r="AS4" s="530"/>
      <c r="AX4" s="530"/>
      <c r="BB4" s="530"/>
      <c r="BC4" s="340"/>
      <c r="BD4" s="299"/>
      <c r="BE4" s="299"/>
      <c r="BF4" s="299"/>
      <c r="BG4" s="530"/>
      <c r="BI4" s="195"/>
      <c r="BJ4" s="195"/>
      <c r="BK4" s="195"/>
      <c r="BL4" s="530"/>
      <c r="BM4" s="70"/>
      <c r="BN4" s="533"/>
      <c r="BO4" s="70"/>
      <c r="BP4" s="530"/>
      <c r="BQ4" s="195"/>
      <c r="BR4" s="195"/>
      <c r="BS4" s="530"/>
      <c r="BX4" s="530"/>
      <c r="CC4" s="530"/>
      <c r="CE4" s="110"/>
      <c r="CJ4" s="530"/>
      <c r="CL4" s="110"/>
      <c r="CO4" s="530"/>
      <c r="CS4" s="530"/>
      <c r="CT4" s="57"/>
      <c r="CU4" s="324"/>
      <c r="CV4" s="57"/>
      <c r="CW4" s="57"/>
      <c r="CX4" s="530"/>
      <c r="CY4" s="57"/>
      <c r="CZ4" s="324"/>
      <c r="DA4" s="57"/>
      <c r="DB4" s="57"/>
      <c r="DC4" s="530"/>
      <c r="DD4" s="57"/>
      <c r="DE4" s="324"/>
      <c r="DF4" s="57"/>
      <c r="DG4" s="57"/>
      <c r="DH4" s="530"/>
      <c r="DM4" s="57"/>
      <c r="DQ4" s="23"/>
      <c r="DV4" s="534"/>
      <c r="EE4" s="535"/>
      <c r="EM4" s="535"/>
      <c r="EV4" s="535"/>
      <c r="EW4" s="168"/>
      <c r="EX4" s="168"/>
      <c r="EY4" s="168"/>
      <c r="EZ4" s="168"/>
      <c r="FC4" s="35"/>
      <c r="FD4" s="35"/>
    </row>
    <row r="5" spans="1:161" s="37" customFormat="1" ht="14.25" customHeight="1">
      <c r="A5" s="37" t="s">
        <v>19</v>
      </c>
      <c r="G5" s="253"/>
      <c r="H5" s="254"/>
      <c r="I5" s="254"/>
      <c r="J5" s="254"/>
      <c r="K5" s="254"/>
      <c r="L5" s="266"/>
      <c r="M5" s="266"/>
      <c r="N5" s="266"/>
      <c r="O5" s="266"/>
      <c r="AA5" s="108"/>
      <c r="AB5" s="109"/>
      <c r="AC5" s="109"/>
      <c r="AE5" s="256"/>
      <c r="AF5" s="256"/>
      <c r="AG5" s="256"/>
      <c r="AH5" s="256"/>
      <c r="AI5" s="256"/>
      <c r="AJ5" s="110"/>
      <c r="AQ5" s="217"/>
      <c r="AY5" s="279"/>
      <c r="AZ5" s="57"/>
      <c r="BA5" s="57"/>
      <c r="BC5" s="249"/>
      <c r="BD5" s="252"/>
      <c r="BE5" s="252"/>
      <c r="BF5" s="252"/>
      <c r="BI5" s="195"/>
      <c r="BN5" s="321"/>
      <c r="BQ5" s="57"/>
      <c r="BR5" s="57"/>
      <c r="BT5" s="57"/>
      <c r="BU5" s="57"/>
      <c r="BV5" s="57"/>
      <c r="BW5" s="57"/>
      <c r="BY5" s="57"/>
      <c r="BZ5" s="57"/>
      <c r="CA5" s="57"/>
      <c r="CB5" s="57"/>
      <c r="DJ5" s="6"/>
      <c r="DN5" s="57"/>
      <c r="DO5" s="201" t="s">
        <v>20</v>
      </c>
      <c r="DP5" s="202"/>
      <c r="DQ5" s="202"/>
      <c r="DR5" s="202"/>
      <c r="DS5" s="202"/>
      <c r="DT5" s="202"/>
      <c r="DU5" s="202"/>
      <c r="DV5" s="202"/>
      <c r="DW5" s="201" t="s">
        <v>20</v>
      </c>
      <c r="DX5" s="202"/>
      <c r="DY5" s="202"/>
      <c r="DZ5" s="202"/>
      <c r="EA5" s="202"/>
      <c r="EB5" s="202"/>
      <c r="EC5" s="202"/>
      <c r="ED5" s="202"/>
      <c r="EE5" s="202"/>
      <c r="EF5" s="201" t="s">
        <v>20</v>
      </c>
      <c r="EG5" s="202"/>
      <c r="EH5" s="202"/>
      <c r="EI5" s="202"/>
      <c r="EJ5" s="202"/>
      <c r="EK5" s="202"/>
      <c r="EL5" s="201"/>
      <c r="EM5" s="202"/>
      <c r="EN5" s="201" t="s">
        <v>20</v>
      </c>
      <c r="EO5" s="202"/>
      <c r="EP5" s="202"/>
      <c r="EQ5" s="202"/>
      <c r="ER5" s="202"/>
      <c r="ES5" s="202"/>
      <c r="ET5" s="202"/>
      <c r="EU5" s="202"/>
      <c r="EV5" s="202"/>
      <c r="EW5" s="36" t="str">
        <f>PSE</f>
        <v>PUGET SOUND ENERGY-GAS </v>
      </c>
      <c r="EX5" s="202"/>
      <c r="EY5" s="202"/>
      <c r="EZ5" s="202"/>
      <c r="FA5" s="204"/>
      <c r="FB5" s="202"/>
      <c r="FC5" s="202"/>
      <c r="FD5" s="6"/>
      <c r="FE5" s="35"/>
    </row>
    <row r="6" spans="1:161" s="37" customFormat="1" ht="14.25" customHeight="1">
      <c r="A6" s="36" t="s">
        <v>21</v>
      </c>
      <c r="B6" s="6"/>
      <c r="C6" s="6"/>
      <c r="D6" s="6"/>
      <c r="E6" s="6"/>
      <c r="F6" s="6"/>
      <c r="G6" s="36" t="str">
        <f>PSE</f>
        <v>PUGET SOUND ENERGY-GAS </v>
      </c>
      <c r="H6" s="6"/>
      <c r="I6" s="6"/>
      <c r="J6" s="6"/>
      <c r="K6" s="111"/>
      <c r="L6" s="36" t="str">
        <f>PSE</f>
        <v>PUGET SOUND ENERGY-GAS </v>
      </c>
      <c r="M6" s="6"/>
      <c r="N6" s="6"/>
      <c r="O6" s="6"/>
      <c r="P6" s="6"/>
      <c r="Q6" s="36" t="str">
        <f>PSE</f>
        <v>PUGET SOUND ENERGY-GAS </v>
      </c>
      <c r="R6" s="6"/>
      <c r="S6" s="6"/>
      <c r="T6" s="6"/>
      <c r="U6" s="111"/>
      <c r="V6" s="36" t="str">
        <f>PSE</f>
        <v>PUGET SOUND ENERGY-GAS </v>
      </c>
      <c r="W6" s="6"/>
      <c r="X6" s="6"/>
      <c r="Y6" s="6"/>
      <c r="Z6" s="36" t="str">
        <f>PSE</f>
        <v>PUGET SOUND ENERGY-GAS </v>
      </c>
      <c r="AA6" s="6"/>
      <c r="AB6" s="6"/>
      <c r="AC6" s="6"/>
      <c r="AD6" s="6"/>
      <c r="AE6" s="253" t="s">
        <v>21</v>
      </c>
      <c r="AF6" s="253"/>
      <c r="AG6" s="253"/>
      <c r="AH6" s="253"/>
      <c r="AI6" s="253"/>
      <c r="AJ6" s="36" t="str">
        <f>PSE</f>
        <v>PUGET SOUND ENERGY-GAS </v>
      </c>
      <c r="AK6" s="6"/>
      <c r="AL6" s="6"/>
      <c r="AM6" s="6"/>
      <c r="AN6" s="6"/>
      <c r="AO6" s="36" t="str">
        <f>PSE</f>
        <v>PUGET SOUND ENERGY-GAS </v>
      </c>
      <c r="AP6" s="6"/>
      <c r="AQ6" s="218"/>
      <c r="AR6" s="6"/>
      <c r="AS6" s="6"/>
      <c r="AT6" s="36" t="str">
        <f>PSE</f>
        <v>PUGET SOUND ENERGY-GAS </v>
      </c>
      <c r="AU6" s="6"/>
      <c r="AV6" s="6"/>
      <c r="AW6" s="6"/>
      <c r="AX6" s="6"/>
      <c r="AY6" s="36" t="str">
        <f>PSE</f>
        <v>PUGET SOUND ENERGY-GAS </v>
      </c>
      <c r="AZ6" s="6"/>
      <c r="BA6" s="6"/>
      <c r="BB6" s="6"/>
      <c r="BC6" s="36" t="str">
        <f>PSE</f>
        <v>PUGET SOUND ENERGY-GAS </v>
      </c>
      <c r="BD6" s="254"/>
      <c r="BE6" s="254"/>
      <c r="BF6" s="254"/>
      <c r="BG6" s="255"/>
      <c r="BH6" s="36" t="str">
        <f>PSE</f>
        <v>PUGET SOUND ENERGY-GAS </v>
      </c>
      <c r="BI6" s="190"/>
      <c r="BJ6" s="190"/>
      <c r="BK6" s="190"/>
      <c r="BL6" s="190"/>
      <c r="BM6" s="36" t="str">
        <f>PSE</f>
        <v>PUGET SOUND ENERGY-GAS </v>
      </c>
      <c r="BN6" s="6"/>
      <c r="BO6" s="6"/>
      <c r="BP6" s="6"/>
      <c r="BQ6" s="36" t="str">
        <f>PSE</f>
        <v>PUGET SOUND ENERGY-GAS </v>
      </c>
      <c r="BR6" s="190"/>
      <c r="BS6" s="190"/>
      <c r="BT6" s="36" t="str">
        <f>PSE</f>
        <v>PUGET SOUND ENERGY-GAS </v>
      </c>
      <c r="BU6" s="6"/>
      <c r="BV6" s="6"/>
      <c r="BW6" s="6"/>
      <c r="BX6" s="6"/>
      <c r="BY6" s="36" t="str">
        <f>PSE</f>
        <v>PUGET SOUND ENERGY-GAS </v>
      </c>
      <c r="BZ6" s="6"/>
      <c r="CA6" s="6"/>
      <c r="CB6" s="6"/>
      <c r="CC6" s="6"/>
      <c r="CD6" s="36" t="str">
        <f>PSE</f>
        <v>PUGET SOUND ENERGY-GAS </v>
      </c>
      <c r="CE6" s="6"/>
      <c r="CF6" s="6"/>
      <c r="CG6" s="6"/>
      <c r="CH6" s="6"/>
      <c r="CI6" s="6"/>
      <c r="CJ6" s="6"/>
      <c r="CK6" s="36" t="str">
        <f>PSE</f>
        <v>PUGET SOUND ENERGY-GAS </v>
      </c>
      <c r="CL6" s="36"/>
      <c r="CM6" s="36"/>
      <c r="CN6" s="36"/>
      <c r="CO6" s="6"/>
      <c r="CP6" s="36" t="str">
        <f>PSE</f>
        <v>PUGET SOUND ENERGY-GAS </v>
      </c>
      <c r="CQ6" s="36"/>
      <c r="CR6" s="36"/>
      <c r="CS6" s="36"/>
      <c r="CT6" s="36" t="str">
        <f>PSE</f>
        <v>PUGET SOUND ENERGY-GAS </v>
      </c>
      <c r="CU6" s="190"/>
      <c r="CV6" s="190"/>
      <c r="CW6" s="190"/>
      <c r="CX6" s="190"/>
      <c r="CY6" s="36" t="str">
        <f>PSE</f>
        <v>PUGET SOUND ENERGY-GAS </v>
      </c>
      <c r="CZ6" s="190"/>
      <c r="DA6" s="190"/>
      <c r="DB6" s="190"/>
      <c r="DC6" s="190"/>
      <c r="DD6" s="36" t="str">
        <f>PSE</f>
        <v>PUGET SOUND ENERGY-GAS </v>
      </c>
      <c r="DE6" s="190"/>
      <c r="DF6" s="190"/>
      <c r="DG6" s="190"/>
      <c r="DH6" s="190"/>
      <c r="DI6" s="36" t="str">
        <f>PSE</f>
        <v>PUGET SOUND ENERGY-GAS </v>
      </c>
      <c r="DJ6" s="6"/>
      <c r="DK6" s="6"/>
      <c r="DL6" s="6"/>
      <c r="DM6" s="6"/>
      <c r="DO6" s="201" t="s">
        <v>119</v>
      </c>
      <c r="DP6" s="202"/>
      <c r="DQ6" s="202"/>
      <c r="DR6" s="203"/>
      <c r="DS6" s="203"/>
      <c r="DT6" s="203"/>
      <c r="DU6" s="202"/>
      <c r="DV6" s="201"/>
      <c r="DW6" s="201" t="s">
        <v>119</v>
      </c>
      <c r="DX6" s="202"/>
      <c r="DY6" s="201"/>
      <c r="DZ6" s="201"/>
      <c r="EA6" s="201"/>
      <c r="EB6" s="202"/>
      <c r="EC6" s="203"/>
      <c r="ED6" s="201"/>
      <c r="EE6" s="202"/>
      <c r="EF6" s="201" t="s">
        <v>119</v>
      </c>
      <c r="EG6" s="202"/>
      <c r="EH6" s="202"/>
      <c r="EI6" s="201"/>
      <c r="EJ6" s="202"/>
      <c r="EK6" s="201"/>
      <c r="EL6" s="201"/>
      <c r="EM6" s="202"/>
      <c r="EN6" s="201" t="s">
        <v>119</v>
      </c>
      <c r="EO6" s="202"/>
      <c r="EP6" s="202"/>
      <c r="EQ6" s="202"/>
      <c r="ER6" s="202"/>
      <c r="ES6" s="202"/>
      <c r="ET6" s="202"/>
      <c r="EU6" s="201"/>
      <c r="EV6" s="202"/>
      <c r="EW6" s="201" t="s">
        <v>24</v>
      </c>
      <c r="EX6" s="201"/>
      <c r="EY6" s="201"/>
      <c r="EZ6" s="201"/>
      <c r="FA6" s="201"/>
      <c r="FB6" s="202"/>
      <c r="FC6" s="202"/>
      <c r="FD6" s="6"/>
      <c r="FE6" s="112" t="s">
        <v>18</v>
      </c>
    </row>
    <row r="7" spans="1:161" s="37" customFormat="1" ht="14.25" customHeight="1">
      <c r="A7" s="36" t="s">
        <v>245</v>
      </c>
      <c r="B7" s="36"/>
      <c r="C7" s="36"/>
      <c r="D7" s="36"/>
      <c r="E7" s="6"/>
      <c r="F7" s="219"/>
      <c r="G7" s="6" t="s">
        <v>306</v>
      </c>
      <c r="H7" s="6"/>
      <c r="I7" s="6"/>
      <c r="J7" s="6"/>
      <c r="K7" s="111"/>
      <c r="L7" s="36" t="s">
        <v>359</v>
      </c>
      <c r="M7" s="6"/>
      <c r="N7" s="6"/>
      <c r="O7" s="6"/>
      <c r="P7" s="6"/>
      <c r="Q7" s="6" t="s">
        <v>99</v>
      </c>
      <c r="R7" s="6"/>
      <c r="S7" s="6"/>
      <c r="T7" s="6"/>
      <c r="U7" s="111"/>
      <c r="V7" s="6" t="s">
        <v>160</v>
      </c>
      <c r="W7" s="6"/>
      <c r="X7" s="6"/>
      <c r="Y7" s="6"/>
      <c r="Z7" s="36" t="s">
        <v>331</v>
      </c>
      <c r="AA7" s="6"/>
      <c r="AB7" s="36"/>
      <c r="AC7" s="36"/>
      <c r="AD7" s="6"/>
      <c r="AE7" s="253" t="s">
        <v>268</v>
      </c>
      <c r="AF7" s="253"/>
      <c r="AG7" s="253"/>
      <c r="AH7" s="253"/>
      <c r="AI7" s="253"/>
      <c r="AJ7" s="36" t="s">
        <v>161</v>
      </c>
      <c r="AK7" s="6"/>
      <c r="AL7" s="6"/>
      <c r="AM7" s="6"/>
      <c r="AN7" s="6"/>
      <c r="AO7" s="6" t="s">
        <v>162</v>
      </c>
      <c r="AP7" s="6"/>
      <c r="AQ7" s="218"/>
      <c r="AR7" s="6"/>
      <c r="AS7" s="38"/>
      <c r="AT7" s="6" t="s">
        <v>163</v>
      </c>
      <c r="AU7" s="6"/>
      <c r="AV7" s="6"/>
      <c r="AW7" s="6"/>
      <c r="AX7" s="38"/>
      <c r="AY7" s="36" t="s">
        <v>168</v>
      </c>
      <c r="AZ7" s="38"/>
      <c r="BA7" s="38"/>
      <c r="BB7" s="38"/>
      <c r="BC7" s="253" t="s">
        <v>206</v>
      </c>
      <c r="BD7" s="254"/>
      <c r="BE7" s="254"/>
      <c r="BF7" s="254"/>
      <c r="BG7" s="38"/>
      <c r="BH7" s="6" t="s">
        <v>217</v>
      </c>
      <c r="BI7" s="190"/>
      <c r="BJ7" s="190"/>
      <c r="BK7" s="190"/>
      <c r="BL7" s="190"/>
      <c r="BM7" s="6" t="s">
        <v>166</v>
      </c>
      <c r="BN7" s="6"/>
      <c r="BO7" s="6"/>
      <c r="BP7" s="38"/>
      <c r="BQ7" s="253" t="s">
        <v>219</v>
      </c>
      <c r="BR7" s="190"/>
      <c r="BS7" s="190"/>
      <c r="BT7" s="36" t="s">
        <v>167</v>
      </c>
      <c r="BU7" s="38"/>
      <c r="BV7" s="38"/>
      <c r="BW7" s="38"/>
      <c r="BX7" s="38"/>
      <c r="BY7" s="36" t="s">
        <v>174</v>
      </c>
      <c r="BZ7" s="38"/>
      <c r="CA7" s="38"/>
      <c r="CB7" s="38"/>
      <c r="CC7" s="38"/>
      <c r="CD7" s="6" t="s">
        <v>164</v>
      </c>
      <c r="CE7" s="6"/>
      <c r="CF7" s="6"/>
      <c r="CG7" s="6"/>
      <c r="CH7" s="6"/>
      <c r="CI7" s="6"/>
      <c r="CJ7" s="38"/>
      <c r="CK7" s="6" t="s">
        <v>120</v>
      </c>
      <c r="CL7" s="6"/>
      <c r="CM7" s="6"/>
      <c r="CN7" s="6"/>
      <c r="CO7" s="6"/>
      <c r="CP7" s="6" t="s">
        <v>165</v>
      </c>
      <c r="CQ7" s="6"/>
      <c r="CR7" s="6"/>
      <c r="CS7" s="6"/>
      <c r="CT7" s="6" t="s">
        <v>195</v>
      </c>
      <c r="CU7" s="190"/>
      <c r="CV7" s="190"/>
      <c r="CW7" s="190"/>
      <c r="CX7" s="190"/>
      <c r="CY7" s="6" t="s">
        <v>330</v>
      </c>
      <c r="CZ7" s="190"/>
      <c r="DA7" s="190"/>
      <c r="DB7" s="190"/>
      <c r="DC7" s="190"/>
      <c r="DD7" s="6" t="s">
        <v>356</v>
      </c>
      <c r="DE7" s="190"/>
      <c r="DF7" s="190"/>
      <c r="DG7" s="190"/>
      <c r="DH7" s="190"/>
      <c r="DI7" s="6" t="s">
        <v>23</v>
      </c>
      <c r="DJ7" s="6"/>
      <c r="DK7" s="6"/>
      <c r="DL7" s="6"/>
      <c r="DM7" s="6"/>
      <c r="DO7" s="202" t="str">
        <f>TESTYEAR</f>
        <v>FOR THE TWELVE MONTHS ENDED DECEMBER  31, 2008</v>
      </c>
      <c r="DP7" s="202"/>
      <c r="DQ7" s="202"/>
      <c r="DR7" s="202"/>
      <c r="DS7" s="202"/>
      <c r="DT7" s="202"/>
      <c r="DU7" s="202"/>
      <c r="DV7" s="201"/>
      <c r="DW7" s="202" t="str">
        <f>TESTYEAR</f>
        <v>FOR THE TWELVE MONTHS ENDED DECEMBER  31, 2008</v>
      </c>
      <c r="DX7" s="202"/>
      <c r="DY7" s="201"/>
      <c r="DZ7" s="201"/>
      <c r="EA7" s="201"/>
      <c r="EB7" s="202"/>
      <c r="EC7" s="202"/>
      <c r="ED7" s="201"/>
      <c r="EE7" s="202"/>
      <c r="EF7" s="202" t="str">
        <f>TESTYEAR</f>
        <v>FOR THE TWELVE MONTHS ENDED DECEMBER  31, 2008</v>
      </c>
      <c r="EG7" s="202"/>
      <c r="EH7" s="202"/>
      <c r="EI7" s="201"/>
      <c r="EJ7" s="202"/>
      <c r="EK7" s="201"/>
      <c r="EL7" s="202"/>
      <c r="EM7" s="202"/>
      <c r="EN7" s="202" t="str">
        <f>TESTYEAR</f>
        <v>FOR THE TWELVE MONTHS ENDED DECEMBER  31, 2008</v>
      </c>
      <c r="EO7" s="202"/>
      <c r="EP7" s="202"/>
      <c r="EQ7" s="202"/>
      <c r="ER7" s="202"/>
      <c r="ES7" s="202"/>
      <c r="ET7" s="202"/>
      <c r="EU7" s="201"/>
      <c r="EV7" s="202"/>
      <c r="EW7" s="202" t="str">
        <f>TESTYEAR</f>
        <v>FOR THE TWELVE MONTHS ENDED DECEMBER  31, 2008</v>
      </c>
      <c r="EX7" s="201"/>
      <c r="EY7" s="201"/>
      <c r="EZ7" s="201"/>
      <c r="FA7" s="201"/>
      <c r="FB7" s="202"/>
      <c r="FC7" s="202"/>
      <c r="FD7" s="6"/>
      <c r="FE7" s="112" t="s">
        <v>18</v>
      </c>
    </row>
    <row r="8" spans="1:161" s="37" customFormat="1" ht="14.25" customHeight="1">
      <c r="A8" s="6" t="s">
        <v>333</v>
      </c>
      <c r="B8" s="36"/>
      <c r="C8" s="36"/>
      <c r="D8" s="36"/>
      <c r="E8" s="6"/>
      <c r="F8" s="39"/>
      <c r="G8" s="6" t="str">
        <f>TESTYEAR</f>
        <v>FOR THE TWELVE MONTHS ENDED DECEMBER  31, 2008</v>
      </c>
      <c r="H8" s="6"/>
      <c r="I8" s="6"/>
      <c r="J8" s="6"/>
      <c r="K8" s="111"/>
      <c r="L8" s="36" t="str">
        <f>TESTYEAR</f>
        <v>FOR THE TWELVE MONTHS ENDED DECEMBER  31, 2008</v>
      </c>
      <c r="M8" s="6"/>
      <c r="N8" s="6"/>
      <c r="O8" s="6"/>
      <c r="P8" s="6"/>
      <c r="Q8" s="6" t="str">
        <f>TESTYEAR</f>
        <v>FOR THE TWELVE MONTHS ENDED DECEMBER  31, 2008</v>
      </c>
      <c r="R8" s="6"/>
      <c r="S8" s="6"/>
      <c r="T8" s="6"/>
      <c r="U8" s="111"/>
      <c r="V8" s="6" t="str">
        <f>TESTYEAR</f>
        <v>FOR THE TWELVE MONTHS ENDED DECEMBER  31, 2008</v>
      </c>
      <c r="W8" s="6"/>
      <c r="X8" s="6"/>
      <c r="Y8" s="39"/>
      <c r="Z8" s="6" t="str">
        <f>TESTYEAR</f>
        <v>FOR THE TWELVE MONTHS ENDED DECEMBER  31, 2008</v>
      </c>
      <c r="AA8" s="6"/>
      <c r="AB8" s="36"/>
      <c r="AC8" s="36"/>
      <c r="AD8" s="6"/>
      <c r="AE8" s="6" t="str">
        <f>TESTYEAR</f>
        <v>FOR THE TWELVE MONTHS ENDED DECEMBER  31, 2008</v>
      </c>
      <c r="AF8" s="6"/>
      <c r="AG8" s="6"/>
      <c r="AH8" s="6"/>
      <c r="AI8" s="6"/>
      <c r="AJ8" s="36" t="str">
        <f>TESTYEAR</f>
        <v>FOR THE TWELVE MONTHS ENDED DECEMBER  31, 2008</v>
      </c>
      <c r="AK8" s="6"/>
      <c r="AL8" s="6"/>
      <c r="AM8" s="6"/>
      <c r="AN8" s="6"/>
      <c r="AO8" s="6" t="str">
        <f>TESTYEAR</f>
        <v>FOR THE TWELVE MONTHS ENDED DECEMBER  31, 2008</v>
      </c>
      <c r="AP8" s="6"/>
      <c r="AQ8" s="218"/>
      <c r="AR8" s="6"/>
      <c r="AS8" s="39"/>
      <c r="AT8" s="6" t="str">
        <f>TESTYEAR</f>
        <v>FOR THE TWELVE MONTHS ENDED DECEMBER  31, 2008</v>
      </c>
      <c r="AU8" s="36"/>
      <c r="AV8" s="6"/>
      <c r="AW8" s="6"/>
      <c r="AX8" s="181"/>
      <c r="AY8" s="6" t="str">
        <f>TESTYEAR</f>
        <v>FOR THE TWELVE MONTHS ENDED DECEMBER  31, 2008</v>
      </c>
      <c r="AZ8" s="39"/>
      <c r="BA8" s="39"/>
      <c r="BB8" s="39"/>
      <c r="BC8" s="6" t="str">
        <f>TESTYEAR</f>
        <v>FOR THE TWELVE MONTHS ENDED DECEMBER  31, 2008</v>
      </c>
      <c r="BD8" s="254"/>
      <c r="BE8" s="254"/>
      <c r="BF8" s="254"/>
      <c r="BG8" s="39"/>
      <c r="BH8" s="6" t="str">
        <f>TESTYEAR</f>
        <v>FOR THE TWELVE MONTHS ENDED DECEMBER  31, 2008</v>
      </c>
      <c r="BI8" s="190"/>
      <c r="BJ8" s="190"/>
      <c r="BK8" s="190"/>
      <c r="BL8" s="190"/>
      <c r="BM8" s="6" t="str">
        <f>TESTYEAR</f>
        <v>FOR THE TWELVE MONTHS ENDED DECEMBER  31, 2008</v>
      </c>
      <c r="BN8" s="36"/>
      <c r="BO8" s="6"/>
      <c r="BP8" s="39"/>
      <c r="BQ8" s="6" t="str">
        <f>TESTYEAR</f>
        <v>FOR THE TWELVE MONTHS ENDED DECEMBER  31, 2008</v>
      </c>
      <c r="BR8" s="190"/>
      <c r="BS8" s="190"/>
      <c r="BT8" s="6" t="str">
        <f>TESTYEAR</f>
        <v>FOR THE TWELVE MONTHS ENDED DECEMBER  31, 2008</v>
      </c>
      <c r="BU8" s="39"/>
      <c r="BV8" s="39"/>
      <c r="BW8" s="39"/>
      <c r="BX8" s="39"/>
      <c r="BY8" s="6" t="str">
        <f>TESTYEAR</f>
        <v>FOR THE TWELVE MONTHS ENDED DECEMBER  31, 2008</v>
      </c>
      <c r="BZ8" s="39"/>
      <c r="CA8" s="39"/>
      <c r="CB8" s="39"/>
      <c r="CC8" s="39"/>
      <c r="CD8" s="6" t="str">
        <f>TESTYEAR</f>
        <v>FOR THE TWELVE MONTHS ENDED DECEMBER  31, 2008</v>
      </c>
      <c r="CE8" s="6"/>
      <c r="CF8" s="6"/>
      <c r="CG8" s="6"/>
      <c r="CH8" s="6"/>
      <c r="CI8" s="6"/>
      <c r="CJ8" s="39"/>
      <c r="CK8" s="6" t="str">
        <f>TESTYEAR</f>
        <v>FOR THE TWELVE MONTHS ENDED DECEMBER  31, 2008</v>
      </c>
      <c r="CL8" s="6"/>
      <c r="CM8" s="6"/>
      <c r="CN8" s="6"/>
      <c r="CO8" s="6"/>
      <c r="CP8" s="6" t="str">
        <f>TESTYEAR</f>
        <v>FOR THE TWELVE MONTHS ENDED DECEMBER  31, 2008</v>
      </c>
      <c r="CQ8" s="6"/>
      <c r="CR8" s="6"/>
      <c r="CS8" s="6"/>
      <c r="CT8" s="6" t="str">
        <f>TESTYEAR</f>
        <v>FOR THE TWELVE MONTHS ENDED DECEMBER  31, 2008</v>
      </c>
      <c r="CU8" s="190"/>
      <c r="CV8" s="190"/>
      <c r="CW8" s="190"/>
      <c r="CX8" s="190"/>
      <c r="CY8" s="6" t="str">
        <f>TESTYEAR</f>
        <v>FOR THE TWELVE MONTHS ENDED DECEMBER  31, 2008</v>
      </c>
      <c r="CZ8" s="190"/>
      <c r="DA8" s="190"/>
      <c r="DB8" s="190"/>
      <c r="DC8" s="190"/>
      <c r="DD8" s="6" t="str">
        <f>TESTYEAR</f>
        <v>FOR THE TWELVE MONTHS ENDED DECEMBER  31, 2008</v>
      </c>
      <c r="DE8" s="190"/>
      <c r="DF8" s="190"/>
      <c r="DG8" s="190"/>
      <c r="DH8" s="190"/>
      <c r="DI8" s="6" t="str">
        <f>TESTYEAR</f>
        <v>FOR THE TWELVE MONTHS ENDED DECEMBER  31, 2008</v>
      </c>
      <c r="DJ8" s="6"/>
      <c r="DK8" s="6"/>
      <c r="DL8" s="6"/>
      <c r="DM8" s="6"/>
      <c r="DO8" s="201" t="s">
        <v>173</v>
      </c>
      <c r="DP8" s="202"/>
      <c r="DQ8" s="202"/>
      <c r="DR8" s="202"/>
      <c r="DS8" s="202"/>
      <c r="DT8" s="202"/>
      <c r="DU8" s="202"/>
      <c r="DV8" s="202"/>
      <c r="DW8" s="201" t="s">
        <v>173</v>
      </c>
      <c r="DX8" s="202"/>
      <c r="DY8" s="202"/>
      <c r="DZ8" s="202"/>
      <c r="EA8" s="202"/>
      <c r="EB8" s="202"/>
      <c r="EC8" s="202"/>
      <c r="ED8" s="202"/>
      <c r="EE8" s="202"/>
      <c r="EF8" s="201" t="s">
        <v>173</v>
      </c>
      <c r="EG8" s="202"/>
      <c r="EH8" s="202"/>
      <c r="EI8" s="202"/>
      <c r="EJ8" s="202"/>
      <c r="EK8" s="202"/>
      <c r="EL8" s="201"/>
      <c r="EM8" s="202"/>
      <c r="EN8" s="201" t="s">
        <v>173</v>
      </c>
      <c r="EO8" s="202"/>
      <c r="EP8" s="202"/>
      <c r="EQ8" s="202"/>
      <c r="ER8" s="202"/>
      <c r="ES8" s="202"/>
      <c r="ET8" s="202"/>
      <c r="EU8" s="202"/>
      <c r="EV8" s="202"/>
      <c r="EW8" s="202" t="str">
        <f>DOCKET</f>
        <v>GENERAL RATE INCREASE</v>
      </c>
      <c r="EX8" s="202"/>
      <c r="EY8" s="202"/>
      <c r="EZ8" s="202"/>
      <c r="FA8" s="202"/>
      <c r="FB8" s="202"/>
      <c r="FC8" s="202"/>
      <c r="FD8" s="6"/>
      <c r="FE8" s="112" t="s">
        <v>18</v>
      </c>
    </row>
    <row r="9" spans="1:161" s="37" customFormat="1" ht="14.25" customHeight="1">
      <c r="A9" s="36" t="s">
        <v>115</v>
      </c>
      <c r="B9" s="36"/>
      <c r="C9" s="36"/>
      <c r="D9" s="36"/>
      <c r="E9" s="6"/>
      <c r="F9" s="6"/>
      <c r="G9" s="6" t="str">
        <f>DOCKET</f>
        <v>GENERAL RATE INCREASE</v>
      </c>
      <c r="H9" s="36"/>
      <c r="I9" s="6"/>
      <c r="J9" s="36"/>
      <c r="K9" s="111"/>
      <c r="L9" s="36" t="str">
        <f>DOCKET</f>
        <v>GENERAL RATE INCREASE</v>
      </c>
      <c r="M9" s="6"/>
      <c r="N9" s="6"/>
      <c r="O9" s="6"/>
      <c r="P9" s="6"/>
      <c r="Q9" s="6" t="str">
        <f>DOCKET</f>
        <v>GENERAL RATE INCREASE</v>
      </c>
      <c r="R9" s="36"/>
      <c r="S9" s="6"/>
      <c r="T9" s="36"/>
      <c r="U9" s="111"/>
      <c r="V9" s="36" t="s">
        <v>115</v>
      </c>
      <c r="W9" s="36"/>
      <c r="X9" s="36"/>
      <c r="Y9" s="36"/>
      <c r="Z9" s="36" t="str">
        <f>DOCKET</f>
        <v>GENERAL RATE INCREASE</v>
      </c>
      <c r="AA9" s="6"/>
      <c r="AB9" s="36"/>
      <c r="AC9" s="36"/>
      <c r="AD9" s="36"/>
      <c r="AE9" s="36" t="s">
        <v>115</v>
      </c>
      <c r="AF9" s="36"/>
      <c r="AG9" s="36"/>
      <c r="AH9" s="36"/>
      <c r="AI9" s="36"/>
      <c r="AJ9" s="36" t="str">
        <f>DOCKET</f>
        <v>GENERAL RATE INCREASE</v>
      </c>
      <c r="AK9" s="6"/>
      <c r="AL9" s="6"/>
      <c r="AM9" s="6"/>
      <c r="AN9" s="6"/>
      <c r="AO9" s="6" t="str">
        <f>DOCKET</f>
        <v>GENERAL RATE INCREASE</v>
      </c>
      <c r="AP9" s="6"/>
      <c r="AQ9" s="218"/>
      <c r="AR9" s="6"/>
      <c r="AS9" s="6"/>
      <c r="AT9" s="6" t="str">
        <f>DOCKET</f>
        <v>GENERAL RATE INCREASE</v>
      </c>
      <c r="AU9" s="36"/>
      <c r="AV9" s="36"/>
      <c r="AW9" s="6"/>
      <c r="AX9" s="181"/>
      <c r="AY9" s="36" t="str">
        <f>DOCKET</f>
        <v>GENERAL RATE INCREASE</v>
      </c>
      <c r="AZ9" s="6"/>
      <c r="BA9" s="6"/>
      <c r="BB9" s="6"/>
      <c r="BC9" s="36" t="str">
        <f>DOCKET</f>
        <v>GENERAL RATE INCREASE</v>
      </c>
      <c r="BD9" s="254"/>
      <c r="BE9" s="254"/>
      <c r="BF9" s="253"/>
      <c r="BG9" s="39"/>
      <c r="BH9" s="36" t="str">
        <f>DOCKET</f>
        <v>GENERAL RATE INCREASE</v>
      </c>
      <c r="BI9" s="190"/>
      <c r="BJ9" s="190"/>
      <c r="BK9" s="190"/>
      <c r="BL9" s="190"/>
      <c r="BM9" s="36" t="str">
        <f>DOCKET</f>
        <v>GENERAL RATE INCREASE</v>
      </c>
      <c r="BN9" s="36"/>
      <c r="BO9" s="6"/>
      <c r="BP9" s="6"/>
      <c r="BQ9" s="36" t="str">
        <f>DOCKET</f>
        <v>GENERAL RATE INCREASE</v>
      </c>
      <c r="BR9" s="190"/>
      <c r="BS9" s="190"/>
      <c r="BT9" s="36" t="str">
        <f>DOCKET</f>
        <v>GENERAL RATE INCREASE</v>
      </c>
      <c r="BU9" s="6"/>
      <c r="BV9" s="6"/>
      <c r="BW9" s="6"/>
      <c r="BX9" s="6"/>
      <c r="BY9" s="36" t="str">
        <f>DOCKET</f>
        <v>GENERAL RATE INCREASE</v>
      </c>
      <c r="BZ9" s="6"/>
      <c r="CA9" s="6"/>
      <c r="CB9" s="6"/>
      <c r="CC9" s="6"/>
      <c r="CD9" s="36" t="str">
        <f>DOCKET</f>
        <v>GENERAL RATE INCREASE</v>
      </c>
      <c r="CE9" s="6"/>
      <c r="CF9" s="6"/>
      <c r="CG9" s="6"/>
      <c r="CH9" s="6"/>
      <c r="CI9" s="6"/>
      <c r="CJ9" s="39"/>
      <c r="CK9" s="6" t="str">
        <f>DOCKET</f>
        <v>GENERAL RATE INCREASE</v>
      </c>
      <c r="CL9" s="6"/>
      <c r="CM9" s="6"/>
      <c r="CN9" s="6"/>
      <c r="CO9" s="6"/>
      <c r="CP9" s="36" t="str">
        <f>DOCKET</f>
        <v>GENERAL RATE INCREASE</v>
      </c>
      <c r="CQ9" s="36"/>
      <c r="CR9" s="36"/>
      <c r="CS9" s="36"/>
      <c r="CT9" s="36" t="str">
        <f>DOCKET</f>
        <v>GENERAL RATE INCREASE</v>
      </c>
      <c r="CU9" s="190"/>
      <c r="CV9" s="190"/>
      <c r="CW9" s="190"/>
      <c r="CX9" s="190"/>
      <c r="CY9" s="36" t="str">
        <f>DOCKET</f>
        <v>GENERAL RATE INCREASE</v>
      </c>
      <c r="CZ9" s="190"/>
      <c r="DA9" s="190"/>
      <c r="DB9" s="190"/>
      <c r="DC9" s="190"/>
      <c r="DD9" s="36" t="str">
        <f>DOCKET</f>
        <v>GENERAL RATE INCREASE</v>
      </c>
      <c r="DE9" s="190"/>
      <c r="DF9" s="190"/>
      <c r="DG9" s="190"/>
      <c r="DH9" s="190"/>
      <c r="DI9" s="36" t="str">
        <f>DOCKET</f>
        <v>GENERAL RATE INCREASE</v>
      </c>
      <c r="DJ9" s="6"/>
      <c r="DK9" s="6"/>
      <c r="DL9" s="6"/>
      <c r="DM9" s="6"/>
      <c r="DO9" s="113"/>
      <c r="DP9" s="6"/>
      <c r="DQ9" s="6"/>
      <c r="DR9" s="6"/>
      <c r="DS9" s="6"/>
      <c r="DT9" s="6"/>
      <c r="DU9" s="6"/>
      <c r="DV9" s="6"/>
      <c r="DW9" s="211"/>
      <c r="DX9" s="211"/>
      <c r="DY9" s="6"/>
      <c r="DZ9" s="6"/>
      <c r="EA9" s="6"/>
      <c r="EB9" s="6"/>
      <c r="EC9" s="6"/>
      <c r="ED9" s="6"/>
      <c r="EE9" s="6"/>
      <c r="EF9" s="35"/>
      <c r="EG9" s="35"/>
      <c r="EH9" s="6"/>
      <c r="EI9" s="6"/>
      <c r="EJ9" s="6"/>
      <c r="EK9" s="6"/>
      <c r="EL9" s="6"/>
      <c r="EM9" s="6"/>
      <c r="EN9" s="35"/>
      <c r="EO9" s="35"/>
      <c r="EP9" s="6"/>
      <c r="EQ9" s="6"/>
      <c r="ER9" s="6"/>
      <c r="ES9" s="6"/>
      <c r="ET9" s="6"/>
      <c r="EU9" s="6"/>
      <c r="EV9" s="318"/>
      <c r="EW9" s="35"/>
      <c r="EX9" s="35"/>
      <c r="EY9" s="35"/>
      <c r="EZ9" s="318"/>
      <c r="FA9" s="318"/>
      <c r="FB9" s="318"/>
      <c r="FC9" s="318"/>
      <c r="FD9" s="169"/>
      <c r="FE9" s="248"/>
    </row>
    <row r="10" spans="7:152" s="37" customFormat="1" ht="14.25" customHeight="1">
      <c r="G10" s="344"/>
      <c r="H10" s="257"/>
      <c r="I10" s="257"/>
      <c r="J10" s="257"/>
      <c r="K10" s="257"/>
      <c r="L10" s="249"/>
      <c r="M10" s="249"/>
      <c r="N10" s="249"/>
      <c r="O10" s="249"/>
      <c r="P10" s="249"/>
      <c r="R10" s="40"/>
      <c r="S10" s="40"/>
      <c r="T10" s="40"/>
      <c r="U10" s="114"/>
      <c r="W10" s="40"/>
      <c r="X10" s="35"/>
      <c r="Y10" s="35"/>
      <c r="AE10" s="345"/>
      <c r="AF10" s="346"/>
      <c r="AG10" s="346"/>
      <c r="AH10" s="346"/>
      <c r="AI10" s="321"/>
      <c r="AO10" s="220"/>
      <c r="AQ10" s="217"/>
      <c r="AU10" s="40"/>
      <c r="AV10" s="40"/>
      <c r="BC10" s="249"/>
      <c r="BD10" s="256"/>
      <c r="BE10" s="256"/>
      <c r="BF10" s="252"/>
      <c r="BG10" s="252"/>
      <c r="CE10" s="40"/>
      <c r="CF10" s="40"/>
      <c r="CG10" s="40"/>
      <c r="CH10" s="40"/>
      <c r="CP10" s="102"/>
      <c r="CQ10" s="40"/>
      <c r="DD10" s="36"/>
      <c r="DE10" s="190"/>
      <c r="DF10" s="190"/>
      <c r="DG10" s="190"/>
      <c r="DH10" s="190"/>
      <c r="DQ10" s="12"/>
      <c r="DR10" s="92" t="s">
        <v>25</v>
      </c>
      <c r="DS10" s="92"/>
      <c r="DT10" s="92"/>
      <c r="DU10" s="92"/>
      <c r="DV10" s="92"/>
      <c r="DW10" s="92"/>
      <c r="DX10" s="115"/>
      <c r="DY10" s="92"/>
      <c r="DZ10" s="92"/>
      <c r="EA10" s="92"/>
      <c r="EB10" s="92"/>
      <c r="EC10" s="92"/>
      <c r="ED10" s="92"/>
      <c r="EE10" s="92"/>
      <c r="EF10" s="92" t="s">
        <v>25</v>
      </c>
      <c r="EG10" s="115"/>
      <c r="EH10" s="92"/>
      <c r="EI10" s="115"/>
      <c r="EJ10" s="92"/>
      <c r="EK10" s="92"/>
      <c r="EL10" s="92"/>
      <c r="EM10" s="92"/>
      <c r="EN10" s="92" t="s">
        <v>25</v>
      </c>
      <c r="EO10" s="115"/>
      <c r="EP10" s="92"/>
      <c r="EQ10" s="92"/>
      <c r="ER10" s="92"/>
      <c r="ES10" s="92"/>
      <c r="ET10" s="92"/>
      <c r="EU10" s="92"/>
      <c r="EV10" s="92"/>
    </row>
    <row r="11" spans="1:161" s="37" customFormat="1" ht="14.25" customHeight="1">
      <c r="A11" s="49" t="s">
        <v>26</v>
      </c>
      <c r="B11" s="40"/>
      <c r="E11" s="49"/>
      <c r="F11" s="49"/>
      <c r="G11" s="49" t="s">
        <v>26</v>
      </c>
      <c r="H11" s="257"/>
      <c r="I11" s="257"/>
      <c r="J11" s="257"/>
      <c r="K11" s="257"/>
      <c r="L11" s="249" t="s">
        <v>26</v>
      </c>
      <c r="M11" s="249"/>
      <c r="N11" s="249"/>
      <c r="O11" s="249"/>
      <c r="P11" s="249"/>
      <c r="Q11" s="49" t="s">
        <v>26</v>
      </c>
      <c r="U11" s="114"/>
      <c r="V11" s="49" t="s">
        <v>26</v>
      </c>
      <c r="Y11" s="12" t="s">
        <v>19</v>
      </c>
      <c r="Z11" s="344" t="s">
        <v>26</v>
      </c>
      <c r="AA11" s="249"/>
      <c r="AB11" s="249"/>
      <c r="AC11" s="249"/>
      <c r="AD11" s="249"/>
      <c r="AE11" s="257" t="s">
        <v>26</v>
      </c>
      <c r="AF11" s="321"/>
      <c r="AG11" s="321"/>
      <c r="AH11" s="344"/>
      <c r="AI11" s="344"/>
      <c r="AJ11" s="49" t="s">
        <v>26</v>
      </c>
      <c r="AK11" s="40"/>
      <c r="AL11" s="49" t="s">
        <v>200</v>
      </c>
      <c r="AM11" s="49" t="s">
        <v>201</v>
      </c>
      <c r="AO11" s="220" t="s">
        <v>28</v>
      </c>
      <c r="AQ11" s="217"/>
      <c r="AR11" s="49" t="s">
        <v>181</v>
      </c>
      <c r="AS11" s="49"/>
      <c r="AT11" s="12" t="s">
        <v>26</v>
      </c>
      <c r="AY11" s="49" t="s">
        <v>26</v>
      </c>
      <c r="BC11" s="257" t="s">
        <v>26</v>
      </c>
      <c r="BD11" s="252"/>
      <c r="BE11" s="257"/>
      <c r="BF11" s="252"/>
      <c r="BG11" s="252"/>
      <c r="BH11" s="12" t="s">
        <v>26</v>
      </c>
      <c r="BI11" s="12"/>
      <c r="BJ11" s="12"/>
      <c r="BK11" s="12"/>
      <c r="BL11" s="12"/>
      <c r="BM11" s="12" t="s">
        <v>26</v>
      </c>
      <c r="BQ11" s="12"/>
      <c r="BR11" s="12"/>
      <c r="BS11" s="12"/>
      <c r="BT11" s="49" t="s">
        <v>26</v>
      </c>
      <c r="BY11" s="49" t="s">
        <v>26</v>
      </c>
      <c r="CD11" s="12" t="s">
        <v>26</v>
      </c>
      <c r="CH11" s="12"/>
      <c r="CJ11" s="12"/>
      <c r="CK11" s="12" t="s">
        <v>26</v>
      </c>
      <c r="CO11" s="12"/>
      <c r="CP11" s="12" t="s">
        <v>26</v>
      </c>
      <c r="CT11" s="49" t="s">
        <v>26</v>
      </c>
      <c r="CV11" s="239"/>
      <c r="CW11" s="49" t="s">
        <v>37</v>
      </c>
      <c r="CX11" s="49"/>
      <c r="CY11" s="49" t="s">
        <v>26</v>
      </c>
      <c r="DA11" s="239"/>
      <c r="DB11" s="49" t="s">
        <v>37</v>
      </c>
      <c r="DC11" s="49"/>
      <c r="DD11" s="49" t="s">
        <v>26</v>
      </c>
      <c r="DF11" s="239"/>
      <c r="DG11" s="49" t="s">
        <v>37</v>
      </c>
      <c r="DH11" s="49"/>
      <c r="DI11" s="12" t="s">
        <v>26</v>
      </c>
      <c r="DQ11" s="12" t="s">
        <v>29</v>
      </c>
      <c r="DR11" s="35" t="s">
        <v>246</v>
      </c>
      <c r="DS11" s="35" t="s">
        <v>169</v>
      </c>
      <c r="DT11" s="35" t="s">
        <v>370</v>
      </c>
      <c r="DU11" s="35" t="s">
        <v>30</v>
      </c>
      <c r="DV11" s="35" t="s">
        <v>31</v>
      </c>
      <c r="DW11" s="35"/>
      <c r="DX11" s="35"/>
      <c r="DY11" s="35" t="s">
        <v>188</v>
      </c>
      <c r="DZ11" s="12" t="s">
        <v>269</v>
      </c>
      <c r="EA11" s="35" t="s">
        <v>32</v>
      </c>
      <c r="EB11" s="211" t="s">
        <v>33</v>
      </c>
      <c r="EC11" s="35" t="s">
        <v>34</v>
      </c>
      <c r="ED11" s="12" t="s">
        <v>171</v>
      </c>
      <c r="EE11" s="12" t="s">
        <v>209</v>
      </c>
      <c r="EF11" s="12"/>
      <c r="EG11" s="12"/>
      <c r="EH11" s="12" t="s">
        <v>215</v>
      </c>
      <c r="EI11" s="12" t="s">
        <v>38</v>
      </c>
      <c r="EJ11" s="12" t="s">
        <v>204</v>
      </c>
      <c r="EK11" s="12" t="s">
        <v>152</v>
      </c>
      <c r="EL11" s="12" t="s">
        <v>175</v>
      </c>
      <c r="EM11" s="12" t="s">
        <v>138</v>
      </c>
      <c r="EN11" s="12"/>
      <c r="EO11" s="12"/>
      <c r="EP11" s="12" t="s">
        <v>36</v>
      </c>
      <c r="EQ11" s="12" t="s">
        <v>35</v>
      </c>
      <c r="ER11" s="12" t="s">
        <v>195</v>
      </c>
      <c r="ES11" s="12" t="s">
        <v>337</v>
      </c>
      <c r="ET11" s="12" t="s">
        <v>357</v>
      </c>
      <c r="EU11" s="12" t="s">
        <v>40</v>
      </c>
      <c r="EV11" s="12" t="s">
        <v>145</v>
      </c>
      <c r="EY11" s="12" t="s">
        <v>39</v>
      </c>
      <c r="EZ11" s="12"/>
      <c r="FA11" s="12" t="s">
        <v>145</v>
      </c>
      <c r="FB11" s="12" t="s">
        <v>146</v>
      </c>
      <c r="FC11" s="12" t="s">
        <v>147</v>
      </c>
      <c r="FD11" s="12"/>
      <c r="FE11" s="12"/>
    </row>
    <row r="12" spans="1:162" s="37" customFormat="1" ht="14.25" customHeight="1">
      <c r="A12" s="72" t="s">
        <v>41</v>
      </c>
      <c r="B12" s="41" t="s">
        <v>42</v>
      </c>
      <c r="C12" s="72" t="s">
        <v>39</v>
      </c>
      <c r="D12" s="72" t="s">
        <v>43</v>
      </c>
      <c r="E12" s="72" t="s">
        <v>45</v>
      </c>
      <c r="F12" s="72"/>
      <c r="G12" s="72" t="s">
        <v>41</v>
      </c>
      <c r="H12" s="267" t="s">
        <v>42</v>
      </c>
      <c r="I12" s="267"/>
      <c r="J12" s="376" t="s">
        <v>45</v>
      </c>
      <c r="K12" s="376"/>
      <c r="L12" s="267" t="s">
        <v>41</v>
      </c>
      <c r="M12" s="267" t="s">
        <v>42</v>
      </c>
      <c r="N12" s="258" t="s">
        <v>39</v>
      </c>
      <c r="O12" s="258" t="s">
        <v>43</v>
      </c>
      <c r="P12" s="258" t="s">
        <v>45</v>
      </c>
      <c r="Q12" s="72" t="s">
        <v>41</v>
      </c>
      <c r="R12" s="44" t="s">
        <v>42</v>
      </c>
      <c r="S12" s="41"/>
      <c r="T12" s="41"/>
      <c r="U12" s="116" t="s">
        <v>44</v>
      </c>
      <c r="V12" s="72" t="s">
        <v>41</v>
      </c>
      <c r="W12" s="44" t="s">
        <v>42</v>
      </c>
      <c r="X12" s="24"/>
      <c r="Y12" s="24" t="s">
        <v>44</v>
      </c>
      <c r="Z12" s="258" t="s">
        <v>41</v>
      </c>
      <c r="AA12" s="259" t="s">
        <v>42</v>
      </c>
      <c r="AB12" s="348" t="s">
        <v>39</v>
      </c>
      <c r="AC12" s="348" t="s">
        <v>43</v>
      </c>
      <c r="AD12" s="348" t="s">
        <v>45</v>
      </c>
      <c r="AE12" s="258" t="s">
        <v>41</v>
      </c>
      <c r="AF12" s="259" t="s">
        <v>42</v>
      </c>
      <c r="AG12" s="347"/>
      <c r="AH12" s="348"/>
      <c r="AI12" s="258" t="s">
        <v>45</v>
      </c>
      <c r="AJ12" s="72" t="s">
        <v>41</v>
      </c>
      <c r="AK12" s="43" t="s">
        <v>42</v>
      </c>
      <c r="AL12" s="24" t="s">
        <v>202</v>
      </c>
      <c r="AM12" s="24" t="s">
        <v>203</v>
      </c>
      <c r="AN12" s="42" t="s">
        <v>44</v>
      </c>
      <c r="AO12" s="221" t="s">
        <v>41</v>
      </c>
      <c r="AP12" s="44" t="s">
        <v>42</v>
      </c>
      <c r="AQ12" s="222" t="s">
        <v>39</v>
      </c>
      <c r="AR12" s="72" t="s">
        <v>37</v>
      </c>
      <c r="AS12" s="72" t="s">
        <v>45</v>
      </c>
      <c r="AT12" s="24" t="s">
        <v>41</v>
      </c>
      <c r="AU12" s="44" t="s">
        <v>42</v>
      </c>
      <c r="AV12" s="42" t="s">
        <v>19</v>
      </c>
      <c r="AW12" s="42"/>
      <c r="AX12" s="24" t="s">
        <v>44</v>
      </c>
      <c r="AY12" s="24" t="s">
        <v>41</v>
      </c>
      <c r="AZ12" s="43" t="s">
        <v>42</v>
      </c>
      <c r="BA12" s="43"/>
      <c r="BB12" s="72" t="s">
        <v>44</v>
      </c>
      <c r="BC12" s="258" t="s">
        <v>41</v>
      </c>
      <c r="BD12" s="259" t="s">
        <v>42</v>
      </c>
      <c r="BE12" s="258" t="s">
        <v>46</v>
      </c>
      <c r="BF12" s="258" t="s">
        <v>43</v>
      </c>
      <c r="BG12" s="258" t="s">
        <v>45</v>
      </c>
      <c r="BH12" s="24" t="s">
        <v>41</v>
      </c>
      <c r="BI12" s="41" t="s">
        <v>42</v>
      </c>
      <c r="BJ12" s="24"/>
      <c r="BK12" s="24"/>
      <c r="BL12" s="24" t="s">
        <v>45</v>
      </c>
      <c r="BM12" s="24" t="s">
        <v>41</v>
      </c>
      <c r="BN12" s="43" t="s">
        <v>42</v>
      </c>
      <c r="BO12" s="44"/>
      <c r="BP12" s="42" t="s">
        <v>44</v>
      </c>
      <c r="BQ12" s="24"/>
      <c r="BR12" s="24"/>
      <c r="BS12" s="24"/>
      <c r="BT12" s="24" t="s">
        <v>41</v>
      </c>
      <c r="BU12" s="43" t="s">
        <v>42</v>
      </c>
      <c r="BV12" s="85" t="s">
        <v>39</v>
      </c>
      <c r="BW12" s="85" t="s">
        <v>37</v>
      </c>
      <c r="BX12" s="85" t="s">
        <v>45</v>
      </c>
      <c r="BY12" s="24" t="s">
        <v>41</v>
      </c>
      <c r="BZ12" s="43" t="s">
        <v>42</v>
      </c>
      <c r="CA12" s="85" t="s">
        <v>39</v>
      </c>
      <c r="CB12" s="85" t="s">
        <v>43</v>
      </c>
      <c r="CC12" s="85" t="s">
        <v>45</v>
      </c>
      <c r="CD12" s="72" t="s">
        <v>41</v>
      </c>
      <c r="CE12" s="41" t="s">
        <v>42</v>
      </c>
      <c r="CF12" s="41"/>
      <c r="CG12" s="41"/>
      <c r="CH12" s="24" t="s">
        <v>46</v>
      </c>
      <c r="CI12" s="24" t="s">
        <v>47</v>
      </c>
      <c r="CJ12" s="24" t="s">
        <v>45</v>
      </c>
      <c r="CK12" s="24" t="s">
        <v>41</v>
      </c>
      <c r="CL12" s="41" t="s">
        <v>42</v>
      </c>
      <c r="CM12" s="24"/>
      <c r="CN12" s="24"/>
      <c r="CO12" s="85" t="s">
        <v>44</v>
      </c>
      <c r="CP12" s="24" t="s">
        <v>41</v>
      </c>
      <c r="CQ12" s="41" t="s">
        <v>42</v>
      </c>
      <c r="CR12" s="24"/>
      <c r="CS12" s="85" t="s">
        <v>44</v>
      </c>
      <c r="CT12" s="24" t="s">
        <v>41</v>
      </c>
      <c r="CU12" s="41" t="s">
        <v>42</v>
      </c>
      <c r="CV12" s="222" t="s">
        <v>39</v>
      </c>
      <c r="CW12" s="240" t="s">
        <v>43</v>
      </c>
      <c r="CX12" s="72" t="s">
        <v>45</v>
      </c>
      <c r="CY12" s="24" t="s">
        <v>41</v>
      </c>
      <c r="CZ12" s="41" t="s">
        <v>42</v>
      </c>
      <c r="DA12" s="222" t="s">
        <v>39</v>
      </c>
      <c r="DB12" s="240" t="s">
        <v>43</v>
      </c>
      <c r="DC12" s="72" t="s">
        <v>45</v>
      </c>
      <c r="DD12" s="24" t="s">
        <v>41</v>
      </c>
      <c r="DE12" s="41" t="s">
        <v>42</v>
      </c>
      <c r="DF12" s="222" t="s">
        <v>39</v>
      </c>
      <c r="DG12" s="240" t="s">
        <v>43</v>
      </c>
      <c r="DH12" s="72" t="s">
        <v>45</v>
      </c>
      <c r="DI12" s="24" t="s">
        <v>41</v>
      </c>
      <c r="DJ12" s="44" t="s">
        <v>42</v>
      </c>
      <c r="DK12" s="24" t="s">
        <v>59</v>
      </c>
      <c r="DL12" s="24" t="s">
        <v>60</v>
      </c>
      <c r="DM12" s="24" t="s">
        <v>44</v>
      </c>
      <c r="DN12" s="35"/>
      <c r="DO12" s="12" t="s">
        <v>26</v>
      </c>
      <c r="DQ12" s="12" t="s">
        <v>48</v>
      </c>
      <c r="DR12" s="35" t="s">
        <v>247</v>
      </c>
      <c r="DS12" s="35" t="s">
        <v>57</v>
      </c>
      <c r="DT12" s="35" t="s">
        <v>371</v>
      </c>
      <c r="DU12" s="35" t="s">
        <v>50</v>
      </c>
      <c r="DV12" s="35" t="s">
        <v>170</v>
      </c>
      <c r="DW12" s="12" t="s">
        <v>26</v>
      </c>
      <c r="DY12" s="35" t="s">
        <v>329</v>
      </c>
      <c r="DZ12" s="12" t="s">
        <v>270</v>
      </c>
      <c r="EA12" s="35" t="s">
        <v>51</v>
      </c>
      <c r="EB12" s="211" t="s">
        <v>85</v>
      </c>
      <c r="EC12" s="35" t="s">
        <v>53</v>
      </c>
      <c r="ED12" s="12" t="s">
        <v>172</v>
      </c>
      <c r="EE12" s="12" t="s">
        <v>55</v>
      </c>
      <c r="EF12" s="12" t="s">
        <v>26</v>
      </c>
      <c r="EH12" s="12" t="s">
        <v>216</v>
      </c>
      <c r="EI12" s="12" t="s">
        <v>57</v>
      </c>
      <c r="EJ12" s="12" t="s">
        <v>205</v>
      </c>
      <c r="EK12" s="12" t="s">
        <v>153</v>
      </c>
      <c r="EL12" s="12" t="s">
        <v>56</v>
      </c>
      <c r="EM12" s="12" t="s">
        <v>27</v>
      </c>
      <c r="EN12" s="12" t="s">
        <v>26</v>
      </c>
      <c r="EP12" s="12" t="s">
        <v>56</v>
      </c>
      <c r="EQ12" s="12" t="s">
        <v>55</v>
      </c>
      <c r="ER12" s="12"/>
      <c r="ES12" s="12" t="s">
        <v>338</v>
      </c>
      <c r="ET12" s="12" t="s">
        <v>358</v>
      </c>
      <c r="EU12" s="35" t="s">
        <v>52</v>
      </c>
      <c r="EV12" s="12" t="s">
        <v>58</v>
      </c>
      <c r="EW12" s="12" t="s">
        <v>26</v>
      </c>
      <c r="EY12" s="12" t="s">
        <v>58</v>
      </c>
      <c r="EZ12" s="12" t="s">
        <v>40</v>
      </c>
      <c r="FA12" s="12" t="s">
        <v>58</v>
      </c>
      <c r="FB12" s="12" t="s">
        <v>148</v>
      </c>
      <c r="FC12" s="12" t="s">
        <v>60</v>
      </c>
      <c r="FD12" s="12"/>
      <c r="FE12" s="12"/>
      <c r="FF12" s="3"/>
    </row>
    <row r="13" spans="1:161" ht="14.25" customHeight="1">
      <c r="A13" s="13"/>
      <c r="B13" s="78"/>
      <c r="C13" s="78"/>
      <c r="D13" s="2"/>
      <c r="H13" s="367"/>
      <c r="I13" s="367"/>
      <c r="J13" s="368"/>
      <c r="K13" s="368"/>
      <c r="L13" s="244"/>
      <c r="T13" s="37"/>
      <c r="U13" s="76"/>
      <c r="V13" s="13"/>
      <c r="W13" s="223"/>
      <c r="X13" s="224"/>
      <c r="Y13" s="80"/>
      <c r="Z13" s="250"/>
      <c r="AA13" s="250"/>
      <c r="AB13" s="250"/>
      <c r="AC13" s="250"/>
      <c r="AD13" s="250"/>
      <c r="AE13" s="305"/>
      <c r="AF13" s="184"/>
      <c r="AG13" s="184"/>
      <c r="AH13" s="184"/>
      <c r="AI13" s="273"/>
      <c r="AO13" s="73">
        <v>1</v>
      </c>
      <c r="AP13" s="519" t="s">
        <v>66</v>
      </c>
      <c r="AQ13" s="518"/>
      <c r="AR13" s="211"/>
      <c r="AS13" s="211"/>
      <c r="BB13" s="3"/>
      <c r="BC13" s="260"/>
      <c r="BD13" s="244"/>
      <c r="BE13" s="244"/>
      <c r="BF13" s="244"/>
      <c r="BG13" s="244"/>
      <c r="BL13" s="13"/>
      <c r="BM13" s="3"/>
      <c r="BN13" s="3"/>
      <c r="BO13" s="3"/>
      <c r="BP13" s="3"/>
      <c r="CD13" s="13"/>
      <c r="CE13" s="14"/>
      <c r="CF13" s="14"/>
      <c r="CG13" s="14"/>
      <c r="CK13" s="5"/>
      <c r="CL13" s="5"/>
      <c r="CM13" s="5"/>
      <c r="CN13" s="5"/>
      <c r="CO13" s="5"/>
      <c r="DD13" s="13">
        <v>1</v>
      </c>
      <c r="DE13" s="465" t="s">
        <v>114</v>
      </c>
      <c r="DF13" s="135"/>
      <c r="DG13" s="135"/>
      <c r="DH13" s="135"/>
      <c r="DO13" s="12" t="s">
        <v>41</v>
      </c>
      <c r="DP13" s="37"/>
      <c r="DQ13" s="12" t="s">
        <v>334</v>
      </c>
      <c r="DR13" s="4">
        <v>4.01</v>
      </c>
      <c r="DS13" s="4">
        <f>DR13+0.01</f>
        <v>4.02</v>
      </c>
      <c r="DT13" s="4">
        <f>DS13+0.01</f>
        <v>4.029999999999999</v>
      </c>
      <c r="DU13" s="4">
        <f>DT13+0.01</f>
        <v>4.039999999999999</v>
      </c>
      <c r="DV13" s="4">
        <f>DU13+0.01</f>
        <v>4.049999999999999</v>
      </c>
      <c r="DW13" s="12" t="s">
        <v>41</v>
      </c>
      <c r="DX13" s="37"/>
      <c r="DY13" s="4">
        <f>DV13+0.01</f>
        <v>4.059999999999999</v>
      </c>
      <c r="DZ13" s="29">
        <f aca="true" t="shared" si="0" ref="DZ13:EE13">DY13+0.01</f>
        <v>4.0699999999999985</v>
      </c>
      <c r="EA13" s="29">
        <f t="shared" si="0"/>
        <v>4.079999999999998</v>
      </c>
      <c r="EB13" s="29">
        <f t="shared" si="0"/>
        <v>4.089999999999998</v>
      </c>
      <c r="EC13" s="29">
        <f t="shared" si="0"/>
        <v>4.099999999999998</v>
      </c>
      <c r="ED13" s="29">
        <f t="shared" si="0"/>
        <v>4.109999999999998</v>
      </c>
      <c r="EE13" s="29">
        <f t="shared" si="0"/>
        <v>4.119999999999997</v>
      </c>
      <c r="EF13" s="12" t="s">
        <v>41</v>
      </c>
      <c r="EG13" s="37"/>
      <c r="EH13" s="29">
        <f>EE13+0.01</f>
        <v>4.129999999999997</v>
      </c>
      <c r="EI13" s="29">
        <f>EH13+0.01</f>
        <v>4.139999999999997</v>
      </c>
      <c r="EJ13" s="29">
        <f>EI13+0.01</f>
        <v>4.149999999999997</v>
      </c>
      <c r="EK13" s="29">
        <f>EJ13+0.01</f>
        <v>4.159999999999997</v>
      </c>
      <c r="EL13" s="29">
        <f>EK13+0.01</f>
        <v>4.169999999999996</v>
      </c>
      <c r="EM13" s="29">
        <f>EL13+0.01</f>
        <v>4.179999999999996</v>
      </c>
      <c r="EN13" s="12" t="s">
        <v>41</v>
      </c>
      <c r="EO13" s="37"/>
      <c r="EP13" s="29">
        <f>EM13+0.01</f>
        <v>4.189999999999996</v>
      </c>
      <c r="EQ13" s="29">
        <f>+EP13+0.01</f>
        <v>4.199999999999996</v>
      </c>
      <c r="ER13" s="29">
        <f>+EQ13+0.01</f>
        <v>4.2099999999999955</v>
      </c>
      <c r="ES13" s="29">
        <f>+ER13+0.01</f>
        <v>4.219999999999995</v>
      </c>
      <c r="ET13" s="29">
        <f>+ES13+0.01</f>
        <v>4.229999999999995</v>
      </c>
      <c r="EU13" s="35"/>
      <c r="EV13" s="35" t="s">
        <v>48</v>
      </c>
      <c r="EW13" s="24" t="s">
        <v>41</v>
      </c>
      <c r="EX13" s="118"/>
      <c r="EY13" s="24" t="s">
        <v>48</v>
      </c>
      <c r="EZ13" s="24" t="s">
        <v>52</v>
      </c>
      <c r="FA13" s="24" t="s">
        <v>48</v>
      </c>
      <c r="FB13" s="24" t="s">
        <v>149</v>
      </c>
      <c r="FC13" s="24" t="s">
        <v>27</v>
      </c>
      <c r="FD13" s="35"/>
      <c r="FE13" s="35"/>
    </row>
    <row r="14" spans="1:152" ht="14.25" customHeight="1" thickBot="1">
      <c r="A14" s="13">
        <v>1</v>
      </c>
      <c r="B14" s="340" t="s">
        <v>248</v>
      </c>
      <c r="C14" s="244"/>
      <c r="D14" s="244"/>
      <c r="E14" s="250"/>
      <c r="G14" s="13">
        <v>1</v>
      </c>
      <c r="H14" s="250" t="s">
        <v>291</v>
      </c>
      <c r="I14" s="250"/>
      <c r="J14" s="250"/>
      <c r="K14" s="250"/>
      <c r="L14" s="13">
        <v>1</v>
      </c>
      <c r="M14" s="475"/>
      <c r="N14" s="307"/>
      <c r="O14" s="306"/>
      <c r="P14" s="306"/>
      <c r="Q14" s="13">
        <v>1</v>
      </c>
      <c r="R14" s="119" t="s">
        <v>62</v>
      </c>
      <c r="S14" s="119"/>
      <c r="T14" s="422"/>
      <c r="U14" s="9">
        <v>-59848019</v>
      </c>
      <c r="V14" s="13">
        <v>1</v>
      </c>
      <c r="W14" s="223" t="s">
        <v>116</v>
      </c>
      <c r="X14" s="423">
        <f>FC49</f>
        <v>1474390202.7242548</v>
      </c>
      <c r="Y14" s="80">
        <f>IF(X14=EV49,"","NEEDS UPDATING")</f>
      </c>
      <c r="Z14" s="13">
        <v>1</v>
      </c>
      <c r="AA14" s="351" t="s">
        <v>278</v>
      </c>
      <c r="AB14" s="250"/>
      <c r="AC14" s="250"/>
      <c r="AD14" s="250"/>
      <c r="AE14" s="73">
        <v>1</v>
      </c>
      <c r="AF14" s="381" t="s">
        <v>313</v>
      </c>
      <c r="AG14" s="55"/>
      <c r="AH14" s="55"/>
      <c r="AI14" s="55"/>
      <c r="AJ14" s="45" t="s">
        <v>61</v>
      </c>
      <c r="AK14" s="3" t="s">
        <v>342</v>
      </c>
      <c r="AL14" s="13" t="s">
        <v>343</v>
      </c>
      <c r="AM14" s="13" t="s">
        <v>344</v>
      </c>
      <c r="AO14" s="73">
        <f>AO13+1</f>
        <v>2</v>
      </c>
      <c r="AP14" s="520" t="s">
        <v>2</v>
      </c>
      <c r="AQ14" s="518"/>
      <c r="AR14" s="211"/>
      <c r="AS14" s="211"/>
      <c r="AT14" s="13">
        <v>1</v>
      </c>
      <c r="AU14" s="119" t="s">
        <v>22</v>
      </c>
      <c r="AV14" s="278"/>
      <c r="AW14" s="9"/>
      <c r="AX14" s="9">
        <v>11570807</v>
      </c>
      <c r="AY14" s="13">
        <v>1</v>
      </c>
      <c r="AZ14" s="60" t="s">
        <v>154</v>
      </c>
      <c r="BA14" s="60"/>
      <c r="BB14" s="9">
        <v>45358666.64328401</v>
      </c>
      <c r="BC14" s="13">
        <v>1</v>
      </c>
      <c r="BD14" s="244" t="s">
        <v>207</v>
      </c>
      <c r="BE14" s="261">
        <v>433404</v>
      </c>
      <c r="BF14" s="261">
        <v>214244</v>
      </c>
      <c r="BG14" s="261">
        <f>+BF14-BE14</f>
        <v>-219160</v>
      </c>
      <c r="BH14" s="13">
        <v>1</v>
      </c>
      <c r="BI14" s="191" t="s">
        <v>218</v>
      </c>
      <c r="BJ14" s="191"/>
      <c r="BL14" s="191">
        <v>30273.092195121953</v>
      </c>
      <c r="BM14" s="45">
        <v>1</v>
      </c>
      <c r="BN14" s="216" t="s">
        <v>212</v>
      </c>
      <c r="BO14" s="269"/>
      <c r="BP14" s="129"/>
      <c r="BQ14" s="247">
        <v>1</v>
      </c>
      <c r="BR14" s="250" t="s">
        <v>393</v>
      </c>
      <c r="BS14" s="120">
        <v>-618993.9699999996</v>
      </c>
      <c r="BT14" s="13">
        <v>1</v>
      </c>
      <c r="BU14" s="3" t="s">
        <v>150</v>
      </c>
      <c r="BV14" s="9">
        <v>954479.4326999999</v>
      </c>
      <c r="BW14" s="9">
        <v>526343.8673866666</v>
      </c>
      <c r="BX14" s="9">
        <f>+BW14-BV14</f>
        <v>-428135.5653133333</v>
      </c>
      <c r="BY14" s="13">
        <v>1</v>
      </c>
      <c r="BZ14" s="34" t="s">
        <v>117</v>
      </c>
      <c r="CA14" s="9">
        <v>-84801.79782359999</v>
      </c>
      <c r="CB14" s="9">
        <v>1994055.03</v>
      </c>
      <c r="CC14" s="9">
        <f>+CB14-CA14</f>
        <v>2078856.8278236</v>
      </c>
      <c r="CD14" s="13">
        <v>1</v>
      </c>
      <c r="CE14" s="3" t="s">
        <v>122</v>
      </c>
      <c r="CH14" s="80"/>
      <c r="CI14" s="81"/>
      <c r="CJ14" s="80"/>
      <c r="CK14" s="13">
        <v>1</v>
      </c>
      <c r="CL14" s="259" t="s">
        <v>385</v>
      </c>
      <c r="CM14" s="306"/>
      <c r="CN14" s="306"/>
      <c r="CO14" s="307"/>
      <c r="CP14" s="13">
        <v>1</v>
      </c>
      <c r="CQ14" s="75" t="s">
        <v>121</v>
      </c>
      <c r="CR14" s="22"/>
      <c r="CS14" s="22"/>
      <c r="CT14" s="13">
        <v>1</v>
      </c>
      <c r="CU14" s="104" t="s">
        <v>70</v>
      </c>
      <c r="CV14" s="387"/>
      <c r="CW14" s="387"/>
      <c r="CY14" s="13">
        <v>1</v>
      </c>
      <c r="CZ14" s="417"/>
      <c r="DA14" s="387"/>
      <c r="DB14" s="387"/>
      <c r="DD14" s="13">
        <f>+DD13+1</f>
        <v>2</v>
      </c>
      <c r="DE14" s="373" t="s">
        <v>348</v>
      </c>
      <c r="DF14" s="466">
        <v>0</v>
      </c>
      <c r="DG14" s="466">
        <v>4805828.426334463</v>
      </c>
      <c r="DH14" s="466">
        <f>+DG14-DF14</f>
        <v>4805828.426334463</v>
      </c>
      <c r="DI14" s="13">
        <v>1</v>
      </c>
      <c r="DJ14" s="14" t="s">
        <v>161</v>
      </c>
      <c r="DK14" s="457"/>
      <c r="DL14" s="457"/>
      <c r="DM14" s="457">
        <f>ROUND(AN18,6)</f>
        <v>0.002833</v>
      </c>
      <c r="DN14" s="359"/>
      <c r="DO14" s="5" t="s">
        <v>64</v>
      </c>
      <c r="DP14" s="5"/>
      <c r="DQ14" s="117"/>
      <c r="DR14" s="5"/>
      <c r="DS14" s="5"/>
      <c r="DT14" s="5"/>
      <c r="DU14" s="5"/>
      <c r="DV14" s="5"/>
      <c r="DW14" s="5"/>
      <c r="DX14" s="5" t="s">
        <v>64</v>
      </c>
      <c r="DY14" s="5"/>
      <c r="DZ14" s="5" t="s">
        <v>64</v>
      </c>
      <c r="EA14" s="121" t="s">
        <v>64</v>
      </c>
      <c r="EB14" s="5" t="s">
        <v>64</v>
      </c>
      <c r="EC14" s="5" t="s">
        <v>64</v>
      </c>
      <c r="ED14" s="5"/>
      <c r="EE14" s="5"/>
      <c r="EF14" s="5" t="s">
        <v>64</v>
      </c>
      <c r="EG14" s="5" t="s">
        <v>64</v>
      </c>
      <c r="EH14" s="5"/>
      <c r="EI14" s="5" t="s">
        <v>64</v>
      </c>
      <c r="EJ14" s="5"/>
      <c r="EK14" s="5"/>
      <c r="EL14" s="5" t="s">
        <v>64</v>
      </c>
      <c r="EM14" s="5" t="s">
        <v>64</v>
      </c>
      <c r="EN14" s="5" t="s">
        <v>64</v>
      </c>
      <c r="EO14" s="5" t="s">
        <v>64</v>
      </c>
      <c r="EP14" s="5" t="s">
        <v>64</v>
      </c>
      <c r="EQ14" s="5" t="s">
        <v>64</v>
      </c>
      <c r="ER14" s="5"/>
      <c r="ES14" s="5"/>
      <c r="ET14" s="5"/>
      <c r="EU14" s="5" t="s">
        <v>64</v>
      </c>
      <c r="EV14" s="5" t="s">
        <v>64</v>
      </c>
    </row>
    <row r="15" spans="1:161" ht="13.5">
      <c r="A15" s="13">
        <f>+A14+1</f>
        <v>2</v>
      </c>
      <c r="B15" s="250"/>
      <c r="C15" s="326" t="s">
        <v>39</v>
      </c>
      <c r="D15" s="327" t="s">
        <v>249</v>
      </c>
      <c r="E15" s="328" t="s">
        <v>258</v>
      </c>
      <c r="G15" s="13">
        <f>G14+1</f>
        <v>2</v>
      </c>
      <c r="H15" s="369" t="s">
        <v>336</v>
      </c>
      <c r="I15" s="299"/>
      <c r="J15" s="191">
        <v>38581188.58098383</v>
      </c>
      <c r="K15" s="250"/>
      <c r="L15" s="13">
        <f aca="true" t="shared" si="1" ref="L15:L29">L14+1</f>
        <v>2</v>
      </c>
      <c r="M15" s="476" t="s">
        <v>362</v>
      </c>
      <c r="N15" s="481"/>
      <c r="O15" s="482"/>
      <c r="P15" s="483"/>
      <c r="Q15" s="13">
        <f>Q14+1</f>
        <v>2</v>
      </c>
      <c r="R15" s="14"/>
      <c r="S15" s="14"/>
      <c r="T15" s="14"/>
      <c r="U15" s="122"/>
      <c r="V15" s="13">
        <f>+V14+1</f>
        <v>2</v>
      </c>
      <c r="W15" s="223" t="s">
        <v>19</v>
      </c>
      <c r="X15" s="8" t="s">
        <v>19</v>
      </c>
      <c r="Y15" s="80"/>
      <c r="Z15" s="13">
        <f aca="true" t="shared" si="2" ref="Z15:Z42">Z14+1</f>
        <v>2</v>
      </c>
      <c r="AA15" s="250" t="s">
        <v>279</v>
      </c>
      <c r="AB15" s="352">
        <v>76528829.56000002</v>
      </c>
      <c r="AC15" s="352">
        <v>81276393.3</v>
      </c>
      <c r="AD15" s="352">
        <f>AC15-AB15</f>
        <v>4747563.73999998</v>
      </c>
      <c r="AE15" s="380">
        <f>AE14+1</f>
        <v>2</v>
      </c>
      <c r="AF15" s="244" t="s">
        <v>318</v>
      </c>
      <c r="AG15" s="19"/>
      <c r="AH15" s="19"/>
      <c r="AI15" s="31">
        <v>3573780.92</v>
      </c>
      <c r="AJ15" s="45">
        <f aca="true" t="shared" si="3" ref="AJ15:AJ29">1+AJ14</f>
        <v>2</v>
      </c>
      <c r="AK15" s="455">
        <v>2004</v>
      </c>
      <c r="AL15" s="31">
        <v>2215291.98</v>
      </c>
      <c r="AM15" s="205">
        <v>727351085</v>
      </c>
      <c r="AN15" s="461">
        <f>ROUND(AL15/AM15,6)</f>
        <v>0.003046</v>
      </c>
      <c r="AO15" s="73">
        <f aca="true" t="shared" si="4" ref="AO15:AO35">AO14+1</f>
        <v>3</v>
      </c>
      <c r="AP15" s="520" t="s">
        <v>328</v>
      </c>
      <c r="AQ15" s="518"/>
      <c r="AR15" s="211"/>
      <c r="AS15" s="211"/>
      <c r="AT15" s="13">
        <f>AT14+1</f>
        <v>2</v>
      </c>
      <c r="AU15" s="14" t="s">
        <v>65</v>
      </c>
      <c r="AV15" s="278"/>
      <c r="AW15" s="278"/>
      <c r="AX15" s="65">
        <v>10262423</v>
      </c>
      <c r="AY15" s="13">
        <v>2</v>
      </c>
      <c r="AZ15" s="61" t="s">
        <v>155</v>
      </c>
      <c r="BA15" s="61"/>
      <c r="BB15" s="65">
        <v>46425020.933284</v>
      </c>
      <c r="BC15" s="13">
        <f aca="true" t="shared" si="5" ref="BC15:BC21">BC14+1</f>
        <v>2</v>
      </c>
      <c r="BD15" s="244"/>
      <c r="BE15" s="262"/>
      <c r="BF15" s="262"/>
      <c r="BG15" s="262"/>
      <c r="BH15" s="13">
        <v>2</v>
      </c>
      <c r="BI15" s="2"/>
      <c r="BJ15" s="192"/>
      <c r="BL15" s="243"/>
      <c r="BM15" s="45">
        <f aca="true" t="shared" si="6" ref="BM15:BM27">+BM14+1</f>
        <v>2</v>
      </c>
      <c r="BN15" s="14"/>
      <c r="BO15" s="269"/>
      <c r="BP15" s="129"/>
      <c r="BQ15" s="247">
        <f>BQ14+1</f>
        <v>2</v>
      </c>
      <c r="BR15" s="250" t="s">
        <v>394</v>
      </c>
      <c r="BS15" s="229">
        <v>164927.19999999984</v>
      </c>
      <c r="BT15" s="13">
        <f aca="true" t="shared" si="7" ref="BT15:BT20">BT14+1</f>
        <v>2</v>
      </c>
      <c r="BU15" s="3" t="s">
        <v>151</v>
      </c>
      <c r="BV15" s="229">
        <v>749653.3872346593</v>
      </c>
      <c r="BW15" s="229">
        <v>819021</v>
      </c>
      <c r="BX15" s="56">
        <f>+BW15-BV15</f>
        <v>69367.61276534072</v>
      </c>
      <c r="BY15" s="13">
        <v>2</v>
      </c>
      <c r="BZ15" s="14" t="s">
        <v>186</v>
      </c>
      <c r="CA15" s="128">
        <v>956338.3795680002</v>
      </c>
      <c r="CB15" s="128">
        <v>1154856.1261447982</v>
      </c>
      <c r="CC15" s="128">
        <f>+CB15-CA15</f>
        <v>198517.74657679803</v>
      </c>
      <c r="CD15" s="13">
        <f aca="true" t="shared" si="8" ref="CD15:CD26">CD14+1</f>
        <v>2</v>
      </c>
      <c r="CE15" s="14" t="s">
        <v>124</v>
      </c>
      <c r="CF15" s="14"/>
      <c r="CG15" s="14"/>
      <c r="CH15" s="438">
        <v>157210</v>
      </c>
      <c r="CI15" s="438">
        <v>167763</v>
      </c>
      <c r="CJ15" s="103">
        <f>CI15-CH15</f>
        <v>10553</v>
      </c>
      <c r="CK15" s="13">
        <f aca="true" t="shared" si="9" ref="CK15:CK41">CK14+1</f>
        <v>2</v>
      </c>
      <c r="CL15" s="244" t="s">
        <v>128</v>
      </c>
      <c r="CM15" s="305"/>
      <c r="CN15" s="312">
        <v>2765561.1887863865</v>
      </c>
      <c r="CP15" s="13">
        <v>2</v>
      </c>
      <c r="CQ15" s="14" t="s">
        <v>90</v>
      </c>
      <c r="CR15" s="16"/>
      <c r="CS15" s="31">
        <v>5655883.757799999</v>
      </c>
      <c r="CT15" s="13">
        <f aca="true" t="shared" si="10" ref="CT15:CT32">CT14+1</f>
        <v>2</v>
      </c>
      <c r="CU15" s="214" t="s">
        <v>124</v>
      </c>
      <c r="CV15" s="387">
        <v>13951</v>
      </c>
      <c r="CW15" s="387">
        <v>10619</v>
      </c>
      <c r="CX15" s="387">
        <f>CW15-CV15</f>
        <v>-3332</v>
      </c>
      <c r="CY15" s="13">
        <f aca="true" t="shared" si="11" ref="CY15:CY22">CY14+1</f>
        <v>2</v>
      </c>
      <c r="CZ15" s="441" t="s">
        <v>339</v>
      </c>
      <c r="DA15" s="442"/>
      <c r="DB15" s="443"/>
      <c r="DC15" s="444"/>
      <c r="DD15" s="13">
        <f aca="true" t="shared" si="12" ref="DD15:DD29">+DD14+1</f>
        <v>3</v>
      </c>
      <c r="DE15" s="373" t="s">
        <v>349</v>
      </c>
      <c r="DF15" s="467">
        <v>0</v>
      </c>
      <c r="DG15" s="66">
        <v>-330401</v>
      </c>
      <c r="DH15" s="66">
        <f>+DG15-DF15</f>
        <v>-330401</v>
      </c>
      <c r="DI15" s="13">
        <f aca="true" t="shared" si="13" ref="DI15:DI23">+DI14+1</f>
        <v>2</v>
      </c>
      <c r="DJ15" s="3" t="s">
        <v>315</v>
      </c>
      <c r="DK15" s="457"/>
      <c r="DL15" s="457"/>
      <c r="DM15" s="457">
        <v>0.002</v>
      </c>
      <c r="DN15" s="358"/>
      <c r="DO15" s="13">
        <v>1</v>
      </c>
      <c r="DP15" s="14" t="s">
        <v>66</v>
      </c>
      <c r="DQ15" s="80"/>
      <c r="DR15" s="26"/>
      <c r="DS15" s="26"/>
      <c r="DT15" s="26"/>
      <c r="DU15" s="26"/>
      <c r="DV15" s="26"/>
      <c r="DW15" s="13">
        <v>1</v>
      </c>
      <c r="DX15" s="14" t="s">
        <v>66</v>
      </c>
      <c r="DY15" s="26"/>
      <c r="EC15" s="26"/>
      <c r="EF15" s="13">
        <v>1</v>
      </c>
      <c r="EG15" s="14" t="s">
        <v>66</v>
      </c>
      <c r="EM15" s="26"/>
      <c r="EN15" s="13">
        <v>1</v>
      </c>
      <c r="EO15" s="14" t="s">
        <v>66</v>
      </c>
      <c r="EU15" s="31"/>
      <c r="EV15" s="26"/>
      <c r="EW15" s="13">
        <v>1</v>
      </c>
      <c r="EX15" s="74" t="s">
        <v>0</v>
      </c>
      <c r="EY15" s="26"/>
      <c r="FE15" s="187" t="s">
        <v>187</v>
      </c>
    </row>
    <row r="16" spans="1:161" ht="13.5" thickBot="1">
      <c r="A16" s="13">
        <f aca="true" t="shared" si="14" ref="A16:A57">+A15+1</f>
        <v>3</v>
      </c>
      <c r="B16" s="250"/>
      <c r="C16" s="339" t="s">
        <v>258</v>
      </c>
      <c r="D16" s="329" t="s">
        <v>258</v>
      </c>
      <c r="E16" s="330" t="s">
        <v>250</v>
      </c>
      <c r="G16" s="13">
        <f aca="true" t="shared" si="15" ref="G16:G60">G15+1</f>
        <v>3</v>
      </c>
      <c r="H16" s="349" t="s">
        <v>300</v>
      </c>
      <c r="I16" s="250"/>
      <c r="J16" s="395" t="s">
        <v>19</v>
      </c>
      <c r="K16" s="250"/>
      <c r="L16" s="13">
        <f t="shared" si="1"/>
        <v>3</v>
      </c>
      <c r="M16" s="477" t="s">
        <v>363</v>
      </c>
      <c r="N16" s="484"/>
      <c r="O16" s="53">
        <v>1566771.8743053966</v>
      </c>
      <c r="P16" s="66">
        <f>O16-N16</f>
        <v>1566771.8743053966</v>
      </c>
      <c r="Q16" s="13">
        <f aca="true" t="shared" si="16" ref="Q16:Q21">Q15+1</f>
        <v>3</v>
      </c>
      <c r="R16" s="14" t="s">
        <v>69</v>
      </c>
      <c r="S16" s="17"/>
      <c r="T16" s="17"/>
      <c r="U16" s="123"/>
      <c r="V16" s="13">
        <f aca="true" t="shared" si="17" ref="V16:V33">+V15+1</f>
        <v>3</v>
      </c>
      <c r="W16" s="3" t="s">
        <v>234</v>
      </c>
      <c r="X16" s="424">
        <f>SUM(X14:X15)</f>
        <v>1474390202.7242548</v>
      </c>
      <c r="Y16" s="80"/>
      <c r="Z16" s="13">
        <f t="shared" si="2"/>
        <v>3</v>
      </c>
      <c r="AA16" s="250" t="s">
        <v>280</v>
      </c>
      <c r="AB16" s="353">
        <v>2951555.222468</v>
      </c>
      <c r="AC16" s="353">
        <v>4422340.124856</v>
      </c>
      <c r="AD16" s="354">
        <f>AC16-AB16</f>
        <v>1470784.902388</v>
      </c>
      <c r="AE16" s="380">
        <f aca="true" t="shared" si="18" ref="AE16:AE38">AE15+1</f>
        <v>3</v>
      </c>
      <c r="AF16" s="244" t="s">
        <v>319</v>
      </c>
      <c r="AG16" s="19"/>
      <c r="AH16" s="19"/>
      <c r="AI16" s="23">
        <v>8020556.61</v>
      </c>
      <c r="AJ16" s="45">
        <f t="shared" si="3"/>
        <v>3</v>
      </c>
      <c r="AK16" s="456">
        <v>2005</v>
      </c>
      <c r="AL16" s="31">
        <v>2918686.3904000004</v>
      </c>
      <c r="AM16" s="205">
        <v>1224844682</v>
      </c>
      <c r="AN16" s="461">
        <f>ROUND(AL16/AM16,6)</f>
        <v>0.002383</v>
      </c>
      <c r="AO16" s="73">
        <f t="shared" si="4"/>
        <v>4</v>
      </c>
      <c r="AP16" s="520" t="s">
        <v>380</v>
      </c>
      <c r="AQ16" s="229">
        <v>92872.5</v>
      </c>
      <c r="AR16" s="229">
        <v>557235</v>
      </c>
      <c r="AS16" s="229">
        <f>AR16-AQ16</f>
        <v>464362.5</v>
      </c>
      <c r="AT16" s="13">
        <f>AT15+1</f>
        <v>3</v>
      </c>
      <c r="AU16" s="14" t="s">
        <v>68</v>
      </c>
      <c r="AV16" s="278"/>
      <c r="AW16" s="278"/>
      <c r="AX16" s="9">
        <f>-(AX15-AX14)</f>
        <v>1308384</v>
      </c>
      <c r="AY16" s="13">
        <v>3</v>
      </c>
      <c r="AZ16" s="62" t="s">
        <v>156</v>
      </c>
      <c r="BA16" s="62"/>
      <c r="BB16" s="58">
        <f>BB14-BB15</f>
        <v>-1066354.2899999917</v>
      </c>
      <c r="BC16" s="13">
        <f t="shared" si="5"/>
        <v>3</v>
      </c>
      <c r="BD16" s="244" t="s">
        <v>208</v>
      </c>
      <c r="BE16" s="263">
        <f>SUM(BE14:BE15)</f>
        <v>433404</v>
      </c>
      <c r="BF16" s="263">
        <f>SUM(BF14:BF15)</f>
        <v>214244</v>
      </c>
      <c r="BG16" s="429">
        <f>SUM(BG14:BG15)</f>
        <v>-219160</v>
      </c>
      <c r="BH16" s="13">
        <f>+BH15+1</f>
        <v>3</v>
      </c>
      <c r="BI16" s="2" t="s">
        <v>82</v>
      </c>
      <c r="BJ16" s="2"/>
      <c r="BL16" s="407">
        <f>-BL14</f>
        <v>-30273.092195121953</v>
      </c>
      <c r="BM16" s="45">
        <f t="shared" si="6"/>
        <v>3</v>
      </c>
      <c r="BN16" s="14" t="s">
        <v>335</v>
      </c>
      <c r="BO16" s="322">
        <v>1139000</v>
      </c>
      <c r="BP16" s="27"/>
      <c r="BQ16" s="247">
        <f aca="true" t="shared" si="19" ref="BQ16:BQ26">BQ15+1</f>
        <v>3</v>
      </c>
      <c r="BR16" s="250" t="s">
        <v>238</v>
      </c>
      <c r="BS16" s="432">
        <f>SUM(BS14:BS15)</f>
        <v>-454066.7699999998</v>
      </c>
      <c r="BT16" s="13">
        <f t="shared" si="7"/>
        <v>3</v>
      </c>
      <c r="BU16" s="14" t="s">
        <v>68</v>
      </c>
      <c r="BV16" s="50">
        <f>SUM(BV14:BV15)</f>
        <v>1704132.8199346592</v>
      </c>
      <c r="BW16" s="50">
        <f>BV16+BX16</f>
        <v>1345364.8673866666</v>
      </c>
      <c r="BX16" s="50">
        <f>SUM(BX14:BX15)</f>
        <v>-358767.9525479926</v>
      </c>
      <c r="BY16" s="13">
        <v>3</v>
      </c>
      <c r="CA16" s="15"/>
      <c r="CB16" s="15"/>
      <c r="CC16" s="56"/>
      <c r="CD16" s="13">
        <f t="shared" si="8"/>
        <v>3</v>
      </c>
      <c r="CE16" s="14" t="s">
        <v>125</v>
      </c>
      <c r="CF16" s="14"/>
      <c r="CG16" s="14"/>
      <c r="CH16" s="439">
        <v>513380</v>
      </c>
      <c r="CI16" s="439">
        <v>546938</v>
      </c>
      <c r="CJ16" s="128">
        <f aca="true" t="shared" si="20" ref="CJ16:CJ23">CI16-CH16</f>
        <v>33558</v>
      </c>
      <c r="CK16" s="13">
        <f t="shared" si="9"/>
        <v>3</v>
      </c>
      <c r="CL16" s="306" t="s">
        <v>77</v>
      </c>
      <c r="CM16" s="281">
        <v>0.0644</v>
      </c>
      <c r="CN16" s="125">
        <f>+CN15*CM16</f>
        <v>178102.1405578433</v>
      </c>
      <c r="CO16" s="2"/>
      <c r="CP16" s="13">
        <v>3</v>
      </c>
      <c r="CQ16" s="14" t="s">
        <v>93</v>
      </c>
      <c r="CR16" s="16"/>
      <c r="CS16" s="53">
        <v>5040012.4352</v>
      </c>
      <c r="CT16" s="13">
        <f t="shared" si="10"/>
        <v>3</v>
      </c>
      <c r="CU16" s="214" t="s">
        <v>125</v>
      </c>
      <c r="CV16" s="52">
        <v>45892</v>
      </c>
      <c r="CW16" s="52">
        <v>34929</v>
      </c>
      <c r="CX16" s="387">
        <f aca="true" t="shared" si="21" ref="CX16:CX23">CW16-CV16</f>
        <v>-10963</v>
      </c>
      <c r="CY16" s="13">
        <f t="shared" si="11"/>
        <v>3</v>
      </c>
      <c r="CZ16" s="441" t="s">
        <v>340</v>
      </c>
      <c r="DA16" s="454">
        <v>478634</v>
      </c>
      <c r="DB16" s="454">
        <v>0</v>
      </c>
      <c r="DC16" s="454">
        <f>DB16-DA16</f>
        <v>-478634</v>
      </c>
      <c r="DD16" s="13">
        <f t="shared" si="12"/>
        <v>4</v>
      </c>
      <c r="DE16" s="373" t="s">
        <v>350</v>
      </c>
      <c r="DF16" s="106">
        <v>0</v>
      </c>
      <c r="DG16" s="106">
        <v>-397569</v>
      </c>
      <c r="DH16" s="106">
        <f>+DG16-DF16</f>
        <v>-397569</v>
      </c>
      <c r="DI16" s="13">
        <f t="shared" si="13"/>
        <v>3</v>
      </c>
      <c r="DJ16" s="244" t="str">
        <f>"STATE UTILITY TAX ( "&amp;DL16*100&amp;"% - ( LINE 1 * "&amp;DL16*100&amp;"% )  )"</f>
        <v>STATE UTILITY TAX ( 3.852% - ( LINE 1 * 3.852% )  )</v>
      </c>
      <c r="DK16" s="250"/>
      <c r="DL16" s="524">
        <v>0.03852</v>
      </c>
      <c r="DM16" s="525">
        <f>ROUND(DL16-(DL16*DM14),6)</f>
        <v>0.038411</v>
      </c>
      <c r="DN16" s="358"/>
      <c r="DO16" s="13">
        <f aca="true" t="shared" si="22" ref="DO16:DO40">+DO15+1</f>
        <v>2</v>
      </c>
      <c r="DP16" s="14" t="s">
        <v>1</v>
      </c>
      <c r="DQ16" s="9">
        <f>1199173947.04-AI18</f>
        <v>1149587390.58</v>
      </c>
      <c r="DR16" s="30">
        <f>+F41</f>
        <v>-55696079.37122813</v>
      </c>
      <c r="DS16" s="30">
        <f>K25</f>
        <v>73523119.11005744</v>
      </c>
      <c r="DT16" s="30"/>
      <c r="DU16" s="30">
        <v>0</v>
      </c>
      <c r="DV16" s="30">
        <v>0</v>
      </c>
      <c r="DW16" s="13">
        <f aca="true" t="shared" si="23" ref="DW16:DW40">+DW15+1</f>
        <v>2</v>
      </c>
      <c r="DX16" s="14" t="s">
        <v>1</v>
      </c>
      <c r="DY16" s="30">
        <v>0</v>
      </c>
      <c r="DZ16" s="335">
        <f>-SUM(AI15:AI17)</f>
        <v>41276053.57089358</v>
      </c>
      <c r="EA16" s="30">
        <v>0</v>
      </c>
      <c r="EB16" s="30">
        <v>0</v>
      </c>
      <c r="EC16" s="30">
        <v>0</v>
      </c>
      <c r="ED16" s="31">
        <v>0</v>
      </c>
      <c r="EE16" s="30"/>
      <c r="EF16" s="13">
        <f aca="true" t="shared" si="24" ref="EF16:EF40">+EF15+1</f>
        <v>2</v>
      </c>
      <c r="EG16" s="14" t="s">
        <v>1</v>
      </c>
      <c r="EH16" s="30">
        <v>0</v>
      </c>
      <c r="EI16" s="31">
        <v>0</v>
      </c>
      <c r="EJ16" s="30"/>
      <c r="EK16" s="31">
        <v>0</v>
      </c>
      <c r="EL16" s="31">
        <v>0</v>
      </c>
      <c r="EM16" s="30">
        <v>0</v>
      </c>
      <c r="EN16" s="13">
        <f aca="true" t="shared" si="25" ref="EN16:EN32">+EN15+1</f>
        <v>2</v>
      </c>
      <c r="EO16" s="14" t="s">
        <v>1</v>
      </c>
      <c r="EP16" s="31">
        <v>0</v>
      </c>
      <c r="EQ16" s="30">
        <v>0</v>
      </c>
      <c r="ER16" s="30">
        <v>0</v>
      </c>
      <c r="ES16" s="30">
        <v>0</v>
      </c>
      <c r="ET16" s="30"/>
      <c r="EU16" s="31">
        <f>SUM(DR16:ET16)-EF16-DW16-EN16</f>
        <v>59103093.30972289</v>
      </c>
      <c r="EV16" s="31">
        <f>DQ16+EU16</f>
        <v>1208690483.8897228</v>
      </c>
      <c r="EW16" s="13">
        <f aca="true" t="shared" si="26" ref="EW16:EW40">+EW15+1</f>
        <v>2</v>
      </c>
      <c r="EX16" s="14" t="s">
        <v>1</v>
      </c>
      <c r="EY16" s="30">
        <f>DQ16</f>
        <v>1149587390.58</v>
      </c>
      <c r="EZ16" s="30">
        <f>EU16</f>
        <v>59103093.30972289</v>
      </c>
      <c r="FA16" s="93">
        <f>EY16+EZ16</f>
        <v>1208690483.8897228</v>
      </c>
      <c r="FB16" s="93">
        <f>+FB19-FB18-FB17</f>
        <v>27014889</v>
      </c>
      <c r="FC16" s="93">
        <f>FA16+FB16</f>
        <v>1235705372.8897228</v>
      </c>
      <c r="FD16" s="93"/>
      <c r="FE16" s="386">
        <f>FB16/FA16</f>
        <v>0.022350543302916213</v>
      </c>
    </row>
    <row r="17" spans="1:161" ht="14.25" customHeight="1" thickBot="1" thickTop="1">
      <c r="A17" s="13">
        <f t="shared" si="14"/>
        <v>4</v>
      </c>
      <c r="B17" s="331">
        <v>39478</v>
      </c>
      <c r="C17" s="297">
        <v>168295469</v>
      </c>
      <c r="D17" s="297">
        <v>154988222</v>
      </c>
      <c r="E17" s="199">
        <f aca="true" t="shared" si="27" ref="E17:E28">+D17-C17</f>
        <v>-13307247</v>
      </c>
      <c r="G17" s="13">
        <f t="shared" si="15"/>
        <v>4</v>
      </c>
      <c r="H17" s="373" t="s">
        <v>301</v>
      </c>
      <c r="I17" s="250"/>
      <c r="J17" s="370">
        <v>-1004369.4401898877</v>
      </c>
      <c r="K17" s="250"/>
      <c r="L17" s="13">
        <f t="shared" si="1"/>
        <v>4</v>
      </c>
      <c r="M17" s="475" t="s">
        <v>364</v>
      </c>
      <c r="N17" s="485">
        <v>0</v>
      </c>
      <c r="O17" s="485">
        <f>SUM(O16)</f>
        <v>1566771.8743053966</v>
      </c>
      <c r="P17" s="486">
        <f>SUM(P16:P16)</f>
        <v>1566771.8743053966</v>
      </c>
      <c r="Q17" s="13">
        <f t="shared" si="16"/>
        <v>4</v>
      </c>
      <c r="R17" s="14" t="s">
        <v>71</v>
      </c>
      <c r="S17" s="132">
        <f>_FEDERAL_INCOME_TAX</f>
        <v>0.35</v>
      </c>
      <c r="T17" s="14"/>
      <c r="U17" s="8">
        <f>+U14*S17</f>
        <v>-20946806.65</v>
      </c>
      <c r="V17" s="13">
        <f t="shared" si="17"/>
        <v>4</v>
      </c>
      <c r="Y17" s="80">
        <f>IF(X17=EV52,"","NEEDS UPDATING")</f>
      </c>
      <c r="Z17" s="13">
        <f t="shared" si="2"/>
        <v>4</v>
      </c>
      <c r="AA17" s="250" t="s">
        <v>281</v>
      </c>
      <c r="AB17" s="353">
        <v>1147453.328442</v>
      </c>
      <c r="AC17" s="353">
        <v>1147453.328442</v>
      </c>
      <c r="AD17" s="354">
        <f>AC17-AB17</f>
        <v>0</v>
      </c>
      <c r="AE17" s="380">
        <f t="shared" si="18"/>
        <v>4</v>
      </c>
      <c r="AF17" s="244" t="s">
        <v>320</v>
      </c>
      <c r="AG17" s="134"/>
      <c r="AH17" s="134"/>
      <c r="AI17" s="23">
        <v>-52870391.10089358</v>
      </c>
      <c r="AJ17" s="45">
        <f t="shared" si="3"/>
        <v>4</v>
      </c>
      <c r="AK17" s="214">
        <v>2007</v>
      </c>
      <c r="AL17" s="31">
        <v>3664591.6</v>
      </c>
      <c r="AM17" s="205">
        <v>1193302341</v>
      </c>
      <c r="AN17" s="462">
        <f>ROUND(AL17/AM17,6)</f>
        <v>0.003071</v>
      </c>
      <c r="AO17" s="73">
        <f t="shared" si="4"/>
        <v>5</v>
      </c>
      <c r="AP17" s="520" t="s">
        <v>381</v>
      </c>
      <c r="AQ17" s="21">
        <f>AQ16</f>
        <v>92872.5</v>
      </c>
      <c r="AR17" s="521">
        <f>AR16</f>
        <v>557235</v>
      </c>
      <c r="AS17" s="521">
        <f>AS16</f>
        <v>464362.5</v>
      </c>
      <c r="AT17" s="13">
        <f>AT16+1</f>
        <v>4</v>
      </c>
      <c r="AV17" s="26"/>
      <c r="AW17" s="26"/>
      <c r="AX17" s="26"/>
      <c r="AY17" s="13">
        <v>4</v>
      </c>
      <c r="BC17" s="13">
        <f t="shared" si="5"/>
        <v>4</v>
      </c>
      <c r="BD17" s="244"/>
      <c r="BE17" s="264"/>
      <c r="BF17" s="264"/>
      <c r="BG17" s="264"/>
      <c r="BH17" s="13"/>
      <c r="BI17" s="23"/>
      <c r="BJ17" s="23"/>
      <c r="BK17" s="2"/>
      <c r="BL17" s="23"/>
      <c r="BM17" s="45">
        <f t="shared" si="6"/>
        <v>4</v>
      </c>
      <c r="BN17" s="14"/>
      <c r="BO17" s="269"/>
      <c r="BP17" s="129"/>
      <c r="BQ17" s="247">
        <f t="shared" si="19"/>
        <v>4</v>
      </c>
      <c r="BR17" s="298"/>
      <c r="BS17" s="250"/>
      <c r="BT17" s="13">
        <f t="shared" si="7"/>
        <v>4</v>
      </c>
      <c r="BU17" s="14"/>
      <c r="BX17" s="52"/>
      <c r="BY17" s="13">
        <v>4</v>
      </c>
      <c r="BZ17" s="14" t="s">
        <v>68</v>
      </c>
      <c r="CA17" s="50">
        <f>SUM(CA14:CA16)</f>
        <v>871536.5817444002</v>
      </c>
      <c r="CB17" s="50">
        <f>SUM(CB14:CB16)</f>
        <v>3148911.1561447983</v>
      </c>
      <c r="CC17" s="50">
        <f>SUM(CC14:CC16)</f>
        <v>2277374.574400398</v>
      </c>
      <c r="CD17" s="13">
        <f t="shared" si="8"/>
        <v>4</v>
      </c>
      <c r="CE17" s="14" t="s">
        <v>126</v>
      </c>
      <c r="CF17" s="14"/>
      <c r="CG17" s="14"/>
      <c r="CH17" s="439">
        <v>517951</v>
      </c>
      <c r="CI17" s="439">
        <v>552698</v>
      </c>
      <c r="CJ17" s="56">
        <f t="shared" si="20"/>
        <v>34747</v>
      </c>
      <c r="CK17" s="13">
        <f t="shared" si="9"/>
        <v>4</v>
      </c>
      <c r="CL17" s="272" t="s">
        <v>129</v>
      </c>
      <c r="CM17" s="305"/>
      <c r="CN17" s="305"/>
      <c r="CO17" s="129">
        <f>SUM(CN15:CN16)</f>
        <v>2943663.32934423</v>
      </c>
      <c r="CP17" s="13">
        <v>4</v>
      </c>
      <c r="CQ17" s="3" t="s">
        <v>96</v>
      </c>
      <c r="CR17" s="16"/>
      <c r="CS17" s="70">
        <f>SUM(CS15:CS16)</f>
        <v>10695896.193</v>
      </c>
      <c r="CT17" s="13">
        <f t="shared" si="10"/>
        <v>4</v>
      </c>
      <c r="CU17" s="214" t="s">
        <v>126</v>
      </c>
      <c r="CV17" s="52">
        <v>46260</v>
      </c>
      <c r="CW17" s="52">
        <v>35209</v>
      </c>
      <c r="CX17" s="387">
        <f t="shared" si="21"/>
        <v>-11051</v>
      </c>
      <c r="CY17" s="13">
        <f t="shared" si="11"/>
        <v>4</v>
      </c>
      <c r="CZ17" s="441" t="s">
        <v>341</v>
      </c>
      <c r="DA17" s="441"/>
      <c r="DB17" s="441"/>
      <c r="DC17" s="444">
        <f>SUM(DC16)</f>
        <v>-478634</v>
      </c>
      <c r="DD17" s="13">
        <f t="shared" si="12"/>
        <v>5</v>
      </c>
      <c r="DE17" s="465" t="s">
        <v>351</v>
      </c>
      <c r="DF17" s="468">
        <f>SUM(DF14:DF16)</f>
        <v>0</v>
      </c>
      <c r="DG17" s="468">
        <f>SUM(DG14:DG16)</f>
        <v>4077858.426334463</v>
      </c>
      <c r="DH17" s="468">
        <f>SUM(DH14:DH16)</f>
        <v>4077858.426334463</v>
      </c>
      <c r="DI17" s="13">
        <f t="shared" si="13"/>
        <v>4</v>
      </c>
      <c r="DK17" s="457"/>
      <c r="DL17" s="457"/>
      <c r="DM17" s="457"/>
      <c r="DN17" s="359"/>
      <c r="DO17" s="13">
        <f t="shared" si="22"/>
        <v>3</v>
      </c>
      <c r="DP17" s="14" t="s">
        <v>72</v>
      </c>
      <c r="DQ17" s="56">
        <f>AI18+AI19</f>
        <v>49951005.50999999</v>
      </c>
      <c r="DR17" s="52"/>
      <c r="DS17" s="52"/>
      <c r="DT17" s="52"/>
      <c r="DU17" s="52"/>
      <c r="DV17" s="52"/>
      <c r="DW17" s="13">
        <f t="shared" si="23"/>
        <v>3</v>
      </c>
      <c r="DX17" s="14" t="s">
        <v>72</v>
      </c>
      <c r="DY17" s="52"/>
      <c r="DZ17" s="52">
        <f>-SUM(AI18:AI19)</f>
        <v>-49951005.50999999</v>
      </c>
      <c r="EA17" s="52"/>
      <c r="EB17" s="56"/>
      <c r="EC17" s="52"/>
      <c r="ED17" s="52"/>
      <c r="EE17" s="52"/>
      <c r="EF17" s="13">
        <f t="shared" si="24"/>
        <v>3</v>
      </c>
      <c r="EG17" s="14" t="s">
        <v>72</v>
      </c>
      <c r="EH17" s="52"/>
      <c r="EI17" s="52"/>
      <c r="EJ17" s="52"/>
      <c r="EK17" s="52"/>
      <c r="EL17" s="52"/>
      <c r="EM17" s="52"/>
      <c r="EN17" s="13">
        <f t="shared" si="25"/>
        <v>3</v>
      </c>
      <c r="EO17" s="14" t="s">
        <v>72</v>
      </c>
      <c r="EP17" s="52"/>
      <c r="EQ17" s="52"/>
      <c r="ER17" s="52"/>
      <c r="ES17" s="52"/>
      <c r="ET17" s="52"/>
      <c r="EU17" s="52">
        <f>SUM(DR17:ET17)-EF17-DW17-EN17</f>
        <v>-49951005.50999999</v>
      </c>
      <c r="EV17" s="52">
        <f>DQ17+EU17</f>
        <v>0</v>
      </c>
      <c r="EW17" s="13">
        <f t="shared" si="26"/>
        <v>3</v>
      </c>
      <c r="EX17" s="14" t="str">
        <f>DP17</f>
        <v>MUNICIPAL ADDITIONS</v>
      </c>
      <c r="EY17" s="10">
        <f>DQ17</f>
        <v>49951005.50999999</v>
      </c>
      <c r="EZ17" s="122">
        <f>EU17</f>
        <v>-49951005.50999999</v>
      </c>
      <c r="FA17" s="94">
        <f>+EY17+EZ17</f>
        <v>0</v>
      </c>
      <c r="FB17" s="94">
        <f>+FB$19*(FA17/FA$19)</f>
        <v>0</v>
      </c>
      <c r="FC17" s="94">
        <f>+FA17+FB17</f>
        <v>0</v>
      </c>
      <c r="FD17" s="94"/>
      <c r="FE17" s="385"/>
    </row>
    <row r="18" spans="1:161" ht="14.25" customHeight="1" thickBot="1" thickTop="1">
      <c r="A18" s="13">
        <f t="shared" si="14"/>
        <v>5</v>
      </c>
      <c r="B18" s="331">
        <v>39507</v>
      </c>
      <c r="C18" s="297">
        <v>138172032</v>
      </c>
      <c r="D18" s="297">
        <v>140517165</v>
      </c>
      <c r="E18" s="341">
        <f t="shared" si="27"/>
        <v>2345133</v>
      </c>
      <c r="F18" s="16"/>
      <c r="G18" s="13">
        <f t="shared" si="15"/>
        <v>5</v>
      </c>
      <c r="H18" s="349" t="s">
        <v>302</v>
      </c>
      <c r="I18" s="362"/>
      <c r="J18" s="395"/>
      <c r="K18" s="250"/>
      <c r="L18" s="13">
        <f t="shared" si="1"/>
        <v>5</v>
      </c>
      <c r="M18" s="478"/>
      <c r="N18" s="487"/>
      <c r="O18" s="487"/>
      <c r="P18" s="488"/>
      <c r="Q18" s="13">
        <f t="shared" si="16"/>
        <v>5</v>
      </c>
      <c r="R18" s="14" t="s">
        <v>76</v>
      </c>
      <c r="S18" s="14"/>
      <c r="T18" s="422"/>
      <c r="U18" s="10">
        <v>47432293</v>
      </c>
      <c r="V18" s="13">
        <f t="shared" si="17"/>
        <v>5</v>
      </c>
      <c r="W18" s="223" t="s">
        <v>131</v>
      </c>
      <c r="X18" s="425">
        <f>DM46+DM47</f>
        <v>0.033800000000000004</v>
      </c>
      <c r="Y18" s="19" t="s">
        <v>19</v>
      </c>
      <c r="Z18" s="13">
        <f t="shared" si="2"/>
        <v>5</v>
      </c>
      <c r="AA18" s="250" t="s">
        <v>282</v>
      </c>
      <c r="AB18" s="434">
        <f>SUM(AB15:AB17)</f>
        <v>80627838.11091003</v>
      </c>
      <c r="AC18" s="434">
        <f>SUM(AC15:AC17)</f>
        <v>86846186.753298</v>
      </c>
      <c r="AD18" s="434">
        <f>SUM(AD15:AD17)</f>
        <v>6218348.64238798</v>
      </c>
      <c r="AE18" s="380">
        <f t="shared" si="18"/>
        <v>5</v>
      </c>
      <c r="AF18" s="244" t="s">
        <v>275</v>
      </c>
      <c r="AG18" s="19"/>
      <c r="AH18" s="19"/>
      <c r="AI18" s="23">
        <v>49586556.45999999</v>
      </c>
      <c r="AJ18" s="45">
        <f t="shared" si="3"/>
        <v>5</v>
      </c>
      <c r="AK18" s="206" t="s">
        <v>189</v>
      </c>
      <c r="AL18" s="405"/>
      <c r="AM18" s="404"/>
      <c r="AN18" s="461">
        <f>ROUND(SUM(AN15:AN17)/3,6)</f>
        <v>0.002833</v>
      </c>
      <c r="AO18" s="73">
        <f t="shared" si="4"/>
        <v>6</v>
      </c>
      <c r="AP18" s="517"/>
      <c r="AQ18" s="518"/>
      <c r="AR18" s="211"/>
      <c r="AS18" s="211"/>
      <c r="AT18" s="13">
        <f>AT17+1</f>
        <v>5</v>
      </c>
      <c r="AU18" s="14" t="s">
        <v>75</v>
      </c>
      <c r="AV18" s="17">
        <f>_FEDERAL_INCOME_TAX</f>
        <v>0.35</v>
      </c>
      <c r="AX18" s="23">
        <f>-AX16*AV18</f>
        <v>-457934.39999999997</v>
      </c>
      <c r="AY18" s="13">
        <v>5</v>
      </c>
      <c r="AZ18" s="63" t="s">
        <v>158</v>
      </c>
      <c r="BA18" s="63"/>
      <c r="BB18" s="31">
        <v>2377938.2584</v>
      </c>
      <c r="BC18" s="13">
        <f>BC17+1</f>
        <v>5</v>
      </c>
      <c r="BD18" s="244" t="s">
        <v>67</v>
      </c>
      <c r="BE18" s="264"/>
      <c r="BF18" s="264"/>
      <c r="BG18" s="94">
        <f>BG16</f>
        <v>-219160</v>
      </c>
      <c r="BH18" s="317"/>
      <c r="BI18" s="70"/>
      <c r="BJ18" s="70"/>
      <c r="BK18" s="2"/>
      <c r="BL18" s="70"/>
      <c r="BM18" s="45">
        <f t="shared" si="6"/>
        <v>5</v>
      </c>
      <c r="BN18" s="271" t="s">
        <v>232</v>
      </c>
      <c r="BO18" s="394">
        <f>BO16/2</f>
        <v>569500</v>
      </c>
      <c r="BQ18" s="247">
        <f t="shared" si="19"/>
        <v>5</v>
      </c>
      <c r="BR18" s="299" t="s">
        <v>239</v>
      </c>
      <c r="BS18" s="394">
        <f>BS16/3</f>
        <v>-151355.58999999994</v>
      </c>
      <c r="BT18" s="13">
        <f t="shared" si="7"/>
        <v>5</v>
      </c>
      <c r="BX18" s="16"/>
      <c r="BY18" s="13">
        <v>5</v>
      </c>
      <c r="BZ18" s="14"/>
      <c r="CC18" s="52"/>
      <c r="CD18" s="13">
        <f t="shared" si="8"/>
        <v>5</v>
      </c>
      <c r="CE18" s="14" t="s">
        <v>84</v>
      </c>
      <c r="CF18" s="14"/>
      <c r="CG18" s="14"/>
      <c r="CH18" s="439">
        <v>168404</v>
      </c>
      <c r="CI18" s="439">
        <v>179760</v>
      </c>
      <c r="CJ18" s="56">
        <f t="shared" si="20"/>
        <v>11356</v>
      </c>
      <c r="CK18" s="13">
        <f t="shared" si="9"/>
        <v>5</v>
      </c>
      <c r="CL18" s="272"/>
      <c r="CM18" s="306"/>
      <c r="CN18" s="306"/>
      <c r="CO18" s="129"/>
      <c r="CP18" s="13">
        <v>5</v>
      </c>
      <c r="CR18" s="16"/>
      <c r="CS18" s="52"/>
      <c r="CT18" s="13">
        <f t="shared" si="10"/>
        <v>5</v>
      </c>
      <c r="CU18" s="214" t="s">
        <v>84</v>
      </c>
      <c r="CV18" s="52">
        <v>15053</v>
      </c>
      <c r="CW18" s="52">
        <v>11457</v>
      </c>
      <c r="CX18" s="387">
        <f t="shared" si="21"/>
        <v>-3596</v>
      </c>
      <c r="CY18" s="13">
        <f t="shared" si="11"/>
        <v>5</v>
      </c>
      <c r="CZ18" s="446"/>
      <c r="DA18" s="441"/>
      <c r="DB18" s="448"/>
      <c r="DC18" s="447"/>
      <c r="DD18" s="13">
        <f t="shared" si="12"/>
        <v>6</v>
      </c>
      <c r="DE18" s="373"/>
      <c r="DF18" s="469"/>
      <c r="DG18" s="469"/>
      <c r="DH18" s="469"/>
      <c r="DI18" s="13">
        <f t="shared" si="13"/>
        <v>5</v>
      </c>
      <c r="DJ18" s="244" t="s">
        <v>382</v>
      </c>
      <c r="DK18" s="457"/>
      <c r="DL18" s="457"/>
      <c r="DM18" s="457">
        <f>SUM(DM14:DM17)</f>
        <v>0.043244000000000005</v>
      </c>
      <c r="DN18" s="358"/>
      <c r="DO18" s="13">
        <f t="shared" si="22"/>
        <v>4</v>
      </c>
      <c r="DP18" s="14" t="s">
        <v>2</v>
      </c>
      <c r="DQ18" s="56">
        <f>17694309.41-AI19</f>
        <v>17329860.36</v>
      </c>
      <c r="DR18" s="52"/>
      <c r="DS18" s="52">
        <f>K34</f>
        <v>2006071.3201898886</v>
      </c>
      <c r="DT18" s="52"/>
      <c r="DU18" s="52"/>
      <c r="DV18" s="278"/>
      <c r="DW18" s="13">
        <f t="shared" si="23"/>
        <v>4</v>
      </c>
      <c r="DX18" s="14" t="s">
        <v>2</v>
      </c>
      <c r="DY18" s="52"/>
      <c r="DZ18" s="53"/>
      <c r="EA18" s="52"/>
      <c r="EB18" s="65">
        <f>AS16</f>
        <v>464362.5</v>
      </c>
      <c r="EC18" s="53"/>
      <c r="ED18" s="53"/>
      <c r="EE18" s="53"/>
      <c r="EF18" s="13">
        <f t="shared" si="24"/>
        <v>4</v>
      </c>
      <c r="EG18" s="14" t="s">
        <v>2</v>
      </c>
      <c r="EH18" s="53" t="s">
        <v>19</v>
      </c>
      <c r="EI18" s="53"/>
      <c r="EJ18" s="53"/>
      <c r="EK18" s="53"/>
      <c r="EL18" s="53"/>
      <c r="EM18" s="53"/>
      <c r="EN18" s="13">
        <f t="shared" si="25"/>
        <v>4</v>
      </c>
      <c r="EO18" s="14" t="s">
        <v>2</v>
      </c>
      <c r="EP18" s="53"/>
      <c r="EQ18" s="53"/>
      <c r="ER18" s="53"/>
      <c r="ES18" s="53"/>
      <c r="ET18" s="53"/>
      <c r="EU18" s="53">
        <f>SUM(DR18:ET18)-EF18-DW18-EN18</f>
        <v>2470433.8201898886</v>
      </c>
      <c r="EV18" s="53">
        <f>DQ18+EU18</f>
        <v>19800294.18018989</v>
      </c>
      <c r="EW18" s="13">
        <f t="shared" si="26"/>
        <v>4</v>
      </c>
      <c r="EX18" s="14" t="s">
        <v>2</v>
      </c>
      <c r="EY18" s="106">
        <f>DQ18</f>
        <v>17329860.36</v>
      </c>
      <c r="EZ18" s="125">
        <f>EU18</f>
        <v>2470433.8201898886</v>
      </c>
      <c r="FA18" s="95">
        <f>+EY18+EZ18</f>
        <v>19800294.18018989</v>
      </c>
      <c r="FB18" s="95">
        <f>DM82</f>
        <v>184228</v>
      </c>
      <c r="FC18" s="95">
        <f>+FA18+FB18</f>
        <v>19984522.18018989</v>
      </c>
      <c r="FD18" s="67"/>
      <c r="FE18" s="188">
        <f>+FB18/FA18</f>
        <v>0.009304306204920901</v>
      </c>
    </row>
    <row r="19" spans="1:161" ht="13.5" thickBot="1">
      <c r="A19" s="13">
        <f t="shared" si="14"/>
        <v>6</v>
      </c>
      <c r="B19" s="331">
        <v>39538</v>
      </c>
      <c r="C19" s="297">
        <v>131490969</v>
      </c>
      <c r="D19" s="297">
        <v>115895730</v>
      </c>
      <c r="E19" s="341">
        <f t="shared" si="27"/>
        <v>-15595239</v>
      </c>
      <c r="G19" s="13">
        <f t="shared" si="15"/>
        <v>6</v>
      </c>
      <c r="H19" s="373" t="s">
        <v>303</v>
      </c>
      <c r="I19" s="362"/>
      <c r="J19" s="52">
        <v>49392484.195988014</v>
      </c>
      <c r="K19" s="250"/>
      <c r="L19" s="13">
        <f t="shared" si="1"/>
        <v>6</v>
      </c>
      <c r="M19" s="479" t="s">
        <v>67</v>
      </c>
      <c r="N19" s="192"/>
      <c r="O19" s="192"/>
      <c r="P19" s="191">
        <f>P17</f>
        <v>1566771.8743053966</v>
      </c>
      <c r="Q19" s="13">
        <f t="shared" si="16"/>
        <v>6</v>
      </c>
      <c r="R19" s="3" t="s">
        <v>80</v>
      </c>
      <c r="T19" s="422"/>
      <c r="U19" s="10">
        <v>-4870567</v>
      </c>
      <c r="V19" s="13">
        <f t="shared" si="17"/>
        <v>6</v>
      </c>
      <c r="W19" s="223" t="s">
        <v>235</v>
      </c>
      <c r="X19" s="278"/>
      <c r="Y19" s="423">
        <f>X16*X18</f>
        <v>49834388.852079816</v>
      </c>
      <c r="Z19" s="13">
        <f t="shared" si="2"/>
        <v>6</v>
      </c>
      <c r="AA19" s="250"/>
      <c r="AB19" s="356"/>
      <c r="AC19" s="356"/>
      <c r="AD19" s="356"/>
      <c r="AE19" s="380">
        <f t="shared" si="18"/>
        <v>6</v>
      </c>
      <c r="AF19" s="250" t="s">
        <v>274</v>
      </c>
      <c r="AG19" s="19"/>
      <c r="AH19" s="19"/>
      <c r="AI19" s="23">
        <v>364449.05</v>
      </c>
      <c r="AJ19" s="45">
        <f t="shared" si="3"/>
        <v>6</v>
      </c>
      <c r="AL19" s="405"/>
      <c r="AM19" s="404"/>
      <c r="AO19" s="73">
        <f t="shared" si="4"/>
        <v>7</v>
      </c>
      <c r="AP19" s="74" t="s">
        <v>242</v>
      </c>
      <c r="AQ19" s="21"/>
      <c r="AT19" s="13">
        <f>AT18+1</f>
        <v>6</v>
      </c>
      <c r="AU19" s="14" t="s">
        <v>79</v>
      </c>
      <c r="AV19" s="28"/>
      <c r="AW19" s="26"/>
      <c r="AX19" s="319">
        <f>-AX16-AX18</f>
        <v>-850449.6000000001</v>
      </c>
      <c r="AY19" s="13">
        <v>6</v>
      </c>
      <c r="AZ19" s="61" t="s">
        <v>155</v>
      </c>
      <c r="BA19" s="61"/>
      <c r="BB19" s="65">
        <v>2377938</v>
      </c>
      <c r="BC19" s="13">
        <f t="shared" si="5"/>
        <v>6</v>
      </c>
      <c r="BD19" s="244"/>
      <c r="BE19" s="264"/>
      <c r="BF19" s="264"/>
      <c r="BG19" s="94"/>
      <c r="BH19" s="13"/>
      <c r="BI19" s="197"/>
      <c r="BJ19" s="197"/>
      <c r="BK19" s="2"/>
      <c r="BL19" s="197"/>
      <c r="BM19" s="45">
        <f t="shared" si="6"/>
        <v>6</v>
      </c>
      <c r="BN19" s="215" t="s">
        <v>214</v>
      </c>
      <c r="BO19" s="394">
        <v>806359</v>
      </c>
      <c r="BQ19" s="247">
        <f t="shared" si="19"/>
        <v>6</v>
      </c>
      <c r="BR19" s="297"/>
      <c r="BS19" s="250"/>
      <c r="BT19" s="13">
        <f t="shared" si="7"/>
        <v>6</v>
      </c>
      <c r="BU19" s="14" t="s">
        <v>73</v>
      </c>
      <c r="BV19" s="77">
        <f>_FEDERAL_INCOME_TAX</f>
        <v>0.35</v>
      </c>
      <c r="BW19" s="17"/>
      <c r="BX19" s="56">
        <f>BV19*-BX16</f>
        <v>125568.78339179739</v>
      </c>
      <c r="BY19" s="13">
        <v>6</v>
      </c>
      <c r="CC19" s="16"/>
      <c r="CD19" s="13">
        <f t="shared" si="8"/>
        <v>6</v>
      </c>
      <c r="CE19" s="14" t="s">
        <v>87</v>
      </c>
      <c r="CF19" s="14"/>
      <c r="CG19" s="14"/>
      <c r="CH19" s="439">
        <v>20616696</v>
      </c>
      <c r="CI19" s="439">
        <v>22032125</v>
      </c>
      <c r="CJ19" s="56">
        <f t="shared" si="20"/>
        <v>1415429</v>
      </c>
      <c r="CK19" s="13">
        <f t="shared" si="9"/>
        <v>6</v>
      </c>
      <c r="CL19" s="259" t="s">
        <v>386</v>
      </c>
      <c r="CM19" s="306"/>
      <c r="CN19" s="306"/>
      <c r="CO19" s="129"/>
      <c r="CP19" s="13">
        <v>6</v>
      </c>
      <c r="CQ19" s="88" t="s">
        <v>98</v>
      </c>
      <c r="CR19" s="281">
        <v>0.594</v>
      </c>
      <c r="CS19" s="52">
        <f>CS17*CR19</f>
        <v>6353362.338641999</v>
      </c>
      <c r="CT19" s="13">
        <f t="shared" si="10"/>
        <v>6</v>
      </c>
      <c r="CU19" s="214" t="s">
        <v>87</v>
      </c>
      <c r="CV19" s="52">
        <v>1844509</v>
      </c>
      <c r="CW19" s="52">
        <v>1406673</v>
      </c>
      <c r="CX19" s="387">
        <f t="shared" si="21"/>
        <v>-437836</v>
      </c>
      <c r="CY19" s="13">
        <f t="shared" si="11"/>
        <v>6</v>
      </c>
      <c r="CZ19" s="446" t="s">
        <v>243</v>
      </c>
      <c r="DA19" s="449"/>
      <c r="DB19" s="448"/>
      <c r="DC19" s="444">
        <f>-DC17</f>
        <v>478634</v>
      </c>
      <c r="DD19" s="13">
        <f t="shared" si="12"/>
        <v>7</v>
      </c>
      <c r="DE19" s="373"/>
      <c r="DF19" s="469"/>
      <c r="DG19" s="469"/>
      <c r="DH19" s="469"/>
      <c r="DI19" s="13">
        <f t="shared" si="13"/>
        <v>6</v>
      </c>
      <c r="DN19" s="358"/>
      <c r="DO19" s="13">
        <f t="shared" si="22"/>
        <v>5</v>
      </c>
      <c r="DP19" s="14" t="s">
        <v>3</v>
      </c>
      <c r="DQ19" s="50">
        <f aca="true" t="shared" si="28" ref="DQ19:DV19">SUM(DQ16:DQ18)</f>
        <v>1216868256.4499998</v>
      </c>
      <c r="DR19" s="50">
        <f t="shared" si="28"/>
        <v>-55696079.37122813</v>
      </c>
      <c r="DS19" s="50">
        <f t="shared" si="28"/>
        <v>75529190.43024734</v>
      </c>
      <c r="DT19" s="50">
        <f t="shared" si="28"/>
        <v>0</v>
      </c>
      <c r="DU19" s="50">
        <f t="shared" si="28"/>
        <v>0</v>
      </c>
      <c r="DV19" s="50">
        <f t="shared" si="28"/>
        <v>0</v>
      </c>
      <c r="DW19" s="13">
        <f t="shared" si="23"/>
        <v>5</v>
      </c>
      <c r="DX19" s="14" t="s">
        <v>3</v>
      </c>
      <c r="DY19" s="50">
        <f aca="true" t="shared" si="29" ref="DY19:ED19">SUM(DY16:DY18)</f>
        <v>0</v>
      </c>
      <c r="DZ19" s="50">
        <f>SUM(DZ16:DZ18)</f>
        <v>-8674951.939106412</v>
      </c>
      <c r="EA19" s="50">
        <f t="shared" si="29"/>
        <v>0</v>
      </c>
      <c r="EB19" s="50">
        <f t="shared" si="29"/>
        <v>464362.5</v>
      </c>
      <c r="EC19" s="50">
        <f t="shared" si="29"/>
        <v>0</v>
      </c>
      <c r="ED19" s="25">
        <f t="shared" si="29"/>
        <v>0</v>
      </c>
      <c r="EE19" s="58">
        <f>SUM(EE15:EE18)</f>
        <v>0</v>
      </c>
      <c r="EF19" s="13">
        <f t="shared" si="24"/>
        <v>5</v>
      </c>
      <c r="EG19" s="14" t="s">
        <v>3</v>
      </c>
      <c r="EH19" s="50">
        <f aca="true" t="shared" si="30" ref="EH19:EM19">SUM(EH16:EH18)</f>
        <v>0</v>
      </c>
      <c r="EI19" s="25">
        <f t="shared" si="30"/>
        <v>0</v>
      </c>
      <c r="EJ19" s="50">
        <f t="shared" si="30"/>
        <v>0</v>
      </c>
      <c r="EK19" s="25">
        <f t="shared" si="30"/>
        <v>0</v>
      </c>
      <c r="EL19" s="25">
        <f t="shared" si="30"/>
        <v>0</v>
      </c>
      <c r="EM19" s="50">
        <f t="shared" si="30"/>
        <v>0</v>
      </c>
      <c r="EN19" s="13">
        <f t="shared" si="25"/>
        <v>5</v>
      </c>
      <c r="EO19" s="14" t="s">
        <v>3</v>
      </c>
      <c r="EP19" s="25">
        <f aca="true" t="shared" si="31" ref="EP19:EU19">SUM(EP16:EP18)</f>
        <v>0</v>
      </c>
      <c r="EQ19" s="50">
        <f t="shared" si="31"/>
        <v>0</v>
      </c>
      <c r="ER19" s="50">
        <f t="shared" si="31"/>
        <v>0</v>
      </c>
      <c r="ES19" s="50">
        <f t="shared" si="31"/>
        <v>0</v>
      </c>
      <c r="ET19" s="58"/>
      <c r="EU19" s="31">
        <f t="shared" si="31"/>
        <v>11622521.619912792</v>
      </c>
      <c r="EV19" s="31">
        <f>DQ19+EU19</f>
        <v>1228490778.0699127</v>
      </c>
      <c r="EW19" s="13">
        <f t="shared" si="26"/>
        <v>5</v>
      </c>
      <c r="EX19" s="14" t="s">
        <v>3</v>
      </c>
      <c r="EY19" s="30">
        <f>SUM(EY16:EY18)</f>
        <v>1216868256.4499998</v>
      </c>
      <c r="EZ19" s="30">
        <f>SUM(EZ16:EZ18)</f>
        <v>11622521.619912792</v>
      </c>
      <c r="FA19" s="50">
        <f>SUM(FA16:FA18)</f>
        <v>1228490778.0699127</v>
      </c>
      <c r="FB19" s="418">
        <f>DM81</f>
        <v>27199117</v>
      </c>
      <c r="FC19" s="50">
        <f>SUM(FC16:FC18)</f>
        <v>1255689895.0699127</v>
      </c>
      <c r="FD19" s="58"/>
      <c r="FE19" s="188">
        <f>+FB19/FA19</f>
        <v>0.02214026957754836</v>
      </c>
    </row>
    <row r="20" spans="1:158" ht="14.25" customHeight="1" thickBot="1" thickTop="1">
      <c r="A20" s="13">
        <f t="shared" si="14"/>
        <v>7</v>
      </c>
      <c r="B20" s="331">
        <v>39568</v>
      </c>
      <c r="C20" s="297">
        <v>109964622</v>
      </c>
      <c r="D20" s="297">
        <v>95180930</v>
      </c>
      <c r="E20" s="341">
        <f t="shared" si="27"/>
        <v>-14783692</v>
      </c>
      <c r="G20" s="13">
        <f t="shared" si="15"/>
        <v>7</v>
      </c>
      <c r="H20" s="349" t="s">
        <v>360</v>
      </c>
      <c r="I20" s="362"/>
      <c r="J20" s="52">
        <v>-2505738.8713401146</v>
      </c>
      <c r="K20" s="250"/>
      <c r="L20" s="13">
        <f t="shared" si="1"/>
        <v>7</v>
      </c>
      <c r="M20" s="448"/>
      <c r="N20" s="489"/>
      <c r="O20" s="489"/>
      <c r="P20" s="490"/>
      <c r="Q20" s="13">
        <f t="shared" si="16"/>
        <v>7</v>
      </c>
      <c r="R20" s="3" t="s">
        <v>83</v>
      </c>
      <c r="T20" s="422"/>
      <c r="U20" s="282">
        <v>-637077</v>
      </c>
      <c r="V20" s="13">
        <f t="shared" si="17"/>
        <v>7</v>
      </c>
      <c r="W20" s="223"/>
      <c r="X20" s="226"/>
      <c r="Y20" s="19" t="s">
        <v>19</v>
      </c>
      <c r="Z20" s="13">
        <f t="shared" si="2"/>
        <v>7</v>
      </c>
      <c r="AA20" s="250" t="s">
        <v>283</v>
      </c>
      <c r="AB20" s="354">
        <v>1562355.23</v>
      </c>
      <c r="AC20" s="354">
        <v>1563100.346952</v>
      </c>
      <c r="AD20" s="353">
        <f>AC20-AB20</f>
        <v>745.116951999953</v>
      </c>
      <c r="AE20" s="380">
        <f t="shared" si="18"/>
        <v>7</v>
      </c>
      <c r="AF20" s="19" t="s">
        <v>314</v>
      </c>
      <c r="AG20" s="19"/>
      <c r="AH20" s="19"/>
      <c r="AI20" s="437">
        <f>SUM(AI15:AI19)</f>
        <v>8674951.939106416</v>
      </c>
      <c r="AJ20" s="45">
        <f>1+AJ19</f>
        <v>7</v>
      </c>
      <c r="AK20" s="207" t="s">
        <v>190</v>
      </c>
      <c r="AM20" s="205">
        <f>DQ19</f>
        <v>1216868256.4499998</v>
      </c>
      <c r="AO20" s="73">
        <f t="shared" si="4"/>
        <v>8</v>
      </c>
      <c r="AP20" s="384" t="s">
        <v>324</v>
      </c>
      <c r="AQ20" s="21"/>
      <c r="AR20" s="26"/>
      <c r="AS20" s="21"/>
      <c r="AT20" s="26"/>
      <c r="AU20" s="26"/>
      <c r="AV20" s="26"/>
      <c r="AW20" s="26"/>
      <c r="AX20" s="26"/>
      <c r="AY20" s="13">
        <v>7</v>
      </c>
      <c r="AZ20" s="64" t="s">
        <v>157</v>
      </c>
      <c r="BA20" s="64"/>
      <c r="BB20" s="59">
        <f>BB18-BB19</f>
        <v>0.25840000016614795</v>
      </c>
      <c r="BC20" s="13">
        <f>BC19+1</f>
        <v>7</v>
      </c>
      <c r="BD20" s="244" t="s">
        <v>73</v>
      </c>
      <c r="BE20" s="264"/>
      <c r="BF20" s="265">
        <f>_FEDERAL_INCOME_TAX</f>
        <v>0.35</v>
      </c>
      <c r="BG20" s="430">
        <f>-BG18*BF20</f>
        <v>76706</v>
      </c>
      <c r="BH20" s="13"/>
      <c r="BI20" s="2"/>
      <c r="BJ20" s="2"/>
      <c r="BK20" s="186"/>
      <c r="BL20" s="70"/>
      <c r="BM20" s="45">
        <f t="shared" si="6"/>
        <v>7</v>
      </c>
      <c r="BN20" s="215"/>
      <c r="BO20" s="313"/>
      <c r="BP20" s="129"/>
      <c r="BQ20" s="247">
        <f t="shared" si="19"/>
        <v>7</v>
      </c>
      <c r="BR20" s="241" t="s">
        <v>240</v>
      </c>
      <c r="BS20" s="16">
        <v>-633527.98</v>
      </c>
      <c r="BT20" s="13">
        <f t="shared" si="7"/>
        <v>7</v>
      </c>
      <c r="BU20" s="14" t="s">
        <v>82</v>
      </c>
      <c r="BX20" s="319">
        <f>-BX16-BX19</f>
        <v>233199.1691561952</v>
      </c>
      <c r="BY20" s="13">
        <v>7</v>
      </c>
      <c r="BZ20" s="14" t="s">
        <v>73</v>
      </c>
      <c r="CA20" s="77">
        <f>_FEDERAL_INCOME_TAX</f>
        <v>0.35</v>
      </c>
      <c r="CB20" s="17"/>
      <c r="CC20" s="56">
        <f>CA20*-CC17</f>
        <v>-797081.1010401392</v>
      </c>
      <c r="CD20" s="13">
        <f>CD19+1</f>
        <v>7</v>
      </c>
      <c r="CE20" s="14" t="s">
        <v>89</v>
      </c>
      <c r="CF20" s="14"/>
      <c r="CG20" s="14"/>
      <c r="CH20" s="439">
        <v>7375878</v>
      </c>
      <c r="CI20" s="439">
        <v>7927726</v>
      </c>
      <c r="CJ20" s="56">
        <f t="shared" si="20"/>
        <v>551848</v>
      </c>
      <c r="CK20" s="13">
        <f t="shared" si="9"/>
        <v>7</v>
      </c>
      <c r="CL20" s="244" t="s">
        <v>225</v>
      </c>
      <c r="CM20" s="305"/>
      <c r="CN20" s="122">
        <v>63067.946624000004</v>
      </c>
      <c r="CO20" s="527"/>
      <c r="CP20" s="13">
        <v>7</v>
      </c>
      <c r="CQ20" s="34" t="s">
        <v>244</v>
      </c>
      <c r="CR20" s="17"/>
      <c r="CS20" s="53">
        <v>5516162.341149636</v>
      </c>
      <c r="CT20" s="13">
        <f>CT19+1</f>
        <v>7</v>
      </c>
      <c r="CU20" s="214" t="s">
        <v>89</v>
      </c>
      <c r="CV20" s="52">
        <v>660117</v>
      </c>
      <c r="CW20" s="52">
        <v>506056</v>
      </c>
      <c r="CX20" s="387">
        <f t="shared" si="21"/>
        <v>-154061</v>
      </c>
      <c r="CY20" s="13">
        <f t="shared" si="11"/>
        <v>7</v>
      </c>
      <c r="CZ20" s="446"/>
      <c r="DA20" s="441"/>
      <c r="DB20" s="448"/>
      <c r="DC20" s="445"/>
      <c r="DD20" s="13">
        <f t="shared" si="12"/>
        <v>8</v>
      </c>
      <c r="DE20" s="465" t="s">
        <v>352</v>
      </c>
      <c r="DF20" s="470"/>
      <c r="DG20" s="470"/>
      <c r="DH20" s="470"/>
      <c r="DI20" s="13">
        <f>+DI19+1</f>
        <v>7</v>
      </c>
      <c r="DJ20" s="250" t="s">
        <v>383</v>
      </c>
      <c r="DK20" s="250"/>
      <c r="DL20" s="250"/>
      <c r="DM20" s="457">
        <f>ROUND(1-DM18,6)</f>
        <v>0.956756</v>
      </c>
      <c r="DN20" s="358"/>
      <c r="DO20" s="13">
        <f>+DO19+1</f>
        <v>6</v>
      </c>
      <c r="DW20" s="13">
        <f>+DW19+1</f>
        <v>6</v>
      </c>
      <c r="DZ20" s="19"/>
      <c r="ED20" s="19"/>
      <c r="EE20" s="19"/>
      <c r="EF20" s="13">
        <f>+EF19+1</f>
        <v>6</v>
      </c>
      <c r="EH20" s="19"/>
      <c r="EI20" s="19"/>
      <c r="EJ20" s="19"/>
      <c r="EK20" s="19"/>
      <c r="EL20" s="19"/>
      <c r="EM20" s="19"/>
      <c r="EN20" s="13">
        <f t="shared" si="25"/>
        <v>6</v>
      </c>
      <c r="EP20" s="19"/>
      <c r="EQ20" s="19"/>
      <c r="ER20" s="19"/>
      <c r="ES20" s="19"/>
      <c r="ET20" s="19"/>
      <c r="EU20" s="26"/>
      <c r="EV20" s="26"/>
      <c r="EW20" s="13">
        <f>+EW19+1</f>
        <v>6</v>
      </c>
      <c r="FA20" s="26"/>
      <c r="FB20" s="31" t="s">
        <v>19</v>
      </c>
    </row>
    <row r="21" spans="1:161" ht="15" thickBot="1" thickTop="1">
      <c r="A21" s="13">
        <f t="shared" si="14"/>
        <v>8</v>
      </c>
      <c r="B21" s="331">
        <v>39599</v>
      </c>
      <c r="C21" s="297">
        <v>76590248</v>
      </c>
      <c r="D21" s="297">
        <v>76738761</v>
      </c>
      <c r="E21" s="341">
        <f t="shared" si="27"/>
        <v>148513</v>
      </c>
      <c r="G21" s="13">
        <f t="shared" si="15"/>
        <v>8</v>
      </c>
      <c r="H21" s="349" t="s">
        <v>292</v>
      </c>
      <c r="I21" s="362"/>
      <c r="J21" s="52">
        <v>-10981122.504431728</v>
      </c>
      <c r="K21" s="250"/>
      <c r="L21" s="13">
        <f t="shared" si="1"/>
        <v>8</v>
      </c>
      <c r="M21" s="480" t="s">
        <v>73</v>
      </c>
      <c r="N21" s="491"/>
      <c r="O21" s="491">
        <f>_FEDERAL_INCOME_TAX</f>
        <v>0.35</v>
      </c>
      <c r="P21" s="473">
        <f>ROUND(-P19*O21,0)</f>
        <v>-548370</v>
      </c>
      <c r="Q21" s="13">
        <f t="shared" si="16"/>
        <v>8</v>
      </c>
      <c r="R21" s="3" t="s">
        <v>86</v>
      </c>
      <c r="U21" s="9">
        <f>SUM(U17:U20)</f>
        <v>20977842.35</v>
      </c>
      <c r="V21" s="13">
        <f t="shared" si="17"/>
        <v>8</v>
      </c>
      <c r="W21" s="227" t="s">
        <v>63</v>
      </c>
      <c r="X21" s="226"/>
      <c r="Y21" s="19" t="s">
        <v>19</v>
      </c>
      <c r="Z21" s="13">
        <f t="shared" si="2"/>
        <v>8</v>
      </c>
      <c r="AA21" s="250" t="s">
        <v>284</v>
      </c>
      <c r="AB21" s="354">
        <v>745.116952</v>
      </c>
      <c r="AC21" s="354">
        <v>0</v>
      </c>
      <c r="AD21" s="357">
        <f>AC21-AB21</f>
        <v>-745.116952</v>
      </c>
      <c r="AE21" s="380">
        <f t="shared" si="18"/>
        <v>8</v>
      </c>
      <c r="AF21" s="19"/>
      <c r="AG21" s="19"/>
      <c r="AH21" s="19"/>
      <c r="AI21" s="19"/>
      <c r="AJ21" s="45">
        <f>1+AJ20</f>
        <v>8</v>
      </c>
      <c r="AO21" s="73">
        <f t="shared" si="4"/>
        <v>9</v>
      </c>
      <c r="AP21" s="384" t="s">
        <v>325</v>
      </c>
      <c r="AQ21" s="9">
        <v>1414931</v>
      </c>
      <c r="AR21" s="9">
        <v>0</v>
      </c>
      <c r="AS21" s="9">
        <f>AR21-AQ21</f>
        <v>-1414931</v>
      </c>
      <c r="AT21" s="317"/>
      <c r="AU21" s="21"/>
      <c r="AV21" s="21"/>
      <c r="AW21" s="21"/>
      <c r="AX21" s="21"/>
      <c r="AY21" s="13">
        <v>8</v>
      </c>
      <c r="BB21" s="3"/>
      <c r="BC21" s="13">
        <f t="shared" si="5"/>
        <v>8</v>
      </c>
      <c r="BD21" s="244" t="s">
        <v>82</v>
      </c>
      <c r="BE21" s="264"/>
      <c r="BF21" s="264"/>
      <c r="BG21" s="431">
        <f>-BG18-BG20</f>
        <v>142454</v>
      </c>
      <c r="BH21" s="13"/>
      <c r="BI21" s="23"/>
      <c r="BJ21" s="23"/>
      <c r="BK21" s="2"/>
      <c r="BL21" s="23"/>
      <c r="BM21" s="45">
        <f t="shared" si="6"/>
        <v>8</v>
      </c>
      <c r="BN21" s="14" t="s">
        <v>67</v>
      </c>
      <c r="BO21" s="322">
        <f>BO18-BO19</f>
        <v>-236859</v>
      </c>
      <c r="BP21" s="394">
        <f>BO21</f>
        <v>-236859</v>
      </c>
      <c r="BQ21" s="247">
        <f t="shared" si="19"/>
        <v>8</v>
      </c>
      <c r="BR21" s="297"/>
      <c r="BS21" s="135"/>
      <c r="BY21" s="13">
        <v>8</v>
      </c>
      <c r="BZ21" s="14" t="s">
        <v>82</v>
      </c>
      <c r="CC21" s="319">
        <f>-CC17-CC20</f>
        <v>-1480293.4733602586</v>
      </c>
      <c r="CD21" s="13">
        <f t="shared" si="8"/>
        <v>8</v>
      </c>
      <c r="CE21" s="14" t="s">
        <v>92</v>
      </c>
      <c r="CF21" s="14"/>
      <c r="CG21" s="14"/>
      <c r="CH21" s="439">
        <v>1087202</v>
      </c>
      <c r="CI21" s="439">
        <v>1159867</v>
      </c>
      <c r="CJ21" s="56">
        <f t="shared" si="20"/>
        <v>72665</v>
      </c>
      <c r="CK21" s="13">
        <f t="shared" si="9"/>
        <v>8</v>
      </c>
      <c r="CL21" s="306" t="s">
        <v>226</v>
      </c>
      <c r="CM21" s="283">
        <v>0</v>
      </c>
      <c r="CN21" s="125">
        <f>+CN20*CM21</f>
        <v>0</v>
      </c>
      <c r="CO21" s="527"/>
      <c r="CP21" s="13">
        <v>8</v>
      </c>
      <c r="CQ21" s="14" t="s">
        <v>68</v>
      </c>
      <c r="CR21" s="13"/>
      <c r="CS21" s="70">
        <f>CS19-CS20</f>
        <v>837199.9974923637</v>
      </c>
      <c r="CT21" s="13">
        <f t="shared" si="10"/>
        <v>8</v>
      </c>
      <c r="CU21" s="214" t="s">
        <v>92</v>
      </c>
      <c r="CV21" s="52">
        <v>97292</v>
      </c>
      <c r="CW21" s="52">
        <v>74050</v>
      </c>
      <c r="CX21" s="387">
        <f t="shared" si="21"/>
        <v>-23242</v>
      </c>
      <c r="CY21" s="13">
        <f t="shared" si="11"/>
        <v>8</v>
      </c>
      <c r="CZ21" s="450" t="s">
        <v>73</v>
      </c>
      <c r="DA21" s="499">
        <f>_FEDERAL_INCOME_TAX</f>
        <v>0.35</v>
      </c>
      <c r="DB21" s="450"/>
      <c r="DC21" s="451">
        <f>DA21*DC19</f>
        <v>167521.9</v>
      </c>
      <c r="DD21" s="13">
        <f t="shared" si="12"/>
        <v>9</v>
      </c>
      <c r="DE21" s="373" t="s">
        <v>353</v>
      </c>
      <c r="DF21" s="466">
        <v>1512141.171696</v>
      </c>
      <c r="DG21" s="466">
        <v>0</v>
      </c>
      <c r="DH21" s="466">
        <f>+DG21-DF21</f>
        <v>-1512141.171696</v>
      </c>
      <c r="DI21" s="13">
        <f t="shared" si="13"/>
        <v>8</v>
      </c>
      <c r="DJ21" s="244" t="s">
        <v>384</v>
      </c>
      <c r="DK21" s="457"/>
      <c r="DL21" s="457">
        <v>0.35</v>
      </c>
      <c r="DM21" s="457">
        <f>ROUND(DM20*DL21,6)</f>
        <v>0.334865</v>
      </c>
      <c r="DN21" s="358"/>
      <c r="DO21" s="13">
        <f t="shared" si="22"/>
        <v>7</v>
      </c>
      <c r="DQ21" s="80"/>
      <c r="DR21" s="28"/>
      <c r="DS21" s="28"/>
      <c r="DT21" s="28"/>
      <c r="DU21" s="28" t="s">
        <v>19</v>
      </c>
      <c r="DV21" s="28" t="s">
        <v>19</v>
      </c>
      <c r="DW21" s="13">
        <f t="shared" si="23"/>
        <v>7</v>
      </c>
      <c r="DY21" s="28" t="s">
        <v>19</v>
      </c>
      <c r="DZ21" s="28" t="s">
        <v>19</v>
      </c>
      <c r="EA21" s="28" t="s">
        <v>19</v>
      </c>
      <c r="EB21" s="212" t="s">
        <v>19</v>
      </c>
      <c r="EC21" s="28"/>
      <c r="EE21" s="28"/>
      <c r="EF21" s="13">
        <f t="shared" si="24"/>
        <v>7</v>
      </c>
      <c r="EH21" s="28"/>
      <c r="EJ21" s="28"/>
      <c r="EM21" s="28" t="s">
        <v>19</v>
      </c>
      <c r="EN21" s="13">
        <f t="shared" si="25"/>
        <v>7</v>
      </c>
      <c r="EP21" s="18" t="s">
        <v>19</v>
      </c>
      <c r="EQ21" s="28" t="s">
        <v>19</v>
      </c>
      <c r="ER21" s="28"/>
      <c r="ES21" s="28"/>
      <c r="ET21" s="28"/>
      <c r="EU21" s="26"/>
      <c r="EV21" s="26"/>
      <c r="EW21" s="13">
        <f t="shared" si="26"/>
        <v>7</v>
      </c>
      <c r="EY21" s="26"/>
      <c r="EZ21" s="26"/>
      <c r="FA21" s="26"/>
      <c r="FB21" s="26"/>
      <c r="FC21" s="26"/>
      <c r="FD21" s="26"/>
      <c r="FE21" s="26"/>
    </row>
    <row r="22" spans="1:162" ht="15" thickBot="1" thickTop="1">
      <c r="A22" s="13">
        <f t="shared" si="14"/>
        <v>9</v>
      </c>
      <c r="B22" s="331">
        <v>39629</v>
      </c>
      <c r="C22" s="297">
        <v>57746204</v>
      </c>
      <c r="D22" s="297">
        <v>52990507</v>
      </c>
      <c r="E22" s="341">
        <f t="shared" si="27"/>
        <v>-4755697</v>
      </c>
      <c r="G22" s="13">
        <f t="shared" si="15"/>
        <v>9</v>
      </c>
      <c r="H22" s="349" t="s">
        <v>293</v>
      </c>
      <c r="I22" s="362"/>
      <c r="J22" s="52">
        <v>40677.149047331855</v>
      </c>
      <c r="K22" s="250"/>
      <c r="L22" s="13">
        <f t="shared" si="1"/>
        <v>9</v>
      </c>
      <c r="M22" s="480" t="s">
        <v>82</v>
      </c>
      <c r="N22" s="492"/>
      <c r="O22" s="492"/>
      <c r="P22" s="493">
        <f>-P19-P21</f>
        <v>-1018401.8743053966</v>
      </c>
      <c r="Q22" s="13">
        <f aca="true" t="shared" si="32" ref="Q22:Q32">Q21+1</f>
        <v>9</v>
      </c>
      <c r="V22" s="13">
        <f t="shared" si="17"/>
        <v>9</v>
      </c>
      <c r="W22" s="3" t="s">
        <v>132</v>
      </c>
      <c r="X22" s="284">
        <v>64633838.05</v>
      </c>
      <c r="Y22" s="19" t="s">
        <v>19</v>
      </c>
      <c r="Z22" s="13">
        <f t="shared" si="2"/>
        <v>9</v>
      </c>
      <c r="AA22" s="250" t="s">
        <v>285</v>
      </c>
      <c r="AB22" s="434">
        <f>SUM(AB19:AB21)</f>
        <v>1563100.346952</v>
      </c>
      <c r="AC22" s="434">
        <f>SUM(AC19:AC21)</f>
        <v>1563100.346952</v>
      </c>
      <c r="AD22" s="434">
        <f>SUM(AD20:AD21)</f>
        <v>-4.695266397902742E-11</v>
      </c>
      <c r="AE22" s="380">
        <f t="shared" si="18"/>
        <v>9</v>
      </c>
      <c r="AF22" s="382" t="s">
        <v>267</v>
      </c>
      <c r="AG22" s="19"/>
      <c r="AH22" s="19"/>
      <c r="AI22" s="19"/>
      <c r="AJ22" s="45">
        <f>1+AJ21</f>
        <v>9</v>
      </c>
      <c r="AK22" s="3" t="s">
        <v>191</v>
      </c>
      <c r="AM22" s="463">
        <f>AN18</f>
        <v>0.002833</v>
      </c>
      <c r="AO22" s="73">
        <f t="shared" si="4"/>
        <v>10</v>
      </c>
      <c r="AP22" s="244" t="s">
        <v>309</v>
      </c>
      <c r="AQ22" s="394">
        <v>60713</v>
      </c>
      <c r="AR22" s="394">
        <v>63718</v>
      </c>
      <c r="AS22" s="225">
        <f>AR22-AQ22</f>
        <v>3005</v>
      </c>
      <c r="AX22" s="31"/>
      <c r="AY22" s="13">
        <v>9</v>
      </c>
      <c r="AZ22" s="3" t="s">
        <v>183</v>
      </c>
      <c r="BB22" s="31">
        <f>(BB16+BB20)</f>
        <v>-1066354.0315999915</v>
      </c>
      <c r="BC22" s="52"/>
      <c r="BD22" s="52"/>
      <c r="BE22" s="52"/>
      <c r="BF22" s="52"/>
      <c r="BG22" s="52"/>
      <c r="BH22" s="13"/>
      <c r="BI22" s="70"/>
      <c r="BJ22" s="70"/>
      <c r="BK22" s="2"/>
      <c r="BL22" s="191"/>
      <c r="BM22" s="45">
        <f t="shared" si="6"/>
        <v>9</v>
      </c>
      <c r="BN22" s="14"/>
      <c r="BO22" s="274"/>
      <c r="BP22" s="314"/>
      <c r="BQ22" s="247">
        <f t="shared" si="19"/>
        <v>9</v>
      </c>
      <c r="BR22" s="300" t="s">
        <v>221</v>
      </c>
      <c r="BS22" s="432">
        <f>BS18-BS20</f>
        <v>482172.39</v>
      </c>
      <c r="BT22" s="317"/>
      <c r="BY22" s="120"/>
      <c r="BZ22" s="120"/>
      <c r="CA22" s="120"/>
      <c r="CB22" s="120"/>
      <c r="CC22" s="120"/>
      <c r="CD22" s="13">
        <f t="shared" si="8"/>
        <v>9</v>
      </c>
      <c r="CE22" s="14" t="s">
        <v>54</v>
      </c>
      <c r="CF22" s="14"/>
      <c r="CG22" s="14"/>
      <c r="CH22" s="439">
        <v>27852</v>
      </c>
      <c r="CI22" s="439">
        <v>29647</v>
      </c>
      <c r="CJ22" s="56">
        <f t="shared" si="20"/>
        <v>1795</v>
      </c>
      <c r="CK22" s="13">
        <f t="shared" si="9"/>
        <v>9</v>
      </c>
      <c r="CL22" s="272" t="s">
        <v>227</v>
      </c>
      <c r="CM22" s="272"/>
      <c r="CN22" s="272"/>
      <c r="CO22" s="129">
        <f>SUM(CN20:CN21)</f>
        <v>63067.946624000004</v>
      </c>
      <c r="CP22" s="13">
        <v>9</v>
      </c>
      <c r="CR22" s="13"/>
      <c r="CS22" s="52"/>
      <c r="CT22" s="13">
        <f t="shared" si="10"/>
        <v>9</v>
      </c>
      <c r="CU22" s="214" t="s">
        <v>54</v>
      </c>
      <c r="CV22" s="52">
        <v>2570</v>
      </c>
      <c r="CW22" s="52">
        <v>1956</v>
      </c>
      <c r="CX22" s="387">
        <f t="shared" si="21"/>
        <v>-614</v>
      </c>
      <c r="CY22" s="13">
        <f t="shared" si="11"/>
        <v>9</v>
      </c>
      <c r="CZ22" s="452" t="s">
        <v>82</v>
      </c>
      <c r="DA22" s="450"/>
      <c r="DB22" s="445"/>
      <c r="DC22" s="453">
        <f>DC19-DC21</f>
        <v>311112.1</v>
      </c>
      <c r="DD22" s="13">
        <f t="shared" si="12"/>
        <v>10</v>
      </c>
      <c r="DE22" s="373" t="s">
        <v>354</v>
      </c>
      <c r="DF22" s="467"/>
      <c r="DG22" s="471">
        <v>440534.2724139923</v>
      </c>
      <c r="DH22" s="106">
        <f>DG22-DF22</f>
        <v>440534.2724139923</v>
      </c>
      <c r="DI22" s="13">
        <f t="shared" si="13"/>
        <v>9</v>
      </c>
      <c r="DJ22" s="14"/>
      <c r="DK22" s="457"/>
      <c r="DL22" s="460"/>
      <c r="DM22" s="458"/>
      <c r="DN22" s="358"/>
      <c r="DO22" s="13">
        <f t="shared" si="22"/>
        <v>8</v>
      </c>
      <c r="DP22" s="14" t="s">
        <v>4</v>
      </c>
      <c r="DQ22" s="30"/>
      <c r="DR22" s="26"/>
      <c r="DS22" s="26"/>
      <c r="DT22" s="26"/>
      <c r="DU22" s="26"/>
      <c r="DV22" s="26"/>
      <c r="DW22" s="13">
        <f t="shared" si="23"/>
        <v>8</v>
      </c>
      <c r="DX22" s="14" t="s">
        <v>4</v>
      </c>
      <c r="DY22" s="26"/>
      <c r="DZ22" s="26"/>
      <c r="EA22" s="26"/>
      <c r="EB22" s="80"/>
      <c r="EC22" s="26"/>
      <c r="EE22" s="26"/>
      <c r="EF22" s="13">
        <f t="shared" si="24"/>
        <v>8</v>
      </c>
      <c r="EG22" s="14" t="s">
        <v>4</v>
      </c>
      <c r="EH22" s="26"/>
      <c r="EJ22" s="26"/>
      <c r="EM22" s="26"/>
      <c r="EN22" s="13">
        <f t="shared" si="25"/>
        <v>8</v>
      </c>
      <c r="EO22" s="14" t="s">
        <v>4</v>
      </c>
      <c r="EP22" s="21"/>
      <c r="EQ22" s="26"/>
      <c r="ER22" s="26"/>
      <c r="ES22" s="26"/>
      <c r="ET22" s="26"/>
      <c r="EU22" s="26"/>
      <c r="EV22" s="26"/>
      <c r="EW22" s="13">
        <f t="shared" si="26"/>
        <v>8</v>
      </c>
      <c r="EX22" s="104" t="s">
        <v>4</v>
      </c>
      <c r="EY22" s="26"/>
      <c r="EZ22" s="26"/>
      <c r="FA22" s="26"/>
      <c r="FB22" s="26"/>
      <c r="FC22" s="26"/>
      <c r="FD22" s="26"/>
      <c r="FE22" s="391"/>
      <c r="FF22" s="392"/>
    </row>
    <row r="23" spans="1:162" ht="15" thickBot="1" thickTop="1">
      <c r="A23" s="13">
        <f t="shared" si="14"/>
        <v>10</v>
      </c>
      <c r="B23" s="331">
        <v>39660</v>
      </c>
      <c r="C23" s="297">
        <v>44469072</v>
      </c>
      <c r="D23" s="297">
        <v>44469072</v>
      </c>
      <c r="E23" s="341">
        <f t="shared" si="27"/>
        <v>0</v>
      </c>
      <c r="G23" s="13">
        <f t="shared" si="15"/>
        <v>10</v>
      </c>
      <c r="H23" s="371" t="s">
        <v>294</v>
      </c>
      <c r="I23" s="250"/>
      <c r="J23" s="198">
        <f>SUM(J15:J22)</f>
        <v>73523119.11005744</v>
      </c>
      <c r="K23" s="250"/>
      <c r="L23" s="13">
        <f t="shared" si="1"/>
        <v>10</v>
      </c>
      <c r="M23" s="120"/>
      <c r="N23" s="120"/>
      <c r="O23" s="120"/>
      <c r="P23" s="120"/>
      <c r="Q23" s="13">
        <f t="shared" si="32"/>
        <v>10</v>
      </c>
      <c r="R23" s="3" t="s">
        <v>91</v>
      </c>
      <c r="U23" s="122"/>
      <c r="V23" s="13">
        <f t="shared" si="17"/>
        <v>10</v>
      </c>
      <c r="W23" s="3" t="s">
        <v>241</v>
      </c>
      <c r="X23" s="302"/>
      <c r="Y23" s="19" t="s">
        <v>19</v>
      </c>
      <c r="Z23" s="13">
        <f t="shared" si="2"/>
        <v>10</v>
      </c>
      <c r="AA23" s="250"/>
      <c r="AB23" s="356"/>
      <c r="AC23" s="356"/>
      <c r="AD23" s="356"/>
      <c r="AE23" s="380">
        <f t="shared" si="18"/>
        <v>10</v>
      </c>
      <c r="AF23" s="26" t="s">
        <v>161</v>
      </c>
      <c r="AG23" s="19"/>
      <c r="AH23" s="209">
        <f>DM14</f>
        <v>0.002833</v>
      </c>
      <c r="AI23" s="23">
        <f>-$AI$20*AH23</f>
        <v>-24576.138843488476</v>
      </c>
      <c r="AJ23" s="45">
        <f t="shared" si="3"/>
        <v>10</v>
      </c>
      <c r="AK23" s="3" t="s">
        <v>192</v>
      </c>
      <c r="AM23" s="205">
        <f>AM20*AM22</f>
        <v>3447387.7705228496</v>
      </c>
      <c r="AO23" s="73">
        <f t="shared" si="4"/>
        <v>11</v>
      </c>
      <c r="AP23" s="244" t="s">
        <v>310</v>
      </c>
      <c r="AQ23" s="394">
        <v>13419246</v>
      </c>
      <c r="AR23" s="394">
        <v>14114477</v>
      </c>
      <c r="AS23" s="225">
        <f>AR23-AQ23</f>
        <v>695231</v>
      </c>
      <c r="AT23" s="26"/>
      <c r="AX23" s="393"/>
      <c r="AY23" s="13">
        <v>10</v>
      </c>
      <c r="BB23" s="3"/>
      <c r="BC23" s="317"/>
      <c r="BD23" s="56"/>
      <c r="BE23" s="56"/>
      <c r="BF23" s="56"/>
      <c r="BG23" s="56"/>
      <c r="BH23" s="13"/>
      <c r="BI23" s="2"/>
      <c r="BJ23" s="2"/>
      <c r="BK23" s="2"/>
      <c r="BL23" s="2"/>
      <c r="BM23" s="45">
        <f t="shared" si="6"/>
        <v>10</v>
      </c>
      <c r="BN23" s="14"/>
      <c r="BO23" s="245"/>
      <c r="BP23" s="273"/>
      <c r="BQ23" s="247">
        <f t="shared" si="19"/>
        <v>10</v>
      </c>
      <c r="BR23" s="55"/>
      <c r="BS23" s="16"/>
      <c r="BT23" s="27"/>
      <c r="BU23" s="27"/>
      <c r="BV23" s="27"/>
      <c r="BW23" s="27"/>
      <c r="BX23" s="189"/>
      <c r="BY23" s="317"/>
      <c r="CC23" s="3" t="s">
        <v>19</v>
      </c>
      <c r="CD23" s="13">
        <f t="shared" si="8"/>
        <v>10</v>
      </c>
      <c r="CE23" s="14" t="s">
        <v>95</v>
      </c>
      <c r="CF23" s="14"/>
      <c r="CG23" s="14"/>
      <c r="CH23" s="502">
        <v>10569517</v>
      </c>
      <c r="CI23" s="502">
        <v>11175899</v>
      </c>
      <c r="CJ23" s="65">
        <f t="shared" si="20"/>
        <v>606382</v>
      </c>
      <c r="CK23" s="13">
        <f t="shared" si="9"/>
        <v>10</v>
      </c>
      <c r="CL23" s="306"/>
      <c r="CM23" s="306"/>
      <c r="CN23" s="306"/>
      <c r="CO23" s="129"/>
      <c r="CP23" s="13">
        <v>10</v>
      </c>
      <c r="CQ23" s="14" t="s">
        <v>75</v>
      </c>
      <c r="CR23" s="17">
        <f>_FEDERAL_INCOME_TAX</f>
        <v>0.35</v>
      </c>
      <c r="CS23" s="56">
        <f>-CS21*CR23</f>
        <v>-293019.99912232725</v>
      </c>
      <c r="CT23" s="13">
        <f t="shared" si="10"/>
        <v>10</v>
      </c>
      <c r="CU23" s="214" t="s">
        <v>95</v>
      </c>
      <c r="CV23" s="53">
        <v>945752</v>
      </c>
      <c r="CW23" s="53">
        <v>713396</v>
      </c>
      <c r="CX23" s="506">
        <f t="shared" si="21"/>
        <v>-232356</v>
      </c>
      <c r="CY23" s="13"/>
      <c r="DD23" s="13">
        <f t="shared" si="12"/>
        <v>11</v>
      </c>
      <c r="DE23" s="373" t="s">
        <v>67</v>
      </c>
      <c r="DF23" s="472">
        <f>SUM(DF21:DF22)</f>
        <v>1512141.171696</v>
      </c>
      <c r="DG23" s="472">
        <f>SUM(DG21:DG22)</f>
        <v>440534.2724139923</v>
      </c>
      <c r="DH23" s="472">
        <f>SUM(DH21:DH22)</f>
        <v>-1071606.8992820077</v>
      </c>
      <c r="DI23" s="13">
        <f t="shared" si="13"/>
        <v>10</v>
      </c>
      <c r="DJ23" s="14" t="s">
        <v>23</v>
      </c>
      <c r="DK23" s="457"/>
      <c r="DL23" s="460"/>
      <c r="DM23" s="459">
        <f>DM20-DM21</f>
        <v>0.621891</v>
      </c>
      <c r="DN23" s="358"/>
      <c r="DO23" s="13">
        <f t="shared" si="22"/>
        <v>9</v>
      </c>
      <c r="DW23" s="13">
        <f t="shared" si="23"/>
        <v>9</v>
      </c>
      <c r="EF23" s="13">
        <f t="shared" si="24"/>
        <v>9</v>
      </c>
      <c r="EN23" s="13">
        <f t="shared" si="25"/>
        <v>9</v>
      </c>
      <c r="EP23" s="2"/>
      <c r="EU23" s="26"/>
      <c r="EV23" s="26"/>
      <c r="EW23" s="13">
        <f t="shared" si="26"/>
        <v>9</v>
      </c>
      <c r="EY23" s="26"/>
      <c r="EZ23" s="26"/>
      <c r="FA23" s="26"/>
      <c r="FB23" s="26" t="s">
        <v>19</v>
      </c>
      <c r="FC23" s="26"/>
      <c r="FD23" s="26"/>
      <c r="FE23" s="70"/>
      <c r="FF23" s="192"/>
    </row>
    <row r="24" spans="1:162" ht="14.25" customHeight="1" thickTop="1">
      <c r="A24" s="13">
        <f t="shared" si="14"/>
        <v>11</v>
      </c>
      <c r="B24" s="331">
        <v>39691</v>
      </c>
      <c r="C24" s="297">
        <v>44755273</v>
      </c>
      <c r="D24" s="297">
        <v>44755273</v>
      </c>
      <c r="E24" s="341">
        <f t="shared" si="27"/>
        <v>0</v>
      </c>
      <c r="G24" s="13">
        <f t="shared" si="15"/>
        <v>11</v>
      </c>
      <c r="H24" s="250"/>
      <c r="I24" s="250"/>
      <c r="J24" s="301"/>
      <c r="K24" s="250"/>
      <c r="L24" s="13">
        <f t="shared" si="1"/>
        <v>11</v>
      </c>
      <c r="M24" s="476" t="s">
        <v>114</v>
      </c>
      <c r="Q24" s="13">
        <f t="shared" si="32"/>
        <v>11</v>
      </c>
      <c r="R24" s="14" t="s">
        <v>94</v>
      </c>
      <c r="S24" s="19"/>
      <c r="T24" s="80"/>
      <c r="U24" s="30">
        <v>-21984883.84</v>
      </c>
      <c r="V24" s="13">
        <f t="shared" si="17"/>
        <v>11</v>
      </c>
      <c r="W24" s="3" t="s">
        <v>133</v>
      </c>
      <c r="X24" s="278"/>
      <c r="Y24" s="19" t="s">
        <v>19</v>
      </c>
      <c r="Z24" s="13">
        <f t="shared" si="2"/>
        <v>11</v>
      </c>
      <c r="AA24" s="250" t="s">
        <v>286</v>
      </c>
      <c r="AB24" s="357">
        <f>AB18+AB22</f>
        <v>82190938.45786203</v>
      </c>
      <c r="AC24" s="357">
        <f>AC18+AC22</f>
        <v>88409287.10025</v>
      </c>
      <c r="AD24" s="357">
        <f>AD18+AD22</f>
        <v>6218348.64238798</v>
      </c>
      <c r="AE24" s="380">
        <f t="shared" si="18"/>
        <v>11</v>
      </c>
      <c r="AF24" s="19" t="s">
        <v>315</v>
      </c>
      <c r="AG24" s="19"/>
      <c r="AH24" s="209">
        <f>DM15</f>
        <v>0.002</v>
      </c>
      <c r="AI24" s="23">
        <f>-$AI$20*AH24</f>
        <v>-17349.903878212834</v>
      </c>
      <c r="AJ24" s="45">
        <f t="shared" si="3"/>
        <v>11</v>
      </c>
      <c r="AO24" s="73">
        <f t="shared" si="4"/>
        <v>12</v>
      </c>
      <c r="AP24" s="3" t="s">
        <v>345</v>
      </c>
      <c r="AQ24" s="394">
        <v>-1300.915524</v>
      </c>
      <c r="AR24" s="394">
        <v>0</v>
      </c>
      <c r="AS24" s="225">
        <f>AR24-AQ24</f>
        <v>1300.915524</v>
      </c>
      <c r="AT24" s="21"/>
      <c r="AY24" s="13">
        <v>11</v>
      </c>
      <c r="AZ24" s="3" t="s">
        <v>88</v>
      </c>
      <c r="BA24" s="126">
        <f>_FEDERAL_INCOME_TAX</f>
        <v>0.35</v>
      </c>
      <c r="BB24" s="127">
        <f>-BB22*BA24</f>
        <v>373223.911059997</v>
      </c>
      <c r="BC24" s="52"/>
      <c r="BD24" s="52"/>
      <c r="BE24" s="52"/>
      <c r="BF24" s="52"/>
      <c r="BG24" s="52"/>
      <c r="BH24" s="13"/>
      <c r="BI24" s="55"/>
      <c r="BJ24" s="55"/>
      <c r="BK24" s="55"/>
      <c r="BL24" s="55"/>
      <c r="BM24" s="45">
        <f t="shared" si="6"/>
        <v>11</v>
      </c>
      <c r="BN24" s="14" t="s">
        <v>213</v>
      </c>
      <c r="BO24" s="245"/>
      <c r="BP24" s="268">
        <f>+BP21</f>
        <v>-236859</v>
      </c>
      <c r="BQ24" s="247">
        <f t="shared" si="19"/>
        <v>11</v>
      </c>
      <c r="BR24" s="3" t="s">
        <v>220</v>
      </c>
      <c r="BS24" s="229">
        <f>-BS22*_FEDERAL_INCOME_TAX</f>
        <v>-168760.3365</v>
      </c>
      <c r="BT24" s="21"/>
      <c r="BU24" s="21"/>
      <c r="BV24" s="21"/>
      <c r="BW24" s="21"/>
      <c r="BX24" s="21"/>
      <c r="BY24" s="27"/>
      <c r="BZ24" s="27"/>
      <c r="CA24" s="27"/>
      <c r="CB24" s="27"/>
      <c r="CC24" s="189" t="s">
        <v>19</v>
      </c>
      <c r="CD24" s="13">
        <f t="shared" si="8"/>
        <v>11</v>
      </c>
      <c r="CE24" s="14" t="s">
        <v>97</v>
      </c>
      <c r="CF24" s="14"/>
      <c r="CG24" s="14"/>
      <c r="CH24" s="56">
        <f>SUM(CH14:CH23)</f>
        <v>41034090</v>
      </c>
      <c r="CI24" s="56">
        <f>SUM(CI14:CI23)</f>
        <v>43772423</v>
      </c>
      <c r="CJ24" s="56">
        <f>SUM(CJ14:CJ23)</f>
        <v>2738333</v>
      </c>
      <c r="CK24" s="13">
        <f t="shared" si="9"/>
        <v>11</v>
      </c>
      <c r="CL24" s="259" t="s">
        <v>224</v>
      </c>
      <c r="CM24" s="86"/>
      <c r="CN24" s="86"/>
      <c r="CO24" s="129"/>
      <c r="CP24" s="13">
        <v>11</v>
      </c>
      <c r="CS24" s="52"/>
      <c r="CT24" s="13">
        <f t="shared" si="10"/>
        <v>11</v>
      </c>
      <c r="CU24" s="3" t="s">
        <v>233</v>
      </c>
      <c r="CV24" s="31">
        <f>SUM(CV15:CV23)</f>
        <v>3671396</v>
      </c>
      <c r="CW24" s="31">
        <f>SUM(CW15:CW23)</f>
        <v>2794345</v>
      </c>
      <c r="CX24" s="387">
        <f>SUM(CX15:CX23)</f>
        <v>-877051</v>
      </c>
      <c r="CY24" s="13"/>
      <c r="DD24" s="13">
        <f t="shared" si="12"/>
        <v>12</v>
      </c>
      <c r="DE24" s="373"/>
      <c r="DF24" s="466"/>
      <c r="DG24" s="466"/>
      <c r="DH24" s="466"/>
      <c r="DI24" s="13"/>
      <c r="DN24" s="360"/>
      <c r="DO24" s="13">
        <f t="shared" si="22"/>
        <v>10</v>
      </c>
      <c r="DP24" s="14" t="s">
        <v>176</v>
      </c>
      <c r="DQ24" s="9"/>
      <c r="DR24" s="30"/>
      <c r="DS24" s="30"/>
      <c r="DT24" s="30"/>
      <c r="DU24" s="30"/>
      <c r="DV24" s="30"/>
      <c r="DW24" s="13">
        <f t="shared" si="23"/>
        <v>10</v>
      </c>
      <c r="DX24" s="14" t="s">
        <v>176</v>
      </c>
      <c r="DY24" s="30"/>
      <c r="DZ24" s="26"/>
      <c r="EA24" s="30"/>
      <c r="EB24" s="80"/>
      <c r="EC24" s="26"/>
      <c r="EE24" s="26"/>
      <c r="EF24" s="13">
        <f t="shared" si="24"/>
        <v>10</v>
      </c>
      <c r="EG24" s="14" t="s">
        <v>176</v>
      </c>
      <c r="EH24" s="26"/>
      <c r="EJ24" s="26"/>
      <c r="EM24" s="26"/>
      <c r="EN24" s="13">
        <f t="shared" si="25"/>
        <v>10</v>
      </c>
      <c r="EO24" s="14" t="s">
        <v>176</v>
      </c>
      <c r="EP24" s="21"/>
      <c r="EQ24" s="26"/>
      <c r="ER24" s="26"/>
      <c r="ES24" s="26"/>
      <c r="ET24" s="26"/>
      <c r="EU24" s="26"/>
      <c r="EV24" s="26"/>
      <c r="EW24" s="13">
        <f t="shared" si="26"/>
        <v>10</v>
      </c>
      <c r="EX24" s="14" t="s">
        <v>176</v>
      </c>
      <c r="EY24" s="26"/>
      <c r="EZ24" s="26"/>
      <c r="FA24" s="26"/>
      <c r="FB24" s="26" t="s">
        <v>19</v>
      </c>
      <c r="FC24" s="26"/>
      <c r="FD24" s="26"/>
      <c r="FE24" s="70"/>
      <c r="FF24" s="192"/>
    </row>
    <row r="25" spans="1:162" ht="14.25" customHeight="1" thickBot="1">
      <c r="A25" s="13">
        <f t="shared" si="14"/>
        <v>12</v>
      </c>
      <c r="B25" s="331">
        <v>39721</v>
      </c>
      <c r="C25" s="297">
        <v>52251636</v>
      </c>
      <c r="D25" s="297">
        <v>52894735</v>
      </c>
      <c r="E25" s="341">
        <f t="shared" si="27"/>
        <v>643099</v>
      </c>
      <c r="G25" s="13">
        <f t="shared" si="15"/>
        <v>12</v>
      </c>
      <c r="H25" s="250" t="s">
        <v>295</v>
      </c>
      <c r="I25" s="250"/>
      <c r="J25" s="250"/>
      <c r="K25" s="55">
        <f>J23</f>
        <v>73523119.11005744</v>
      </c>
      <c r="L25" s="13">
        <f t="shared" si="1"/>
        <v>12</v>
      </c>
      <c r="M25" s="476" t="s">
        <v>365</v>
      </c>
      <c r="N25" s="494"/>
      <c r="O25" s="494"/>
      <c r="P25" s="494"/>
      <c r="Q25" s="13">
        <f t="shared" si="32"/>
        <v>12</v>
      </c>
      <c r="R25" s="14" t="s">
        <v>76</v>
      </c>
      <c r="S25" s="19"/>
      <c r="T25" s="80"/>
      <c r="U25" s="10">
        <v>54835443.5792</v>
      </c>
      <c r="V25" s="13">
        <f t="shared" si="17"/>
        <v>12</v>
      </c>
      <c r="W25" s="3" t="s">
        <v>134</v>
      </c>
      <c r="X25" s="285">
        <v>1199626.89</v>
      </c>
      <c r="Y25" s="19" t="s">
        <v>19</v>
      </c>
      <c r="Z25" s="13">
        <f t="shared" si="2"/>
        <v>12</v>
      </c>
      <c r="AA25" s="250"/>
      <c r="AB25" s="356"/>
      <c r="AC25" s="356"/>
      <c r="AD25" s="356"/>
      <c r="AE25" s="380">
        <f t="shared" si="18"/>
        <v>12</v>
      </c>
      <c r="AF25" s="19" t="s">
        <v>316</v>
      </c>
      <c r="AG25" s="19"/>
      <c r="AH25" s="209">
        <f>DM16</f>
        <v>0.038411</v>
      </c>
      <c r="AI25" s="23">
        <f>-$AI$20*AH25</f>
        <v>-333213.5789330166</v>
      </c>
      <c r="AJ25" s="45">
        <f t="shared" si="3"/>
        <v>12</v>
      </c>
      <c r="AK25" s="14" t="s">
        <v>193</v>
      </c>
      <c r="AM25" s="229">
        <v>4146730</v>
      </c>
      <c r="AO25" s="73">
        <f t="shared" si="4"/>
        <v>13</v>
      </c>
      <c r="AP25" s="3" t="s">
        <v>346</v>
      </c>
      <c r="AQ25" s="394">
        <v>106062.14631000001</v>
      </c>
      <c r="AR25" s="394">
        <v>277205</v>
      </c>
      <c r="AS25" s="225">
        <f>AR25-AQ25</f>
        <v>171142.85369</v>
      </c>
      <c r="AT25" s="21"/>
      <c r="AY25" s="13">
        <v>12</v>
      </c>
      <c r="AZ25" s="3" t="s">
        <v>79</v>
      </c>
      <c r="BB25" s="316">
        <f>-BB22-BB24</f>
        <v>693130.1205399944</v>
      </c>
      <c r="BC25" s="55"/>
      <c r="BD25" s="55"/>
      <c r="BE25" s="55"/>
      <c r="BF25" s="55"/>
      <c r="BG25" s="55"/>
      <c r="BH25" s="13"/>
      <c r="BI25" s="2"/>
      <c r="BJ25" s="2"/>
      <c r="BK25" s="2"/>
      <c r="BL25" s="2"/>
      <c r="BM25" s="45">
        <f t="shared" si="6"/>
        <v>12</v>
      </c>
      <c r="BN25" s="270"/>
      <c r="BO25" s="245"/>
      <c r="BP25" s="275"/>
      <c r="BQ25" s="247">
        <f t="shared" si="19"/>
        <v>12</v>
      </c>
      <c r="BS25" s="301"/>
      <c r="BT25" s="120"/>
      <c r="BU25" s="120"/>
      <c r="BV25" s="120"/>
      <c r="BW25" s="120"/>
      <c r="BX25" s="120"/>
      <c r="BY25" s="21"/>
      <c r="BZ25" s="21"/>
      <c r="CA25" s="27"/>
      <c r="CB25" s="27"/>
      <c r="CC25" s="189" t="s">
        <v>19</v>
      </c>
      <c r="CD25" s="13">
        <f>CD24+1</f>
        <v>12</v>
      </c>
      <c r="CH25" s="56"/>
      <c r="CI25" s="56"/>
      <c r="CJ25" s="56"/>
      <c r="CK25" s="13">
        <f t="shared" si="9"/>
        <v>12</v>
      </c>
      <c r="CL25" s="244" t="s">
        <v>225</v>
      </c>
      <c r="CM25" s="305"/>
      <c r="CN25" s="122">
        <v>608252.8216</v>
      </c>
      <c r="CO25" s="2"/>
      <c r="CP25" s="13">
        <v>12</v>
      </c>
      <c r="CQ25" s="14" t="s">
        <v>79</v>
      </c>
      <c r="CS25" s="316">
        <f>-CS21-CS23</f>
        <v>-544179.9983700365</v>
      </c>
      <c r="CT25" s="13">
        <f t="shared" si="10"/>
        <v>12</v>
      </c>
      <c r="CU25" s="52"/>
      <c r="CY25" s="13"/>
      <c r="DD25" s="13">
        <f t="shared" si="12"/>
        <v>13</v>
      </c>
      <c r="DE25" s="373" t="s">
        <v>67</v>
      </c>
      <c r="DF25" s="10">
        <f>DF23</f>
        <v>1512141.171696</v>
      </c>
      <c r="DG25" s="10">
        <f>DG23</f>
        <v>440534.2724139923</v>
      </c>
      <c r="DH25" s="10">
        <f>DH23</f>
        <v>-1071606.8992820077</v>
      </c>
      <c r="DI25" s="13"/>
      <c r="DN25" s="358"/>
      <c r="DO25" s="13">
        <f>+DO24+1</f>
        <v>11</v>
      </c>
      <c r="DP25" s="14"/>
      <c r="DQ25" s="128"/>
      <c r="DR25" s="68"/>
      <c r="DS25" s="68"/>
      <c r="DT25" s="68"/>
      <c r="DU25" s="68"/>
      <c r="DV25" s="68"/>
      <c r="DW25" s="13">
        <f>+DW24+1</f>
        <v>11</v>
      </c>
      <c r="DX25" s="14"/>
      <c r="DY25" s="68"/>
      <c r="DZ25" s="68"/>
      <c r="EA25" s="68"/>
      <c r="EB25" s="68"/>
      <c r="EC25" s="68"/>
      <c r="ED25" s="31"/>
      <c r="EE25" s="68"/>
      <c r="EF25" s="13">
        <f>+EF24+1</f>
        <v>11</v>
      </c>
      <c r="EG25" s="14"/>
      <c r="EH25" s="68"/>
      <c r="EI25" s="31"/>
      <c r="EJ25" s="68"/>
      <c r="EK25" s="31"/>
      <c r="EL25" s="31"/>
      <c r="EM25" s="68"/>
      <c r="EN25" s="13">
        <f t="shared" si="25"/>
        <v>11</v>
      </c>
      <c r="EO25" s="14"/>
      <c r="EP25" s="55"/>
      <c r="EQ25" s="68"/>
      <c r="ER25" s="68"/>
      <c r="ES25" s="68"/>
      <c r="ET25" s="68"/>
      <c r="EU25" s="31"/>
      <c r="EV25" s="31"/>
      <c r="EW25" s="13">
        <f>+EW24+1</f>
        <v>11</v>
      </c>
      <c r="EX25" s="14"/>
      <c r="EY25" s="68"/>
      <c r="EZ25" s="68"/>
      <c r="FA25" s="96"/>
      <c r="FB25" s="96"/>
      <c r="FC25" s="96"/>
      <c r="FD25" s="96"/>
      <c r="FE25" s="325"/>
      <c r="FF25" s="2"/>
    </row>
    <row r="26" spans="1:161" ht="14.25" thickBot="1" thickTop="1">
      <c r="A26" s="13">
        <f t="shared" si="14"/>
        <v>13</v>
      </c>
      <c r="B26" s="331">
        <v>39752</v>
      </c>
      <c r="C26" s="297">
        <v>82272893</v>
      </c>
      <c r="D26" s="332">
        <v>79217192</v>
      </c>
      <c r="E26" s="341">
        <f t="shared" si="27"/>
        <v>-3055701</v>
      </c>
      <c r="G26" s="13">
        <f t="shared" si="15"/>
        <v>13</v>
      </c>
      <c r="H26" s="250"/>
      <c r="I26" s="250"/>
      <c r="J26" s="340"/>
      <c r="K26" s="250"/>
      <c r="L26" s="13">
        <f t="shared" si="1"/>
        <v>13</v>
      </c>
      <c r="M26" s="477" t="s">
        <v>366</v>
      </c>
      <c r="N26" s="495">
        <v>1822432.9166666667</v>
      </c>
      <c r="O26" s="466">
        <v>3133543.748610794</v>
      </c>
      <c r="P26" s="466">
        <f>O26-N26</f>
        <v>1311110.8319441273</v>
      </c>
      <c r="Q26" s="13">
        <f t="shared" si="32"/>
        <v>13</v>
      </c>
      <c r="R26" s="3" t="s">
        <v>80</v>
      </c>
      <c r="S26" s="19"/>
      <c r="T26" s="80"/>
      <c r="U26" s="10">
        <v>-10319882.6598</v>
      </c>
      <c r="V26" s="13">
        <f t="shared" si="17"/>
        <v>13</v>
      </c>
      <c r="W26" s="3" t="s">
        <v>277</v>
      </c>
      <c r="X26" s="285">
        <v>288111.1</v>
      </c>
      <c r="Y26" s="19"/>
      <c r="Z26" s="13">
        <f t="shared" si="2"/>
        <v>13</v>
      </c>
      <c r="AA26" s="250" t="s">
        <v>287</v>
      </c>
      <c r="AB26" s="354">
        <v>403916.76999999996</v>
      </c>
      <c r="AC26" s="354">
        <v>404886.687934</v>
      </c>
      <c r="AD26" s="353">
        <f>AC26-AB26</f>
        <v>969.9179340000264</v>
      </c>
      <c r="AE26" s="380">
        <f t="shared" si="18"/>
        <v>13</v>
      </c>
      <c r="AF26" s="19" t="s">
        <v>213</v>
      </c>
      <c r="AG26" s="19"/>
      <c r="AH26" s="403">
        <v>0.04369177894836</v>
      </c>
      <c r="AI26" s="437">
        <f>SUM(AI23:AI25)</f>
        <v>-375139.6216547179</v>
      </c>
      <c r="AJ26" s="45">
        <f>1+AJ25</f>
        <v>13</v>
      </c>
      <c r="AK26" s="124" t="s">
        <v>67</v>
      </c>
      <c r="AN26" s="31">
        <f>ROUND(AM23-AM25,0)</f>
        <v>-699342</v>
      </c>
      <c r="AO26" s="73">
        <f t="shared" si="4"/>
        <v>14</v>
      </c>
      <c r="AP26" s="384" t="s">
        <v>326</v>
      </c>
      <c r="AX26" s="76"/>
      <c r="BB26" s="3"/>
      <c r="BH26" s="13"/>
      <c r="BI26" s="2"/>
      <c r="BJ26" s="2"/>
      <c r="BK26" s="191"/>
      <c r="BL26" s="2"/>
      <c r="BM26" s="45">
        <f t="shared" si="6"/>
        <v>13</v>
      </c>
      <c r="BN26" s="270" t="s">
        <v>75</v>
      </c>
      <c r="BO26" s="276">
        <f>_FEDERAL_INCOME_TAX</f>
        <v>0.35</v>
      </c>
      <c r="BP26" s="394">
        <f>-BP24*BO26</f>
        <v>82900.65</v>
      </c>
      <c r="BQ26" s="247">
        <f t="shared" si="19"/>
        <v>13</v>
      </c>
      <c r="BR26" s="3" t="s">
        <v>82</v>
      </c>
      <c r="BS26" s="433">
        <f>-BS22-BS24</f>
        <v>-313412.05350000004</v>
      </c>
      <c r="BT26" s="16"/>
      <c r="BU26" s="16"/>
      <c r="BV26" s="16"/>
      <c r="BW26" s="16"/>
      <c r="BX26" s="16"/>
      <c r="BY26" s="120"/>
      <c r="BZ26" s="120"/>
      <c r="CA26" s="27"/>
      <c r="CB26" s="27"/>
      <c r="CC26" s="189" t="s">
        <v>19</v>
      </c>
      <c r="CD26" s="13">
        <f t="shared" si="8"/>
        <v>13</v>
      </c>
      <c r="CE26" s="14" t="s">
        <v>182</v>
      </c>
      <c r="CF26" s="14"/>
      <c r="CG26" s="14"/>
      <c r="CH26" s="440">
        <v>3528067.9387345924</v>
      </c>
      <c r="CI26" s="440">
        <v>3710080.9387345924</v>
      </c>
      <c r="CJ26" s="65">
        <f>CI26-CH26</f>
        <v>182013</v>
      </c>
      <c r="CK26" s="13">
        <f t="shared" si="9"/>
        <v>13</v>
      </c>
      <c r="CL26" s="306" t="s">
        <v>226</v>
      </c>
      <c r="CM26" s="283">
        <v>0.0801</v>
      </c>
      <c r="CN26" s="125">
        <f>+CN25*CM26</f>
        <v>48721.05101016</v>
      </c>
      <c r="CO26" s="2"/>
      <c r="CT26" s="13">
        <f t="shared" si="10"/>
        <v>13</v>
      </c>
      <c r="CU26" s="104" t="s">
        <v>74</v>
      </c>
      <c r="CV26" s="52">
        <v>294328</v>
      </c>
      <c r="CW26" s="52">
        <v>224017</v>
      </c>
      <c r="CX26" s="242">
        <f>CW26-CV26</f>
        <v>-70311</v>
      </c>
      <c r="CY26" s="13"/>
      <c r="DD26" s="13">
        <f>+DD25+1</f>
        <v>14</v>
      </c>
      <c r="DE26" s="373"/>
      <c r="DF26" s="10"/>
      <c r="DG26" s="10"/>
      <c r="DH26" s="10"/>
      <c r="DI26" s="13"/>
      <c r="DN26" s="358"/>
      <c r="DO26" s="13">
        <f t="shared" si="22"/>
        <v>12</v>
      </c>
      <c r="DP26" s="14" t="s">
        <v>177</v>
      </c>
      <c r="DQ26" s="9">
        <v>737851057.96</v>
      </c>
      <c r="DR26" s="30">
        <f>E44</f>
        <v>-39777834.48509979</v>
      </c>
      <c r="DS26" s="30">
        <f>J48</f>
        <v>37593107.38727486</v>
      </c>
      <c r="DT26" s="30"/>
      <c r="DU26" s="30">
        <v>0</v>
      </c>
      <c r="DV26" s="30">
        <v>0</v>
      </c>
      <c r="DW26" s="13">
        <f t="shared" si="23"/>
        <v>12</v>
      </c>
      <c r="DX26" s="14" t="s">
        <v>177</v>
      </c>
      <c r="DY26" s="30">
        <v>0</v>
      </c>
      <c r="DZ26" s="30">
        <f>AI31</f>
        <v>50560390</v>
      </c>
      <c r="EA26" s="30">
        <v>0</v>
      </c>
      <c r="EB26" s="30">
        <v>0</v>
      </c>
      <c r="EC26" s="30">
        <v>0</v>
      </c>
      <c r="ED26" s="31">
        <v>0</v>
      </c>
      <c r="EE26" s="30"/>
      <c r="EF26" s="13">
        <f t="shared" si="24"/>
        <v>12</v>
      </c>
      <c r="EG26" s="14" t="s">
        <v>177</v>
      </c>
      <c r="EH26" s="30">
        <v>0</v>
      </c>
      <c r="EI26" s="31">
        <v>0</v>
      </c>
      <c r="EJ26" s="30"/>
      <c r="EK26" s="31">
        <v>0</v>
      </c>
      <c r="EL26" s="31">
        <v>0</v>
      </c>
      <c r="EM26" s="30">
        <v>0</v>
      </c>
      <c r="EN26" s="13">
        <f t="shared" si="25"/>
        <v>12</v>
      </c>
      <c r="EO26" s="14" t="s">
        <v>177</v>
      </c>
      <c r="EP26" s="55">
        <v>0</v>
      </c>
      <c r="EQ26" s="30">
        <v>0</v>
      </c>
      <c r="ER26" s="30">
        <v>0</v>
      </c>
      <c r="ES26" s="30">
        <v>0</v>
      </c>
      <c r="ET26" s="30"/>
      <c r="EU26" s="31">
        <f>SUM(DR26:ET26)-EF26-DW26-EN26</f>
        <v>48375662.90217507</v>
      </c>
      <c r="EV26" s="31">
        <f>DQ26+EU26</f>
        <v>786226720.8621751</v>
      </c>
      <c r="EW26" s="13">
        <f t="shared" si="26"/>
        <v>12</v>
      </c>
      <c r="EX26" s="14" t="s">
        <v>177</v>
      </c>
      <c r="EY26" s="30">
        <f>DQ26</f>
        <v>737851057.96</v>
      </c>
      <c r="EZ26" s="30">
        <f>EU26</f>
        <v>48375662.90217507</v>
      </c>
      <c r="FA26" s="93">
        <f>+EY26+EZ26</f>
        <v>786226720.8621751</v>
      </c>
      <c r="FB26" s="93">
        <v>0</v>
      </c>
      <c r="FC26" s="93">
        <f>+FA26+FB26</f>
        <v>786226720.8621751</v>
      </c>
      <c r="FD26" s="93"/>
      <c r="FE26" s="94"/>
    </row>
    <row r="27" spans="1:161" ht="15" thickBot="1" thickTop="1">
      <c r="A27" s="13">
        <f>+A26+1</f>
        <v>14</v>
      </c>
      <c r="B27" s="331">
        <v>39782</v>
      </c>
      <c r="C27" s="297">
        <v>104695969</v>
      </c>
      <c r="D27" s="332">
        <v>121277545</v>
      </c>
      <c r="E27" s="341">
        <f t="shared" si="27"/>
        <v>16581576</v>
      </c>
      <c r="G27" s="13">
        <f t="shared" si="15"/>
        <v>14</v>
      </c>
      <c r="H27" s="244" t="s">
        <v>2</v>
      </c>
      <c r="I27" s="250"/>
      <c r="J27" s="299"/>
      <c r="K27" s="250"/>
      <c r="L27" s="13">
        <f t="shared" si="1"/>
        <v>14</v>
      </c>
      <c r="M27" s="477" t="s">
        <v>367</v>
      </c>
      <c r="N27" s="496"/>
      <c r="O27" s="66">
        <v>-783385.9371526984</v>
      </c>
      <c r="P27" s="466">
        <f>O27-N27</f>
        <v>-783385.9371526984</v>
      </c>
      <c r="Q27" s="13">
        <f>Q26+1</f>
        <v>14</v>
      </c>
      <c r="R27" s="3" t="s">
        <v>83</v>
      </c>
      <c r="S27" s="19"/>
      <c r="T27" s="19"/>
      <c r="U27" s="106">
        <v>-637077</v>
      </c>
      <c r="V27" s="13">
        <f>+V26+1</f>
        <v>14</v>
      </c>
      <c r="W27" s="3" t="s">
        <v>135</v>
      </c>
      <c r="X27" s="302">
        <v>7623489.26</v>
      </c>
      <c r="Y27" s="19" t="s">
        <v>19</v>
      </c>
      <c r="Z27" s="13">
        <f>Z26+1</f>
        <v>14</v>
      </c>
      <c r="AA27" s="250" t="s">
        <v>288</v>
      </c>
      <c r="AB27" s="357">
        <v>969.917934</v>
      </c>
      <c r="AC27" s="357">
        <v>0</v>
      </c>
      <c r="AD27" s="357">
        <f>AC27-AB27</f>
        <v>-969.917934</v>
      </c>
      <c r="AE27" s="380">
        <f>AE26+1</f>
        <v>14</v>
      </c>
      <c r="AF27" s="19"/>
      <c r="AG27" s="19"/>
      <c r="AH27" s="19"/>
      <c r="AI27" s="19"/>
      <c r="AJ27" s="45">
        <f>1+AJ26</f>
        <v>14</v>
      </c>
      <c r="AK27" s="208"/>
      <c r="AO27" s="73">
        <f t="shared" si="4"/>
        <v>15</v>
      </c>
      <c r="AP27" s="384" t="s">
        <v>327</v>
      </c>
      <c r="AQ27" s="394">
        <v>888288.5116280001</v>
      </c>
      <c r="AR27" s="394">
        <v>1233184</v>
      </c>
      <c r="AS27" s="394">
        <f>AR27-AQ27</f>
        <v>344895.48837199993</v>
      </c>
      <c r="AY27" s="317"/>
      <c r="BB27" s="3"/>
      <c r="BH27" s="13"/>
      <c r="BI27" s="2"/>
      <c r="BJ27" s="2"/>
      <c r="BK27" s="66"/>
      <c r="BL27" s="2"/>
      <c r="BM27" s="45">
        <f t="shared" si="6"/>
        <v>14</v>
      </c>
      <c r="BN27" s="270" t="s">
        <v>79</v>
      </c>
      <c r="BO27" s="245"/>
      <c r="BP27" s="323">
        <f>-BP24-BP26</f>
        <v>153958.35</v>
      </c>
      <c r="BQ27" s="230"/>
      <c r="BR27" s="230"/>
      <c r="BS27" s="230"/>
      <c r="BT27" s="16"/>
      <c r="BU27" s="16"/>
      <c r="BV27" s="16"/>
      <c r="BW27" s="16"/>
      <c r="BX27" s="199"/>
      <c r="BY27" s="16"/>
      <c r="BZ27" s="16"/>
      <c r="CA27" s="27"/>
      <c r="CB27" s="27"/>
      <c r="CC27" s="189" t="s">
        <v>19</v>
      </c>
      <c r="CD27" s="13">
        <f>CD26+1</f>
        <v>14</v>
      </c>
      <c r="CE27" s="14" t="s">
        <v>123</v>
      </c>
      <c r="CF27" s="14"/>
      <c r="CG27" s="14"/>
      <c r="CH27" s="103">
        <f>+CH26+CH24</f>
        <v>44562157.93873459</v>
      </c>
      <c r="CI27" s="103">
        <f>+CI26+CI24</f>
        <v>47482503.93873459</v>
      </c>
      <c r="CJ27" s="103">
        <f>CI27-CH27</f>
        <v>2920346</v>
      </c>
      <c r="CK27" s="13">
        <f t="shared" si="9"/>
        <v>14</v>
      </c>
      <c r="CL27" s="272" t="s">
        <v>227</v>
      </c>
      <c r="CM27" s="272"/>
      <c r="CN27" s="272"/>
      <c r="CO27" s="129">
        <f>SUM(CN25:CN26)</f>
        <v>656973.87261016</v>
      </c>
      <c r="CP27" s="317"/>
      <c r="CT27" s="13">
        <f>CT26+1</f>
        <v>14</v>
      </c>
      <c r="CU27" s="3" t="s">
        <v>68</v>
      </c>
      <c r="CV27" s="243">
        <f>SUM(CV24:CV26)</f>
        <v>3965724</v>
      </c>
      <c r="CW27" s="243">
        <f>SUM(CW24:CW26)</f>
        <v>3018362</v>
      </c>
      <c r="CX27" s="243">
        <f>SUM(CX24:CX26)</f>
        <v>-947362</v>
      </c>
      <c r="CY27" s="13"/>
      <c r="DD27" s="13">
        <f t="shared" si="12"/>
        <v>15</v>
      </c>
      <c r="DG27" s="69">
        <v>0.35</v>
      </c>
      <c r="DI27" s="13"/>
      <c r="DJ27" s="87"/>
      <c r="DK27" s="457"/>
      <c r="DL27" s="457"/>
      <c r="DM27" s="457"/>
      <c r="DN27" s="358"/>
      <c r="DO27" s="13">
        <f>+DO26+1</f>
        <v>13</v>
      </c>
      <c r="DP27" s="14"/>
      <c r="DQ27" s="56"/>
      <c r="DR27" s="52"/>
      <c r="DS27" s="52"/>
      <c r="DT27" s="52"/>
      <c r="DU27" s="52"/>
      <c r="DV27" s="52"/>
      <c r="DW27" s="13">
        <f>+DW26+1</f>
        <v>13</v>
      </c>
      <c r="DX27" s="14"/>
      <c r="DY27" s="52"/>
      <c r="DZ27" s="53"/>
      <c r="EA27" s="52"/>
      <c r="EB27" s="56"/>
      <c r="EC27" s="52"/>
      <c r="ED27" s="53"/>
      <c r="EE27" s="53"/>
      <c r="EF27" s="13">
        <f>+EF26+1</f>
        <v>13</v>
      </c>
      <c r="EG27" s="14"/>
      <c r="EH27" s="53"/>
      <c r="EI27" s="53"/>
      <c r="EJ27" s="53"/>
      <c r="EK27" s="53"/>
      <c r="EL27" s="53"/>
      <c r="EM27" s="53"/>
      <c r="EN27" s="13">
        <f>+EN26+1</f>
        <v>13</v>
      </c>
      <c r="EO27" s="14"/>
      <c r="EP27" s="53"/>
      <c r="EQ27" s="53"/>
      <c r="ER27" s="53"/>
      <c r="ES27" s="53"/>
      <c r="ET27" s="53"/>
      <c r="EU27" s="53"/>
      <c r="EV27" s="53"/>
      <c r="EW27" s="13">
        <f>+EW26+1</f>
        <v>13</v>
      </c>
      <c r="EX27" s="14"/>
      <c r="EY27" s="53"/>
      <c r="EZ27" s="52"/>
      <c r="FA27" s="94"/>
      <c r="FB27" s="94"/>
      <c r="FC27" s="95"/>
      <c r="FD27" s="67"/>
      <c r="FE27" s="94"/>
    </row>
    <row r="28" spans="1:162" ht="14.25" customHeight="1" thickTop="1">
      <c r="A28" s="13">
        <f t="shared" si="14"/>
        <v>15</v>
      </c>
      <c r="B28" s="331">
        <v>39813</v>
      </c>
      <c r="C28" s="333">
        <v>157188316</v>
      </c>
      <c r="D28" s="333">
        <v>141383989</v>
      </c>
      <c r="E28" s="342">
        <f t="shared" si="27"/>
        <v>-15804327</v>
      </c>
      <c r="G28" s="13">
        <f t="shared" si="15"/>
        <v>15</v>
      </c>
      <c r="H28" s="349" t="s">
        <v>296</v>
      </c>
      <c r="I28" s="250"/>
      <c r="J28" s="299"/>
      <c r="K28" s="250"/>
      <c r="L28" s="13">
        <f t="shared" si="1"/>
        <v>15</v>
      </c>
      <c r="M28" s="477" t="s">
        <v>368</v>
      </c>
      <c r="N28" s="496">
        <v>621138.0416666666</v>
      </c>
      <c r="O28" s="66">
        <v>-822555.2340103337</v>
      </c>
      <c r="P28" s="466">
        <f>O28-N28</f>
        <v>-1443693.2756770002</v>
      </c>
      <c r="Q28" s="13">
        <f t="shared" si="32"/>
        <v>15</v>
      </c>
      <c r="S28" s="19"/>
      <c r="T28" s="19"/>
      <c r="U28" s="129"/>
      <c r="V28" s="13">
        <f>+V27+1</f>
        <v>15</v>
      </c>
      <c r="W28" s="3" t="s">
        <v>223</v>
      </c>
      <c r="X28" s="415">
        <f>'MJS-4 '!BL16</f>
        <v>-30273.092195121953</v>
      </c>
      <c r="Y28" s="19" t="s">
        <v>19</v>
      </c>
      <c r="Z28" s="13">
        <f t="shared" si="2"/>
        <v>15</v>
      </c>
      <c r="AA28" s="250" t="s">
        <v>289</v>
      </c>
      <c r="AB28" s="434">
        <f>SUM(AB26:AB27)</f>
        <v>404886.687934</v>
      </c>
      <c r="AC28" s="434">
        <f>SUM(AC26:AC27)</f>
        <v>404886.687934</v>
      </c>
      <c r="AD28" s="434">
        <f>SUM(AD26:AD27)</f>
        <v>2.6489033189136535E-11</v>
      </c>
      <c r="AE28" s="380">
        <f t="shared" si="18"/>
        <v>15</v>
      </c>
      <c r="AF28" s="382" t="s">
        <v>317</v>
      </c>
      <c r="AG28" s="19"/>
      <c r="AH28" s="19"/>
      <c r="AI28" s="19"/>
      <c r="AJ28" s="45">
        <f t="shared" si="3"/>
        <v>15</v>
      </c>
      <c r="AK28" s="124" t="s">
        <v>159</v>
      </c>
      <c r="AM28" s="17">
        <v>0.35</v>
      </c>
      <c r="AN28" s="10">
        <f>ROUND(-AN26*AM28,0)</f>
        <v>244770</v>
      </c>
      <c r="AO28" s="73">
        <f t="shared" si="4"/>
        <v>16</v>
      </c>
      <c r="AP28" s="384" t="s">
        <v>347</v>
      </c>
      <c r="AQ28" s="394">
        <v>7394.0900814999995</v>
      </c>
      <c r="AR28" s="3">
        <v>0</v>
      </c>
      <c r="AS28" s="225">
        <f>AR28-AQ28</f>
        <v>-7394.0900814999995</v>
      </c>
      <c r="BB28" s="3"/>
      <c r="BH28" s="83"/>
      <c r="BI28" s="48"/>
      <c r="BJ28" s="48"/>
      <c r="BK28" s="277"/>
      <c r="BL28" s="230"/>
      <c r="BM28" s="45"/>
      <c r="BQ28" s="317"/>
      <c r="BR28" s="191"/>
      <c r="BS28" s="191"/>
      <c r="BT28" s="120"/>
      <c r="BU28" s="120"/>
      <c r="BV28" s="120"/>
      <c r="BW28" s="120"/>
      <c r="BX28" s="120"/>
      <c r="BY28" s="16"/>
      <c r="BZ28" s="16"/>
      <c r="CA28" s="27"/>
      <c r="CB28" s="27"/>
      <c r="CC28" s="189" t="s">
        <v>19</v>
      </c>
      <c r="CD28" s="13">
        <f>CD27+1</f>
        <v>15</v>
      </c>
      <c r="CE28" s="14"/>
      <c r="CF28" s="14"/>
      <c r="CG28" s="14"/>
      <c r="CH28" s="80"/>
      <c r="CI28" s="80"/>
      <c r="CJ28" s="80"/>
      <c r="CK28" s="13">
        <f t="shared" si="9"/>
        <v>15</v>
      </c>
      <c r="CL28" s="306"/>
      <c r="CM28" s="306"/>
      <c r="CN28" s="306"/>
      <c r="CO28" s="129"/>
      <c r="CT28" s="13">
        <f t="shared" si="10"/>
        <v>15</v>
      </c>
      <c r="CV28" s="52"/>
      <c r="CW28" s="52"/>
      <c r="CX28" s="242"/>
      <c r="CY28" s="13"/>
      <c r="CZ28" s="37"/>
      <c r="DA28" s="37"/>
      <c r="DB28" s="37"/>
      <c r="DC28" s="37"/>
      <c r="DD28" s="13">
        <f t="shared" si="12"/>
        <v>16</v>
      </c>
      <c r="DE28" s="373" t="s">
        <v>73</v>
      </c>
      <c r="DF28" s="473">
        <f>ROUND(-DF25*DG27,0)</f>
        <v>-529249</v>
      </c>
      <c r="DG28" s="473">
        <f>ROUND(-DG25*DG27,0)</f>
        <v>-154187</v>
      </c>
      <c r="DH28" s="473">
        <f>ROUND(-DH25*DG27,0)</f>
        <v>375062</v>
      </c>
      <c r="DI28" s="83"/>
      <c r="DN28" s="361"/>
      <c r="DO28" s="13">
        <f t="shared" si="22"/>
        <v>14</v>
      </c>
      <c r="DP28" s="14" t="s">
        <v>5</v>
      </c>
      <c r="DQ28" s="51">
        <f aca="true" t="shared" si="33" ref="DQ28:DV28">SUM(DQ25:DQ27)</f>
        <v>737851057.96</v>
      </c>
      <c r="DR28" s="51">
        <f t="shared" si="33"/>
        <v>-39777834.48509979</v>
      </c>
      <c r="DS28" s="51">
        <f t="shared" si="33"/>
        <v>37593107.38727486</v>
      </c>
      <c r="DT28" s="51">
        <f t="shared" si="33"/>
        <v>0</v>
      </c>
      <c r="DU28" s="51">
        <f t="shared" si="33"/>
        <v>0</v>
      </c>
      <c r="DV28" s="51">
        <f t="shared" si="33"/>
        <v>0</v>
      </c>
      <c r="DW28" s="13">
        <f t="shared" si="23"/>
        <v>14</v>
      </c>
      <c r="DX28" s="14" t="s">
        <v>5</v>
      </c>
      <c r="DY28" s="51">
        <f aca="true" t="shared" si="34" ref="DY28:ED28">SUM(DY25:DY27)</f>
        <v>0</v>
      </c>
      <c r="DZ28" s="51">
        <f t="shared" si="34"/>
        <v>50560390</v>
      </c>
      <c r="EA28" s="51">
        <f t="shared" si="34"/>
        <v>0</v>
      </c>
      <c r="EB28" s="51">
        <f t="shared" si="34"/>
        <v>0</v>
      </c>
      <c r="EC28" s="51">
        <f t="shared" si="34"/>
        <v>0</v>
      </c>
      <c r="ED28" s="31">
        <f t="shared" si="34"/>
        <v>0</v>
      </c>
      <c r="EE28" s="59">
        <f>SUM(EE23:EE27)</f>
        <v>0</v>
      </c>
      <c r="EF28" s="13">
        <f t="shared" si="24"/>
        <v>14</v>
      </c>
      <c r="EG28" s="14" t="s">
        <v>5</v>
      </c>
      <c r="EH28" s="51">
        <f aca="true" t="shared" si="35" ref="EH28:EM28">SUM(EH25:EH27)</f>
        <v>0</v>
      </c>
      <c r="EI28" s="31">
        <f t="shared" si="35"/>
        <v>0</v>
      </c>
      <c r="EJ28" s="51">
        <f t="shared" si="35"/>
        <v>0</v>
      </c>
      <c r="EK28" s="31">
        <f t="shared" si="35"/>
        <v>0</v>
      </c>
      <c r="EL28" s="31">
        <f t="shared" si="35"/>
        <v>0</v>
      </c>
      <c r="EM28" s="51">
        <f t="shared" si="35"/>
        <v>0</v>
      </c>
      <c r="EN28" s="13">
        <f t="shared" si="25"/>
        <v>14</v>
      </c>
      <c r="EO28" s="14" t="s">
        <v>5</v>
      </c>
      <c r="EP28" s="31">
        <f aca="true" t="shared" si="36" ref="EP28:EU28">SUM(EP25:EP27)</f>
        <v>0</v>
      </c>
      <c r="EQ28" s="51">
        <f t="shared" si="36"/>
        <v>0</v>
      </c>
      <c r="ER28" s="51">
        <f t="shared" si="36"/>
        <v>0</v>
      </c>
      <c r="ES28" s="51">
        <f t="shared" si="36"/>
        <v>0</v>
      </c>
      <c r="ET28" s="51"/>
      <c r="EU28" s="51">
        <f t="shared" si="36"/>
        <v>48375662.90217507</v>
      </c>
      <c r="EV28" s="31">
        <f>DQ28+EU28</f>
        <v>786226720.8621751</v>
      </c>
      <c r="EW28" s="13">
        <f t="shared" si="26"/>
        <v>14</v>
      </c>
      <c r="EX28" s="14" t="s">
        <v>5</v>
      </c>
      <c r="EY28" s="51">
        <f>SUM(EY24:EY27)</f>
        <v>737851057.96</v>
      </c>
      <c r="EZ28" s="51">
        <f>SUM(EZ24:EZ27)</f>
        <v>48375662.90217507</v>
      </c>
      <c r="FA28" s="51">
        <f>SUM(FA24:FA27)</f>
        <v>786226720.8621751</v>
      </c>
      <c r="FB28" s="51">
        <f>SUM(FB24:FB27)</f>
        <v>0</v>
      </c>
      <c r="FC28" s="51">
        <f>SUM(FC24:FC27)</f>
        <v>786226720.8621751</v>
      </c>
      <c r="FD28" s="59"/>
      <c r="FE28" s="59"/>
      <c r="FF28" s="87"/>
    </row>
    <row r="29" spans="1:162" s="87" customFormat="1" ht="13.5" thickBot="1">
      <c r="A29" s="13">
        <f t="shared" si="14"/>
        <v>16</v>
      </c>
      <c r="B29" s="250"/>
      <c r="C29" s="334">
        <f>ROUND(SUM(C17:C28),0)</f>
        <v>1167892703</v>
      </c>
      <c r="D29" s="334">
        <f>ROUND(SUM(D17:D28),0)</f>
        <v>1120309121</v>
      </c>
      <c r="E29" s="334">
        <f>ROUND(SUM(E17:E28),0)</f>
        <v>-47583582</v>
      </c>
      <c r="F29" s="3"/>
      <c r="G29" s="13">
        <f t="shared" si="15"/>
        <v>16</v>
      </c>
      <c r="H29" s="372" t="s">
        <v>297</v>
      </c>
      <c r="I29" s="250"/>
      <c r="J29" s="299">
        <v>888730.2600000007</v>
      </c>
      <c r="K29" s="250"/>
      <c r="L29" s="13">
        <f t="shared" si="1"/>
        <v>16</v>
      </c>
      <c r="M29" s="475" t="s">
        <v>369</v>
      </c>
      <c r="N29" s="497">
        <f>SUM(N26:N28)</f>
        <v>2443570.9583333335</v>
      </c>
      <c r="O29" s="497">
        <f>SUM(O26:O28)</f>
        <v>1527602.5774477622</v>
      </c>
      <c r="P29" s="497">
        <f>SUM(P26:P28)</f>
        <v>-915968.3808855712</v>
      </c>
      <c r="Q29" s="13">
        <f t="shared" si="32"/>
        <v>16</v>
      </c>
      <c r="R29" s="87" t="s">
        <v>100</v>
      </c>
      <c r="S29" s="130"/>
      <c r="U29" s="131">
        <f>SUM(U24:U27)</f>
        <v>21893600.0794</v>
      </c>
      <c r="V29" s="13">
        <f t="shared" si="17"/>
        <v>16</v>
      </c>
      <c r="W29" s="27" t="s">
        <v>136</v>
      </c>
      <c r="X29" s="303"/>
      <c r="Y29" s="416">
        <f>SUM(X22:X28)</f>
        <v>73714792.20780487</v>
      </c>
      <c r="Z29" s="13">
        <f t="shared" si="2"/>
        <v>16</v>
      </c>
      <c r="AA29" s="250"/>
      <c r="AB29" s="355"/>
      <c r="AC29" s="355"/>
      <c r="AD29" s="355"/>
      <c r="AE29" s="380">
        <f t="shared" si="18"/>
        <v>16</v>
      </c>
      <c r="AF29" s="244" t="s">
        <v>321</v>
      </c>
      <c r="AG29" s="19"/>
      <c r="AH29" s="19"/>
      <c r="AI29" s="23">
        <v>-3417545</v>
      </c>
      <c r="AJ29" s="45">
        <f t="shared" si="3"/>
        <v>16</v>
      </c>
      <c r="AK29" s="124" t="s">
        <v>82</v>
      </c>
      <c r="AL29" s="3"/>
      <c r="AM29" s="3"/>
      <c r="AN29" s="406">
        <f>-AN26-AN28</f>
        <v>454572</v>
      </c>
      <c r="AO29" s="73">
        <f t="shared" si="4"/>
        <v>17</v>
      </c>
      <c r="AP29" s="384" t="s">
        <v>373</v>
      </c>
      <c r="AQ29" s="394">
        <v>7193.3200799999995</v>
      </c>
      <c r="AS29" s="225">
        <f>AR29-AQ29</f>
        <v>-7193.3200799999995</v>
      </c>
      <c r="AX29" s="90"/>
      <c r="BH29" s="13"/>
      <c r="BI29" s="48"/>
      <c r="BJ29" s="48"/>
      <c r="BK29" s="48"/>
      <c r="BL29" s="191"/>
      <c r="BM29" s="45"/>
      <c r="BN29" s="52"/>
      <c r="BO29" s="52"/>
      <c r="BP29" s="52"/>
      <c r="BY29" s="120"/>
      <c r="BZ29" s="120"/>
      <c r="CA29" s="120"/>
      <c r="CB29" s="120"/>
      <c r="CC29" s="3"/>
      <c r="CD29" s="13">
        <f>CD28+1</f>
        <v>16</v>
      </c>
      <c r="CE29" s="84" t="s">
        <v>185</v>
      </c>
      <c r="CF29" s="84"/>
      <c r="CG29" s="84"/>
      <c r="CH29" s="82"/>
      <c r="CI29" s="82"/>
      <c r="CJ29" s="408">
        <f>CJ27</f>
        <v>2920346</v>
      </c>
      <c r="CK29" s="13">
        <f t="shared" si="9"/>
        <v>16</v>
      </c>
      <c r="CL29" s="259" t="s">
        <v>228</v>
      </c>
      <c r="CM29" s="86"/>
      <c r="CN29" s="86"/>
      <c r="CO29" s="129"/>
      <c r="CT29" s="13">
        <f t="shared" si="10"/>
        <v>16</v>
      </c>
      <c r="CU29" s="3" t="s">
        <v>185</v>
      </c>
      <c r="CV29" s="52"/>
      <c r="CW29" s="52"/>
      <c r="CX29" s="242">
        <f>CX27</f>
        <v>-947362</v>
      </c>
      <c r="CY29" s="13"/>
      <c r="CZ29" s="36"/>
      <c r="DA29" s="36"/>
      <c r="DB29" s="36"/>
      <c r="DC29" s="36"/>
      <c r="DD29" s="13">
        <f t="shared" si="12"/>
        <v>17</v>
      </c>
      <c r="DE29" s="373" t="s">
        <v>355</v>
      </c>
      <c r="DF29" s="493">
        <f>-DF25-DF28</f>
        <v>-982892.171696</v>
      </c>
      <c r="DG29" s="493">
        <f>-DG25-DG28</f>
        <v>-286347.2724139923</v>
      </c>
      <c r="DH29" s="493">
        <f>-DH25-DH28</f>
        <v>696544.8992820077</v>
      </c>
      <c r="DI29" s="13"/>
      <c r="DN29" s="359"/>
      <c r="DO29" s="13">
        <f t="shared" si="22"/>
        <v>15</v>
      </c>
      <c r="DP29" s="130"/>
      <c r="DQ29" s="46"/>
      <c r="DR29" s="46"/>
      <c r="DS29" s="46"/>
      <c r="DT29" s="46"/>
      <c r="DU29" s="46"/>
      <c r="DV29" s="46"/>
      <c r="DW29" s="13">
        <f t="shared" si="23"/>
        <v>15</v>
      </c>
      <c r="DX29" s="130"/>
      <c r="DY29" s="46"/>
      <c r="DZ29" s="47"/>
      <c r="EA29" s="46"/>
      <c r="EB29" s="90"/>
      <c r="EC29" s="90"/>
      <c r="ED29" s="48"/>
      <c r="EE29" s="47"/>
      <c r="EF29" s="13">
        <f t="shared" si="24"/>
        <v>15</v>
      </c>
      <c r="EG29" s="130"/>
      <c r="EH29" s="47"/>
      <c r="EI29" s="48"/>
      <c r="EJ29" s="47"/>
      <c r="EK29" s="48"/>
      <c r="EL29" s="48"/>
      <c r="EM29" s="47"/>
      <c r="EN29" s="13">
        <f t="shared" si="25"/>
        <v>15</v>
      </c>
      <c r="EO29" s="130"/>
      <c r="EP29" s="47"/>
      <c r="EQ29" s="47"/>
      <c r="ER29" s="47"/>
      <c r="ES29" s="47"/>
      <c r="ET29" s="47"/>
      <c r="EU29" s="46"/>
      <c r="EV29" s="46"/>
      <c r="EW29" s="13">
        <f t="shared" si="26"/>
        <v>15</v>
      </c>
      <c r="EX29" s="130"/>
      <c r="EY29" s="46"/>
      <c r="EZ29" s="46"/>
      <c r="FA29" s="46"/>
      <c r="FB29" s="46"/>
      <c r="FC29" s="46"/>
      <c r="FD29" s="46"/>
      <c r="FE29" s="46"/>
      <c r="FF29" s="3"/>
    </row>
    <row r="30" spans="1:161" ht="14.25" thickTop="1">
      <c r="A30" s="13">
        <f t="shared" si="14"/>
        <v>17</v>
      </c>
      <c r="B30" s="250"/>
      <c r="C30" s="241"/>
      <c r="D30" s="241"/>
      <c r="E30" s="250"/>
      <c r="G30" s="13">
        <f t="shared" si="15"/>
        <v>17</v>
      </c>
      <c r="H30" s="373" t="s">
        <v>292</v>
      </c>
      <c r="I30" s="250"/>
      <c r="J30" s="370">
        <v>112971.62000000011</v>
      </c>
      <c r="K30" s="250"/>
      <c r="L30"/>
      <c r="M30"/>
      <c r="N30"/>
      <c r="O30"/>
      <c r="P30"/>
      <c r="Q30" s="13">
        <f t="shared" si="32"/>
        <v>17</v>
      </c>
      <c r="T30" s="304"/>
      <c r="U30" s="107"/>
      <c r="V30" s="13">
        <f t="shared" si="17"/>
        <v>17</v>
      </c>
      <c r="W30" s="3" t="s">
        <v>243</v>
      </c>
      <c r="X30" s="278"/>
      <c r="Y30" s="25">
        <f>-Y19+Y29</f>
        <v>23880403.355725057</v>
      </c>
      <c r="Z30" s="13">
        <f t="shared" si="2"/>
        <v>17</v>
      </c>
      <c r="AA30" s="250" t="s">
        <v>290</v>
      </c>
      <c r="AB30" s="435"/>
      <c r="AC30" s="435"/>
      <c r="AD30" s="436">
        <f>AC30-AB30</f>
        <v>0</v>
      </c>
      <c r="AE30" s="380">
        <f t="shared" si="18"/>
        <v>17</v>
      </c>
      <c r="AF30" s="244" t="s">
        <v>322</v>
      </c>
      <c r="AG30" s="19"/>
      <c r="AH30" s="19"/>
      <c r="AI30" s="23">
        <v>-7669601</v>
      </c>
      <c r="AJ30" s="317"/>
      <c r="AO30" s="73">
        <f t="shared" si="4"/>
        <v>18</v>
      </c>
      <c r="AP30" s="14" t="s">
        <v>78</v>
      </c>
      <c r="AQ30" s="51">
        <f>SUM(AQ21:AQ29)</f>
        <v>15902527.1525755</v>
      </c>
      <c r="AR30" s="51">
        <f>SUM(AR21:AR29)</f>
        <v>15688584</v>
      </c>
      <c r="AS30" s="51">
        <f>SUM(AS21:AS29)</f>
        <v>-213943.1525755001</v>
      </c>
      <c r="AT30" s="26"/>
      <c r="BB30" s="3"/>
      <c r="BH30" s="13"/>
      <c r="BI30" s="2"/>
      <c r="BJ30" s="2"/>
      <c r="BK30" s="2"/>
      <c r="BL30" s="2"/>
      <c r="BM30" s="45"/>
      <c r="BX30" s="16"/>
      <c r="BY30" s="87"/>
      <c r="BZ30" s="87"/>
      <c r="CA30" s="87"/>
      <c r="CB30" s="87"/>
      <c r="CC30" s="87"/>
      <c r="CD30" s="13">
        <f>CD29+1</f>
        <v>17</v>
      </c>
      <c r="CE30" s="14" t="s">
        <v>159</v>
      </c>
      <c r="CF30" s="14" t="s">
        <v>184</v>
      </c>
      <c r="CG30" s="182">
        <f>_FEDERAL_INCOME_TAX</f>
        <v>0.35</v>
      </c>
      <c r="CH30" s="80"/>
      <c r="CI30" s="80"/>
      <c r="CJ30" s="56">
        <f>-CJ29*CG30</f>
        <v>-1022121.1</v>
      </c>
      <c r="CK30" s="13">
        <f t="shared" si="9"/>
        <v>17</v>
      </c>
      <c r="CL30" s="244" t="s">
        <v>229</v>
      </c>
      <c r="CM30" s="305"/>
      <c r="CN30" s="122">
        <v>466526.3124</v>
      </c>
      <c r="CO30" s="2"/>
      <c r="CS30" s="199"/>
      <c r="CT30" s="13">
        <f t="shared" si="10"/>
        <v>17</v>
      </c>
      <c r="CY30" s="13"/>
      <c r="CZ30" s="36"/>
      <c r="DA30" s="36"/>
      <c r="DB30" s="36"/>
      <c r="DC30" s="36"/>
      <c r="DI30" s="13"/>
      <c r="DM30" s="523"/>
      <c r="DN30" s="360"/>
      <c r="DO30" s="13">
        <f t="shared" si="22"/>
        <v>16</v>
      </c>
      <c r="DP30" s="34" t="s">
        <v>127</v>
      </c>
      <c r="DQ30" s="522">
        <v>1873117.13</v>
      </c>
      <c r="DR30" s="30"/>
      <c r="DS30" s="30">
        <v>0</v>
      </c>
      <c r="DT30" s="30"/>
      <c r="DU30" s="30">
        <v>0</v>
      </c>
      <c r="DV30" s="30">
        <v>0</v>
      </c>
      <c r="DW30" s="13">
        <f t="shared" si="23"/>
        <v>16</v>
      </c>
      <c r="DX30" s="34" t="s">
        <v>127</v>
      </c>
      <c r="DY30" s="30">
        <v>0</v>
      </c>
      <c r="DZ30" s="30">
        <v>0</v>
      </c>
      <c r="EA30" s="30">
        <v>0</v>
      </c>
      <c r="EB30" s="30">
        <v>0</v>
      </c>
      <c r="EC30" s="30">
        <v>0</v>
      </c>
      <c r="ED30" s="55">
        <v>0</v>
      </c>
      <c r="EE30" s="55"/>
      <c r="EF30" s="13">
        <f t="shared" si="24"/>
        <v>16</v>
      </c>
      <c r="EG30" s="34" t="s">
        <v>127</v>
      </c>
      <c r="EH30" s="55"/>
      <c r="EI30" s="55">
        <v>0</v>
      </c>
      <c r="EJ30" s="55"/>
      <c r="EK30" s="55">
        <v>0</v>
      </c>
      <c r="EL30" s="55">
        <v>0</v>
      </c>
      <c r="EM30" s="55">
        <f>+CJ16+CJ17+CJ15</f>
        <v>78858</v>
      </c>
      <c r="EN30" s="13">
        <f t="shared" si="25"/>
        <v>16</v>
      </c>
      <c r="EO30" s="34" t="s">
        <v>127</v>
      </c>
      <c r="EP30" s="55">
        <v>0</v>
      </c>
      <c r="EQ30" s="55">
        <v>0</v>
      </c>
      <c r="ER30" s="55">
        <f>SUM(CX15:CX17)</f>
        <v>-25346</v>
      </c>
      <c r="ES30" s="55"/>
      <c r="ET30" s="55"/>
      <c r="EU30" s="31">
        <f aca="true" t="shared" si="37" ref="EU30:EU44">SUM(DR30:ET30)-EF30-DW30-EN30</f>
        <v>53512</v>
      </c>
      <c r="EV30" s="31">
        <f aca="true" t="shared" si="38" ref="EV30:EV44">DQ30+EU30</f>
        <v>1926629.13</v>
      </c>
      <c r="EW30" s="13">
        <f t="shared" si="26"/>
        <v>16</v>
      </c>
      <c r="EX30" s="104" t="s">
        <v>102</v>
      </c>
      <c r="EY30" s="30">
        <f aca="true" t="shared" si="39" ref="EY30:EY44">DQ30</f>
        <v>1873117.13</v>
      </c>
      <c r="EZ30" s="30">
        <f aca="true" t="shared" si="40" ref="EZ30:EZ40">EU30</f>
        <v>53512</v>
      </c>
      <c r="FA30" s="93">
        <f>EY30+EZ30</f>
        <v>1926629.13</v>
      </c>
      <c r="FB30" s="93">
        <v>0</v>
      </c>
      <c r="FC30" s="93">
        <f>FA30+FB30</f>
        <v>1926629.13</v>
      </c>
      <c r="FD30" s="93"/>
      <c r="FE30" s="93"/>
    </row>
    <row r="31" spans="1:161" ht="13.5" thickBot="1">
      <c r="A31" s="13">
        <f t="shared" si="14"/>
        <v>18</v>
      </c>
      <c r="B31" s="250" t="s">
        <v>251</v>
      </c>
      <c r="C31" s="246" t="s">
        <v>259</v>
      </c>
      <c r="D31" s="242"/>
      <c r="E31" s="335">
        <v>-39901123.20231593</v>
      </c>
      <c r="F31" s="250"/>
      <c r="G31" s="13">
        <f t="shared" si="15"/>
        <v>18</v>
      </c>
      <c r="H31" s="349" t="s">
        <v>2</v>
      </c>
      <c r="I31" s="299"/>
      <c r="J31" s="52"/>
      <c r="K31" s="340"/>
      <c r="L31"/>
      <c r="M31"/>
      <c r="N31"/>
      <c r="O31"/>
      <c r="P31"/>
      <c r="Q31" s="13">
        <f t="shared" si="32"/>
        <v>18</v>
      </c>
      <c r="R31" s="14" t="s">
        <v>88</v>
      </c>
      <c r="S31" s="14"/>
      <c r="T31" s="14"/>
      <c r="U31" s="30">
        <f>U17-U24</f>
        <v>1038077.1900000013</v>
      </c>
      <c r="V31" s="13">
        <f t="shared" si="17"/>
        <v>18</v>
      </c>
      <c r="W31" s="3" t="s">
        <v>19</v>
      </c>
      <c r="Y31" s="80" t="s">
        <v>19</v>
      </c>
      <c r="Z31" s="13">
        <f t="shared" si="2"/>
        <v>18</v>
      </c>
      <c r="AA31" s="250"/>
      <c r="AB31" s="379">
        <v>0</v>
      </c>
      <c r="AC31" s="379">
        <v>0</v>
      </c>
      <c r="AD31" s="355"/>
      <c r="AE31" s="380">
        <f t="shared" si="18"/>
        <v>18</v>
      </c>
      <c r="AF31" s="244" t="s">
        <v>273</v>
      </c>
      <c r="AG31" s="19"/>
      <c r="AH31" s="19"/>
      <c r="AI31" s="23">
        <v>50560390</v>
      </c>
      <c r="AO31" s="73">
        <f t="shared" si="4"/>
        <v>19</v>
      </c>
      <c r="AP31" s="34"/>
      <c r="AQ31" s="228"/>
      <c r="AR31" s="76"/>
      <c r="AS31" s="21"/>
      <c r="AT31" s="21"/>
      <c r="BB31" s="3"/>
      <c r="BM31" s="45"/>
      <c r="BV31" s="9"/>
      <c r="BW31" s="145"/>
      <c r="BX31" s="16"/>
      <c r="CD31" s="13">
        <f>CD30+1</f>
        <v>18</v>
      </c>
      <c r="CE31" s="14" t="s">
        <v>82</v>
      </c>
      <c r="CF31" s="14"/>
      <c r="CG31" s="14"/>
      <c r="CJ31" s="316">
        <f>-CJ29-CJ30</f>
        <v>-1898224.9</v>
      </c>
      <c r="CK31" s="13">
        <f t="shared" si="9"/>
        <v>18</v>
      </c>
      <c r="CL31" s="306" t="s">
        <v>230</v>
      </c>
      <c r="CM31" s="283">
        <v>0.069</v>
      </c>
      <c r="CN31" s="125">
        <f>+CN30*CM31</f>
        <v>32190.315555600002</v>
      </c>
      <c r="CO31" s="2"/>
      <c r="CT31" s="13">
        <f t="shared" si="10"/>
        <v>18</v>
      </c>
      <c r="CU31" s="14" t="s">
        <v>75</v>
      </c>
      <c r="CV31" s="52"/>
      <c r="CW31" s="388">
        <f>_FEDERAL_INCOME_TAX</f>
        <v>0.35</v>
      </c>
      <c r="CX31" s="242">
        <f>ROUND(-CX29*CW31,0)</f>
        <v>331577</v>
      </c>
      <c r="CY31" s="13"/>
      <c r="CZ31" s="6"/>
      <c r="DA31" s="6"/>
      <c r="DB31" s="6"/>
      <c r="DC31" s="6"/>
      <c r="DD31"/>
      <c r="DE31"/>
      <c r="DF31"/>
      <c r="DG31"/>
      <c r="DH31"/>
      <c r="DN31" s="145"/>
      <c r="DO31" s="13">
        <f t="shared" si="22"/>
        <v>17</v>
      </c>
      <c r="DP31" s="14" t="s">
        <v>6</v>
      </c>
      <c r="DQ31" s="522">
        <v>394280.38</v>
      </c>
      <c r="DR31" s="52"/>
      <c r="DS31" s="52"/>
      <c r="DT31" s="52"/>
      <c r="DU31" s="52"/>
      <c r="DV31" s="52"/>
      <c r="DW31" s="13">
        <f t="shared" si="23"/>
        <v>17</v>
      </c>
      <c r="DX31" s="14" t="s">
        <v>6</v>
      </c>
      <c r="DY31" s="52"/>
      <c r="DZ31" s="52"/>
      <c r="EA31" s="52"/>
      <c r="EB31" s="56">
        <f>+AS22</f>
        <v>3005</v>
      </c>
      <c r="EC31" s="52"/>
      <c r="ED31" s="52"/>
      <c r="EE31" s="52"/>
      <c r="EF31" s="13">
        <f t="shared" si="24"/>
        <v>17</v>
      </c>
      <c r="EG31" s="14" t="s">
        <v>6</v>
      </c>
      <c r="EH31" s="52"/>
      <c r="EI31" s="52"/>
      <c r="EJ31" s="52"/>
      <c r="EK31" s="52"/>
      <c r="EL31" s="52"/>
      <c r="EM31" s="52">
        <f>+CJ18</f>
        <v>11356</v>
      </c>
      <c r="EN31" s="13">
        <f t="shared" si="25"/>
        <v>17</v>
      </c>
      <c r="EO31" s="14" t="s">
        <v>6</v>
      </c>
      <c r="EP31" s="70"/>
      <c r="EQ31" s="52"/>
      <c r="ER31" s="52">
        <f>CX18</f>
        <v>-3596</v>
      </c>
      <c r="ES31" s="52"/>
      <c r="ET31" s="52"/>
      <c r="EU31" s="52">
        <f t="shared" si="37"/>
        <v>10765</v>
      </c>
      <c r="EV31" s="52">
        <f t="shared" si="38"/>
        <v>405045.38</v>
      </c>
      <c r="EW31" s="13">
        <f t="shared" si="26"/>
        <v>17</v>
      </c>
      <c r="EX31" s="14" t="s">
        <v>6</v>
      </c>
      <c r="EY31" s="52">
        <f t="shared" si="39"/>
        <v>394280.38</v>
      </c>
      <c r="EZ31" s="122">
        <f t="shared" si="40"/>
        <v>10765</v>
      </c>
      <c r="FA31" s="94">
        <f aca="true" t="shared" si="41" ref="FA31:FA40">+EY31+EZ31</f>
        <v>405045.38</v>
      </c>
      <c r="FB31" s="94"/>
      <c r="FC31" s="94">
        <f aca="true" t="shared" si="42" ref="FC31:FC40">+FA31+FB31</f>
        <v>405045.38</v>
      </c>
      <c r="FD31" s="94"/>
      <c r="FE31" s="94"/>
    </row>
    <row r="32" spans="1:161" ht="14.25" customHeight="1" thickBot="1" thickTop="1">
      <c r="A32" s="13">
        <f t="shared" si="14"/>
        <v>19</v>
      </c>
      <c r="B32" s="305"/>
      <c r="C32" s="246" t="s">
        <v>260</v>
      </c>
      <c r="D32" s="52"/>
      <c r="E32" s="341">
        <v>0</v>
      </c>
      <c r="F32" s="250"/>
      <c r="G32" s="13">
        <f t="shared" si="15"/>
        <v>19</v>
      </c>
      <c r="H32" s="373" t="s">
        <v>304</v>
      </c>
      <c r="I32" s="299"/>
      <c r="J32" s="52"/>
      <c r="K32" s="340"/>
      <c r="L32"/>
      <c r="M32"/>
      <c r="N32"/>
      <c r="O32"/>
      <c r="P32"/>
      <c r="Q32" s="13">
        <f t="shared" si="32"/>
        <v>19</v>
      </c>
      <c r="R32" s="14" t="s">
        <v>101</v>
      </c>
      <c r="U32" s="8">
        <f>(U18+U19)-(U25+U26)</f>
        <v>-1953834.919399999</v>
      </c>
      <c r="V32" s="13">
        <f t="shared" si="17"/>
        <v>19</v>
      </c>
      <c r="W32" s="3" t="s">
        <v>137</v>
      </c>
      <c r="X32" s="77">
        <f>_FEDERAL_INCOME_TAX</f>
        <v>0.35</v>
      </c>
      <c r="Y32" s="52">
        <f>Y30*X32</f>
        <v>8358141.17450377</v>
      </c>
      <c r="Z32" s="13">
        <f t="shared" si="2"/>
        <v>19</v>
      </c>
      <c r="AA32" s="244" t="s">
        <v>68</v>
      </c>
      <c r="AB32" s="332"/>
      <c r="AC32" s="332"/>
      <c r="AD32" s="413">
        <f>AD24+AD28+AD30</f>
        <v>6218348.64238798</v>
      </c>
      <c r="AE32" s="380">
        <f t="shared" si="18"/>
        <v>19</v>
      </c>
      <c r="AF32" s="244" t="s">
        <v>275</v>
      </c>
      <c r="AG32" s="19"/>
      <c r="AH32" s="19"/>
      <c r="AI32" s="23">
        <v>-48300625</v>
      </c>
      <c r="AO32" s="73">
        <f t="shared" si="4"/>
        <v>20</v>
      </c>
      <c r="AP32" s="14" t="s">
        <v>222</v>
      </c>
      <c r="AQ32" s="21"/>
      <c r="AR32" s="26"/>
      <c r="AS32" s="225">
        <f>-AS17+AS30</f>
        <v>-678305.6525755001</v>
      </c>
      <c r="BB32" s="3"/>
      <c r="BM32" s="45"/>
      <c r="BV32" s="15"/>
      <c r="BW32" s="145"/>
      <c r="BX32" s="16"/>
      <c r="CK32" s="13">
        <f>CK31+1</f>
        <v>19</v>
      </c>
      <c r="CL32" s="272" t="s">
        <v>231</v>
      </c>
      <c r="CM32" s="272"/>
      <c r="CN32" s="272"/>
      <c r="CO32" s="129">
        <f>SUM(CN30:CN31)</f>
        <v>498716.6279556</v>
      </c>
      <c r="CT32" s="13">
        <f t="shared" si="10"/>
        <v>19</v>
      </c>
      <c r="CU32" s="14" t="s">
        <v>79</v>
      </c>
      <c r="CV32" s="14"/>
      <c r="CX32" s="316">
        <f>-CX29-CX31</f>
        <v>615785</v>
      </c>
      <c r="CY32" s="13"/>
      <c r="DD32"/>
      <c r="DE32"/>
      <c r="DF32"/>
      <c r="DG32"/>
      <c r="DH32"/>
      <c r="DI32" s="317"/>
      <c r="DM32" s="199"/>
      <c r="DO32" s="13">
        <f>+DO31+1</f>
        <v>18</v>
      </c>
      <c r="DP32" s="14" t="s">
        <v>7</v>
      </c>
      <c r="DQ32" s="522">
        <v>51612728.75</v>
      </c>
      <c r="DR32" s="52"/>
      <c r="DS32" s="52"/>
      <c r="DT32" s="52"/>
      <c r="DU32" s="52"/>
      <c r="DV32" s="52"/>
      <c r="DW32" s="13">
        <f>+DW31+1</f>
        <v>18</v>
      </c>
      <c r="DX32" s="14" t="s">
        <v>7</v>
      </c>
      <c r="DY32" s="52"/>
      <c r="DZ32" s="52"/>
      <c r="EA32" s="52"/>
      <c r="EB32" s="56">
        <f>+AS23</f>
        <v>695231</v>
      </c>
      <c r="EC32" s="52"/>
      <c r="ED32" s="52"/>
      <c r="EE32" s="52"/>
      <c r="EF32" s="13">
        <f>+EF31+1</f>
        <v>18</v>
      </c>
      <c r="EG32" s="14" t="s">
        <v>7</v>
      </c>
      <c r="EH32" s="52"/>
      <c r="EI32" s="52"/>
      <c r="EJ32" s="52"/>
      <c r="EK32" s="52"/>
      <c r="EL32" s="52"/>
      <c r="EM32" s="52">
        <f>CJ19</f>
        <v>1415429</v>
      </c>
      <c r="EN32" s="13">
        <f t="shared" si="25"/>
        <v>18</v>
      </c>
      <c r="EO32" s="14" t="s">
        <v>7</v>
      </c>
      <c r="EP32" s="70"/>
      <c r="EQ32" s="52"/>
      <c r="ER32" s="52">
        <f>CX19</f>
        <v>-437836</v>
      </c>
      <c r="ES32" s="52"/>
      <c r="ET32" s="52"/>
      <c r="EU32" s="52">
        <f t="shared" si="37"/>
        <v>1672824</v>
      </c>
      <c r="EV32" s="52">
        <f t="shared" si="38"/>
        <v>53285552.75</v>
      </c>
      <c r="EW32" s="13">
        <f>+EW31+1</f>
        <v>18</v>
      </c>
      <c r="EX32" s="14" t="s">
        <v>7</v>
      </c>
      <c r="EY32" s="52">
        <f t="shared" si="39"/>
        <v>51612728.75</v>
      </c>
      <c r="EZ32" s="122">
        <f t="shared" si="40"/>
        <v>1672824</v>
      </c>
      <c r="FA32" s="94">
        <f t="shared" si="41"/>
        <v>53285552.75</v>
      </c>
      <c r="FB32" s="94"/>
      <c r="FC32" s="94">
        <f t="shared" si="42"/>
        <v>53285552.75</v>
      </c>
      <c r="FD32" s="94"/>
      <c r="FE32" s="94"/>
    </row>
    <row r="33" spans="1:161" ht="15" thickBot="1" thickTop="1">
      <c r="A33" s="13">
        <f t="shared" si="14"/>
        <v>20</v>
      </c>
      <c r="B33" s="250"/>
      <c r="C33" s="320" t="s">
        <v>361</v>
      </c>
      <c r="D33" s="52"/>
      <c r="E33" s="341">
        <v>-12695193.629540682</v>
      </c>
      <c r="F33" s="250"/>
      <c r="G33" s="13">
        <f t="shared" si="15"/>
        <v>20</v>
      </c>
      <c r="H33" s="371" t="s">
        <v>305</v>
      </c>
      <c r="I33" s="299"/>
      <c r="J33" s="70">
        <v>1004369.4401898877</v>
      </c>
      <c r="K33" s="340"/>
      <c r="L33"/>
      <c r="M33"/>
      <c r="N33"/>
      <c r="O33"/>
      <c r="P33"/>
      <c r="Q33" s="13">
        <f>Q32+1</f>
        <v>20</v>
      </c>
      <c r="R33" s="3" t="s">
        <v>103</v>
      </c>
      <c r="U33" s="52">
        <f>U20-U27</f>
        <v>0</v>
      </c>
      <c r="V33" s="13">
        <f t="shared" si="17"/>
        <v>20</v>
      </c>
      <c r="W33" s="3" t="s">
        <v>82</v>
      </c>
      <c r="X33" s="278"/>
      <c r="Y33" s="406">
        <f>-Y32</f>
        <v>-8358141.17450377</v>
      </c>
      <c r="Z33" s="402">
        <f t="shared" si="2"/>
        <v>20</v>
      </c>
      <c r="AA33" s="244" t="s">
        <v>88</v>
      </c>
      <c r="AB33" s="332"/>
      <c r="AC33" s="332"/>
      <c r="AD33" s="332">
        <v>0</v>
      </c>
      <c r="AE33" s="380">
        <f t="shared" si="18"/>
        <v>20</v>
      </c>
      <c r="AF33" s="250" t="s">
        <v>274</v>
      </c>
      <c r="AG33" s="19"/>
      <c r="AH33" s="19"/>
      <c r="AI33" s="19" t="s">
        <v>276</v>
      </c>
      <c r="AO33" s="73">
        <f t="shared" si="4"/>
        <v>21</v>
      </c>
      <c r="AP33" s="14" t="s">
        <v>75</v>
      </c>
      <c r="AQ33" s="21"/>
      <c r="AR33" s="17">
        <f>_FEDERAL_INCOME_TAX</f>
        <v>0.35</v>
      </c>
      <c r="AS33" s="70">
        <f>-ROUND(AR33*AS32,0)</f>
        <v>237407</v>
      </c>
      <c r="BB33" s="3"/>
      <c r="BM33" s="45"/>
      <c r="BX33" s="16"/>
      <c r="CD33" s="317"/>
      <c r="CK33" s="13">
        <f t="shared" si="9"/>
        <v>20</v>
      </c>
      <c r="CL33" s="306"/>
      <c r="CM33" s="306"/>
      <c r="CN33" s="306"/>
      <c r="CO33" s="194"/>
      <c r="DD33"/>
      <c r="DE33"/>
      <c r="DF33"/>
      <c r="DG33"/>
      <c r="DH33" s="474"/>
      <c r="DK33" s="2"/>
      <c r="DO33" s="13">
        <f t="shared" si="22"/>
        <v>19</v>
      </c>
      <c r="DP33" s="84" t="s">
        <v>8</v>
      </c>
      <c r="DQ33" s="56">
        <v>28177044.969388</v>
      </c>
      <c r="DR33" s="54">
        <f>+E47</f>
        <v>-157787</v>
      </c>
      <c r="DS33" s="54">
        <f>J50</f>
        <v>213974.1964888907</v>
      </c>
      <c r="DT33" s="54"/>
      <c r="DU33" s="54"/>
      <c r="DV33" s="54"/>
      <c r="DW33" s="13">
        <f t="shared" si="23"/>
        <v>19</v>
      </c>
      <c r="DX33" s="84" t="s">
        <v>8</v>
      </c>
      <c r="DY33" s="54"/>
      <c r="DZ33" s="52">
        <f>AI23</f>
        <v>-24576.138843488476</v>
      </c>
      <c r="EA33" s="54">
        <f>AN26</f>
        <v>-699342</v>
      </c>
      <c r="EB33" s="233"/>
      <c r="EC33" s="54"/>
      <c r="ED33" s="52"/>
      <c r="EE33" s="52"/>
      <c r="EF33" s="13">
        <f t="shared" si="24"/>
        <v>19</v>
      </c>
      <c r="EG33" s="84" t="s">
        <v>8</v>
      </c>
      <c r="EH33" s="52">
        <f>BL14</f>
        <v>30273.092195121953</v>
      </c>
      <c r="EI33" s="52"/>
      <c r="EJ33" s="52"/>
      <c r="EK33" s="52"/>
      <c r="EL33" s="52"/>
      <c r="EM33" s="52">
        <f>+CJ20</f>
        <v>551848</v>
      </c>
      <c r="EN33" s="13">
        <f aca="true" t="shared" si="43" ref="EN33:EN59">+EN32+1</f>
        <v>19</v>
      </c>
      <c r="EO33" s="84" t="s">
        <v>8</v>
      </c>
      <c r="EP33" s="70"/>
      <c r="EQ33" s="52"/>
      <c r="ER33" s="52">
        <f>CX20</f>
        <v>-154061</v>
      </c>
      <c r="ES33" s="52"/>
      <c r="ET33" s="52"/>
      <c r="EU33" s="52">
        <f t="shared" si="37"/>
        <v>-239670.8501594758</v>
      </c>
      <c r="EV33" s="52">
        <f t="shared" si="38"/>
        <v>27937374.119228523</v>
      </c>
      <c r="EW33" s="13">
        <f t="shared" si="26"/>
        <v>19</v>
      </c>
      <c r="EX33" s="84" t="s">
        <v>108</v>
      </c>
      <c r="EY33" s="52">
        <f t="shared" si="39"/>
        <v>28177044.969388</v>
      </c>
      <c r="EZ33" s="122">
        <f t="shared" si="40"/>
        <v>-239670.8501594758</v>
      </c>
      <c r="FA33" s="94">
        <f t="shared" si="41"/>
        <v>27937374.119228523</v>
      </c>
      <c r="FB33" s="94">
        <f>FB19*(DM14)</f>
        <v>77055.098461</v>
      </c>
      <c r="FC33" s="94">
        <f t="shared" si="42"/>
        <v>28014429.21768952</v>
      </c>
      <c r="FD33" s="94"/>
      <c r="FE33" s="94"/>
    </row>
    <row r="34" spans="1:162" ht="15" thickBot="1" thickTop="1">
      <c r="A34" s="13">
        <f t="shared" si="14"/>
        <v>21</v>
      </c>
      <c r="B34" s="250"/>
      <c r="C34" s="246" t="s">
        <v>263</v>
      </c>
      <c r="D34" s="52"/>
      <c r="E34" s="341">
        <v>-1068986.6716843098</v>
      </c>
      <c r="F34" s="250"/>
      <c r="G34" s="13">
        <f t="shared" si="15"/>
        <v>21</v>
      </c>
      <c r="H34" s="250" t="s">
        <v>298</v>
      </c>
      <c r="I34" s="299"/>
      <c r="J34" s="374"/>
      <c r="K34" s="52">
        <f>SUM(J29:J34)</f>
        <v>2006071.3201898886</v>
      </c>
      <c r="L34"/>
      <c r="M34"/>
      <c r="N34"/>
      <c r="O34"/>
      <c r="P34"/>
      <c r="Q34" s="13">
        <f>Q33+1</f>
        <v>21</v>
      </c>
      <c r="R34" s="14" t="s">
        <v>104</v>
      </c>
      <c r="S34" s="14"/>
      <c r="T34" s="14"/>
      <c r="U34" s="319">
        <f>-SUM(U31:U33)</f>
        <v>915757.7293999977</v>
      </c>
      <c r="V34" s="83"/>
      <c r="W34" s="87"/>
      <c r="X34" s="87"/>
      <c r="Y34" s="87"/>
      <c r="Z34" s="402">
        <f t="shared" si="2"/>
        <v>21</v>
      </c>
      <c r="AA34" s="244" t="s">
        <v>332</v>
      </c>
      <c r="AB34" s="332"/>
      <c r="AC34" s="332"/>
      <c r="AD34" s="332">
        <v>0</v>
      </c>
      <c r="AE34" s="380">
        <f t="shared" si="18"/>
        <v>21</v>
      </c>
      <c r="AF34" s="19" t="s">
        <v>213</v>
      </c>
      <c r="AG34" s="19"/>
      <c r="AH34" s="19"/>
      <c r="AI34" s="437">
        <f>SUM(AI29:AI33)</f>
        <v>-8827381</v>
      </c>
      <c r="AO34" s="73">
        <f t="shared" si="4"/>
        <v>22</v>
      </c>
      <c r="AP34" s="14"/>
      <c r="AQ34" s="21"/>
      <c r="AR34" s="77"/>
      <c r="AS34" s="21"/>
      <c r="BB34" s="3"/>
      <c r="BM34" s="45"/>
      <c r="BX34" s="16"/>
      <c r="CK34" s="13">
        <f t="shared" si="9"/>
        <v>21</v>
      </c>
      <c r="CL34" s="526" t="s">
        <v>40</v>
      </c>
      <c r="CM34" s="308"/>
      <c r="CN34" s="308"/>
      <c r="CO34" s="183"/>
      <c r="CT34" s="317"/>
      <c r="CX34" s="3">
        <v>-26098</v>
      </c>
      <c r="CY34" s="317"/>
      <c r="DD34"/>
      <c r="DE34"/>
      <c r="DF34"/>
      <c r="DG34"/>
      <c r="DH34" s="498"/>
      <c r="DI34" s="37"/>
      <c r="DK34" s="2"/>
      <c r="DM34" s="251"/>
      <c r="DN34" s="27"/>
      <c r="DO34" s="13">
        <f t="shared" si="22"/>
        <v>20</v>
      </c>
      <c r="DP34" s="14" t="s">
        <v>9</v>
      </c>
      <c r="DQ34" s="56">
        <v>4829560.02833</v>
      </c>
      <c r="DR34" s="52"/>
      <c r="DS34" s="52"/>
      <c r="DT34" s="52"/>
      <c r="DU34" s="52"/>
      <c r="DV34" s="52"/>
      <c r="DW34" s="13">
        <f t="shared" si="23"/>
        <v>20</v>
      </c>
      <c r="DX34" s="14" t="s">
        <v>9</v>
      </c>
      <c r="DY34" s="52"/>
      <c r="DZ34" s="52">
        <f>AI29</f>
        <v>-3417545</v>
      </c>
      <c r="EA34" s="52"/>
      <c r="EB34" s="56"/>
      <c r="EC34" s="52"/>
      <c r="ED34" s="52"/>
      <c r="EE34" s="52"/>
      <c r="EF34" s="13">
        <f t="shared" si="24"/>
        <v>20</v>
      </c>
      <c r="EG34" s="14" t="s">
        <v>9</v>
      </c>
      <c r="EH34" s="52"/>
      <c r="EI34" s="52"/>
      <c r="EJ34" s="52"/>
      <c r="EK34" s="52"/>
      <c r="EL34" s="52"/>
      <c r="EM34" s="52">
        <f>+CJ21+CJ22</f>
        <v>74460</v>
      </c>
      <c r="EN34" s="13">
        <f t="shared" si="43"/>
        <v>20</v>
      </c>
      <c r="EO34" s="14" t="s">
        <v>9</v>
      </c>
      <c r="EP34" s="70"/>
      <c r="EQ34" s="52"/>
      <c r="ER34" s="52">
        <f>CX21+CX22</f>
        <v>-23856</v>
      </c>
      <c r="ES34" s="52"/>
      <c r="ET34" s="52"/>
      <c r="EU34" s="52">
        <f t="shared" si="37"/>
        <v>-3366941</v>
      </c>
      <c r="EV34" s="52">
        <f t="shared" si="38"/>
        <v>1462619.0283300001</v>
      </c>
      <c r="EW34" s="13">
        <f t="shared" si="26"/>
        <v>20</v>
      </c>
      <c r="EX34" s="14" t="s">
        <v>9</v>
      </c>
      <c r="EY34" s="52">
        <f t="shared" si="39"/>
        <v>4829560.02833</v>
      </c>
      <c r="EZ34" s="122">
        <f t="shared" si="40"/>
        <v>-3366941</v>
      </c>
      <c r="FA34" s="94">
        <f t="shared" si="41"/>
        <v>1462619.0283300001</v>
      </c>
      <c r="FB34" s="94"/>
      <c r="FC34" s="94">
        <f t="shared" si="42"/>
        <v>1462619.0283300001</v>
      </c>
      <c r="FD34" s="94"/>
      <c r="FE34" s="94"/>
      <c r="FF34" s="27"/>
    </row>
    <row r="35" spans="1:162" s="27" customFormat="1" ht="15" thickBot="1" thickTop="1">
      <c r="A35" s="13">
        <f t="shared" si="14"/>
        <v>22</v>
      </c>
      <c r="B35" s="250"/>
      <c r="C35" s="246" t="s">
        <v>264</v>
      </c>
      <c r="D35" s="52"/>
      <c r="E35" s="341">
        <v>0</v>
      </c>
      <c r="F35" s="250"/>
      <c r="G35" s="13">
        <f t="shared" si="15"/>
        <v>22</v>
      </c>
      <c r="H35" s="340"/>
      <c r="I35" s="340"/>
      <c r="J35" s="70"/>
      <c r="K35" s="301"/>
      <c r="L35"/>
      <c r="M35"/>
      <c r="N35"/>
      <c r="O35"/>
      <c r="P35"/>
      <c r="Q35" s="13"/>
      <c r="R35" s="14"/>
      <c r="S35" s="17"/>
      <c r="T35" s="76"/>
      <c r="U35" s="129"/>
      <c r="V35" s="317"/>
      <c r="W35" s="3"/>
      <c r="X35" s="3"/>
      <c r="Y35" s="52"/>
      <c r="Z35" s="13">
        <f t="shared" si="2"/>
        <v>22</v>
      </c>
      <c r="AA35" s="244" t="s">
        <v>75</v>
      </c>
      <c r="AB35" s="332"/>
      <c r="AC35" s="401">
        <v>0.35</v>
      </c>
      <c r="AD35" s="332"/>
      <c r="AE35" s="380">
        <f t="shared" si="18"/>
        <v>22</v>
      </c>
      <c r="AF35" s="19"/>
      <c r="AG35" s="19"/>
      <c r="AH35" s="19"/>
      <c r="AI35" s="383"/>
      <c r="AO35" s="73">
        <f t="shared" si="4"/>
        <v>23</v>
      </c>
      <c r="AP35" s="14" t="s">
        <v>79</v>
      </c>
      <c r="AQ35" s="21"/>
      <c r="AR35" s="26"/>
      <c r="AS35" s="411">
        <f>-AS32-AS33</f>
        <v>440898.6525755001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45"/>
      <c r="BN35" s="52"/>
      <c r="BO35" s="52"/>
      <c r="BP35" s="52"/>
      <c r="BQ35" s="3"/>
      <c r="BR35" s="3"/>
      <c r="BS35" s="3"/>
      <c r="BX35" s="210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13">
        <f t="shared" si="9"/>
        <v>22</v>
      </c>
      <c r="CL35" s="309" t="s">
        <v>387</v>
      </c>
      <c r="CM35" s="305"/>
      <c r="CN35" s="305"/>
      <c r="CO35" s="122">
        <f>+CO17+CO27+CO32+CO22</f>
        <v>4162421.77653399</v>
      </c>
      <c r="CS35" s="199"/>
      <c r="CT35" s="3"/>
      <c r="CU35" s="3"/>
      <c r="CV35" s="3"/>
      <c r="CW35" s="3"/>
      <c r="CX35" s="3"/>
      <c r="CY35" s="3"/>
      <c r="DD35" s="3"/>
      <c r="DI35" s="105"/>
      <c r="DJ35" s="3"/>
      <c r="DK35" s="2"/>
      <c r="DL35" s="3"/>
      <c r="DM35" s="420"/>
      <c r="DN35" s="3"/>
      <c r="DO35" s="13">
        <f t="shared" si="22"/>
        <v>21</v>
      </c>
      <c r="DP35" s="14" t="s">
        <v>10</v>
      </c>
      <c r="DQ35" s="56">
        <v>7669601.2</v>
      </c>
      <c r="DR35" s="52"/>
      <c r="DS35" s="52"/>
      <c r="DT35" s="52"/>
      <c r="DU35" s="52"/>
      <c r="DV35" s="52"/>
      <c r="DW35" s="13">
        <f t="shared" si="23"/>
        <v>21</v>
      </c>
      <c r="DX35" s="14" t="s">
        <v>10</v>
      </c>
      <c r="DY35" s="52"/>
      <c r="DZ35" s="54">
        <f>AI30</f>
        <v>-7669601</v>
      </c>
      <c r="EA35" s="52"/>
      <c r="EB35" s="56"/>
      <c r="EC35" s="52"/>
      <c r="ED35" s="54"/>
      <c r="EE35" s="54"/>
      <c r="EF35" s="13">
        <f t="shared" si="24"/>
        <v>21</v>
      </c>
      <c r="EG35" s="14" t="s">
        <v>10</v>
      </c>
      <c r="EH35" s="54"/>
      <c r="EI35" s="54"/>
      <c r="EJ35" s="54"/>
      <c r="EK35" s="54"/>
      <c r="EL35" s="54"/>
      <c r="EM35" s="54"/>
      <c r="EN35" s="13">
        <f t="shared" si="43"/>
        <v>21</v>
      </c>
      <c r="EO35" s="14" t="s">
        <v>10</v>
      </c>
      <c r="EP35" s="71"/>
      <c r="EQ35" s="54"/>
      <c r="ER35" s="54"/>
      <c r="ES35" s="54"/>
      <c r="ET35" s="54"/>
      <c r="EU35" s="52">
        <f t="shared" si="37"/>
        <v>-7669601</v>
      </c>
      <c r="EV35" s="52">
        <f t="shared" si="38"/>
        <v>0.20000000018626451</v>
      </c>
      <c r="EW35" s="13">
        <f t="shared" si="26"/>
        <v>21</v>
      </c>
      <c r="EX35" s="14" t="s">
        <v>10</v>
      </c>
      <c r="EY35" s="52">
        <f t="shared" si="39"/>
        <v>7669601.2</v>
      </c>
      <c r="EZ35" s="122">
        <f t="shared" si="40"/>
        <v>-7669601</v>
      </c>
      <c r="FA35" s="94">
        <f t="shared" si="41"/>
        <v>0.20000000018626451</v>
      </c>
      <c r="FB35" s="94"/>
      <c r="FC35" s="94">
        <f t="shared" si="42"/>
        <v>0.20000000018626451</v>
      </c>
      <c r="FD35" s="94"/>
      <c r="FE35" s="94"/>
      <c r="FF35" s="3"/>
    </row>
    <row r="36" spans="1:161" ht="14.25" customHeight="1" thickBot="1" thickTop="1">
      <c r="A36" s="13">
        <f t="shared" si="14"/>
        <v>23</v>
      </c>
      <c r="B36" s="250"/>
      <c r="C36" s="246" t="s">
        <v>261</v>
      </c>
      <c r="D36" s="52"/>
      <c r="E36" s="341">
        <v>-259451.29060781933</v>
      </c>
      <c r="F36" s="250"/>
      <c r="G36" s="13">
        <f t="shared" si="15"/>
        <v>23</v>
      </c>
      <c r="H36" s="250" t="s">
        <v>299</v>
      </c>
      <c r="I36" s="340"/>
      <c r="J36" s="196"/>
      <c r="K36" s="70">
        <f>SUM(K15:K35)</f>
        <v>75529190.43024734</v>
      </c>
      <c r="L36"/>
      <c r="M36"/>
      <c r="N36"/>
      <c r="O36"/>
      <c r="P36"/>
      <c r="Q36" s="317"/>
      <c r="S36" s="76"/>
      <c r="T36" s="76"/>
      <c r="U36" s="129"/>
      <c r="V36" s="13" t="s">
        <v>19</v>
      </c>
      <c r="W36" s="278"/>
      <c r="X36" s="133"/>
      <c r="Y36" s="55"/>
      <c r="Z36" s="13">
        <f t="shared" si="2"/>
        <v>23</v>
      </c>
      <c r="AA36" s="244" t="s">
        <v>79</v>
      </c>
      <c r="AB36" s="332"/>
      <c r="AC36" s="332"/>
      <c r="AD36" s="426">
        <f>-AD32-AD33-AD35</f>
        <v>-6218348.64238798</v>
      </c>
      <c r="AE36" s="380">
        <f t="shared" si="18"/>
        <v>23</v>
      </c>
      <c r="AF36" s="19" t="s">
        <v>323</v>
      </c>
      <c r="AG36" s="19"/>
      <c r="AH36" s="19"/>
      <c r="AI36" s="23">
        <f>-AI20-AI26-AI34</f>
        <v>527568.6825483022</v>
      </c>
      <c r="AO36" s="73"/>
      <c r="AX36" s="199"/>
      <c r="BB36" s="3"/>
      <c r="BH36" s="37"/>
      <c r="BI36" s="37"/>
      <c r="BJ36" s="37"/>
      <c r="BK36" s="37"/>
      <c r="BL36" s="37"/>
      <c r="BM36" s="45"/>
      <c r="BN36" s="70"/>
      <c r="BO36" s="70"/>
      <c r="BP36" s="70"/>
      <c r="BX36" s="16"/>
      <c r="BY36" s="27"/>
      <c r="BZ36" s="27"/>
      <c r="CA36" s="27"/>
      <c r="CB36" s="27"/>
      <c r="CK36" s="13">
        <f t="shared" si="9"/>
        <v>23</v>
      </c>
      <c r="CL36" s="309" t="s">
        <v>130</v>
      </c>
      <c r="CM36" s="281">
        <v>0.594</v>
      </c>
      <c r="CN36" s="281"/>
      <c r="CO36" s="122">
        <f>+CO35*CM36</f>
        <v>2472478.53526119</v>
      </c>
      <c r="CX36" s="31">
        <f>CX32-CX34</f>
        <v>641883</v>
      </c>
      <c r="DI36" s="37"/>
      <c r="DJ36" s="37"/>
      <c r="DK36" s="37"/>
      <c r="DM36" s="515"/>
      <c r="DO36" s="13">
        <f t="shared" si="22"/>
        <v>22</v>
      </c>
      <c r="DP36" s="14" t="s">
        <v>11</v>
      </c>
      <c r="DQ36" s="56">
        <v>44215772.715511</v>
      </c>
      <c r="DR36" s="52">
        <f>+E48</f>
        <v>-111392</v>
      </c>
      <c r="DS36" s="52">
        <f>J51</f>
        <v>151058.38086049468</v>
      </c>
      <c r="DT36" s="52"/>
      <c r="DU36" s="52"/>
      <c r="DV36" s="52"/>
      <c r="DW36" s="13">
        <f t="shared" si="23"/>
        <v>22</v>
      </c>
      <c r="DX36" s="14" t="s">
        <v>11</v>
      </c>
      <c r="DY36" s="52"/>
      <c r="DZ36" s="52">
        <f>AI24</f>
        <v>-17349.903878212834</v>
      </c>
      <c r="EA36" s="52">
        <v>0</v>
      </c>
      <c r="EB36" s="56">
        <f>+AS25+AS27+AS28+AS29+AS24</f>
        <v>502751.8474245</v>
      </c>
      <c r="EC36" s="52"/>
      <c r="ED36" s="52">
        <f>BB20</f>
        <v>0.25840000016614795</v>
      </c>
      <c r="EE36" s="52">
        <f>BG18</f>
        <v>-219160</v>
      </c>
      <c r="EF36" s="13">
        <f t="shared" si="24"/>
        <v>22</v>
      </c>
      <c r="EG36" s="14" t="s">
        <v>11</v>
      </c>
      <c r="EH36" s="52"/>
      <c r="EI36" s="52">
        <f>BP24</f>
        <v>-236859</v>
      </c>
      <c r="EJ36" s="52"/>
      <c r="EK36" s="52">
        <f>BX16</f>
        <v>-358767.9525479926</v>
      </c>
      <c r="EL36" s="52">
        <f>CC17</f>
        <v>2277374.574400398</v>
      </c>
      <c r="EM36" s="52">
        <f>+CJ23</f>
        <v>606382</v>
      </c>
      <c r="EN36" s="13">
        <f t="shared" si="43"/>
        <v>22</v>
      </c>
      <c r="EO36" s="14" t="s">
        <v>11</v>
      </c>
      <c r="EP36" s="52">
        <f>CO38</f>
        <v>153854.02323142067</v>
      </c>
      <c r="EQ36" s="52">
        <f>CS21</f>
        <v>837199.9974923637</v>
      </c>
      <c r="ER36" s="52">
        <f>CX23</f>
        <v>-232356</v>
      </c>
      <c r="ES36" s="52">
        <f>DC16</f>
        <v>-478634</v>
      </c>
      <c r="ET36" s="52">
        <f>DH21</f>
        <v>-1512141.171696</v>
      </c>
      <c r="EU36" s="52">
        <f t="shared" si="37"/>
        <v>1361961.0536869715</v>
      </c>
      <c r="EV36" s="52">
        <f t="shared" si="38"/>
        <v>45577733.76919797</v>
      </c>
      <c r="EW36" s="13">
        <f t="shared" si="26"/>
        <v>22</v>
      </c>
      <c r="EX36" s="14" t="s">
        <v>11</v>
      </c>
      <c r="EY36" s="52">
        <f t="shared" si="39"/>
        <v>44215772.715511</v>
      </c>
      <c r="EZ36" s="122">
        <f t="shared" si="40"/>
        <v>1361961.0536869715</v>
      </c>
      <c r="FA36" s="94">
        <f t="shared" si="41"/>
        <v>45577733.76919797</v>
      </c>
      <c r="FB36" s="94">
        <f>FB19*(DM15)</f>
        <v>54398.234000000004</v>
      </c>
      <c r="FC36" s="94">
        <f t="shared" si="42"/>
        <v>45632132.00319797</v>
      </c>
      <c r="FD36" s="94"/>
      <c r="FE36" s="94"/>
    </row>
    <row r="37" spans="1:161" ht="14.25" customHeight="1" thickTop="1">
      <c r="A37" s="13">
        <f t="shared" si="14"/>
        <v>24</v>
      </c>
      <c r="B37" s="250"/>
      <c r="C37" s="246" t="s">
        <v>265</v>
      </c>
      <c r="D37" s="52"/>
      <c r="E37" s="341">
        <v>-892486.8188553974</v>
      </c>
      <c r="F37" s="250"/>
      <c r="G37" s="13">
        <f t="shared" si="15"/>
        <v>24</v>
      </c>
      <c r="H37" s="250"/>
      <c r="I37" s="340"/>
      <c r="J37" s="196"/>
      <c r="K37" s="70"/>
      <c r="L37"/>
      <c r="M37"/>
      <c r="N37"/>
      <c r="O37"/>
      <c r="P37"/>
      <c r="Q37" s="13"/>
      <c r="U37" s="31"/>
      <c r="V37" s="13"/>
      <c r="W37" s="278"/>
      <c r="X37" s="133"/>
      <c r="Y37" s="19"/>
      <c r="Z37" s="13">
        <f t="shared" si="2"/>
        <v>24</v>
      </c>
      <c r="AA37" s="244"/>
      <c r="AB37" s="332"/>
      <c r="AC37" s="332"/>
      <c r="AD37" s="332"/>
      <c r="AE37" s="380">
        <f t="shared" si="18"/>
        <v>24</v>
      </c>
      <c r="AF37" s="3" t="s">
        <v>159</v>
      </c>
      <c r="AI37" s="23">
        <f>AI36*0.35</f>
        <v>184649.03889190577</v>
      </c>
      <c r="AO37" s="73"/>
      <c r="BC37" s="37"/>
      <c r="BD37" s="37"/>
      <c r="BE37" s="37"/>
      <c r="BF37" s="37"/>
      <c r="BG37" s="37"/>
      <c r="BH37" s="36"/>
      <c r="BI37" s="36"/>
      <c r="BJ37" s="36"/>
      <c r="BK37" s="36"/>
      <c r="BL37" s="36"/>
      <c r="BM37" s="45"/>
      <c r="BN37" s="70"/>
      <c r="BO37" s="70"/>
      <c r="BP37" s="70"/>
      <c r="BQ37" s="37"/>
      <c r="BR37" s="37"/>
      <c r="BS37" s="37"/>
      <c r="BX37" s="16"/>
      <c r="CK37" s="13">
        <f t="shared" si="9"/>
        <v>24</v>
      </c>
      <c r="CL37" s="244" t="s">
        <v>388</v>
      </c>
      <c r="CM37" s="17"/>
      <c r="CN37" s="17"/>
      <c r="CO37" s="125">
        <f>(+CN15+CN25+CN30+CN20)*CM36</f>
        <v>2318624.5120297694</v>
      </c>
      <c r="CP37" s="78"/>
      <c r="CQ37" s="2"/>
      <c r="CS37" s="37"/>
      <c r="CT37" s="37"/>
      <c r="CY37" s="37"/>
      <c r="DI37" s="36" t="str">
        <f>PSE</f>
        <v>PUGET SOUND ENERGY-GAS </v>
      </c>
      <c r="DJ37" s="6"/>
      <c r="DK37" s="6"/>
      <c r="DL37" s="6"/>
      <c r="DM37" s="6"/>
      <c r="DO37" s="13">
        <f t="shared" si="22"/>
        <v>23</v>
      </c>
      <c r="DP37" s="14" t="s">
        <v>188</v>
      </c>
      <c r="DQ37" s="56">
        <v>82190938.45786199</v>
      </c>
      <c r="DR37" s="52"/>
      <c r="DS37" s="52"/>
      <c r="DT37" s="52"/>
      <c r="DU37" s="52"/>
      <c r="DV37" s="52"/>
      <c r="DW37" s="13">
        <f t="shared" si="23"/>
        <v>23</v>
      </c>
      <c r="DX37" s="14" t="s">
        <v>188</v>
      </c>
      <c r="DY37" s="52">
        <f>AD24+AD30</f>
        <v>6218348.64238798</v>
      </c>
      <c r="DZ37" s="52"/>
      <c r="EA37" s="52"/>
      <c r="EB37" s="56"/>
      <c r="EC37" s="52"/>
      <c r="ED37" s="52"/>
      <c r="EE37" s="52"/>
      <c r="EF37" s="13">
        <f t="shared" si="24"/>
        <v>23</v>
      </c>
      <c r="EG37" s="14" t="s">
        <v>188</v>
      </c>
      <c r="EH37" s="52"/>
      <c r="EI37" s="52"/>
      <c r="EJ37" s="52"/>
      <c r="EK37" s="52"/>
      <c r="EL37" s="52"/>
      <c r="EM37" s="52"/>
      <c r="EN37" s="13">
        <f t="shared" si="43"/>
        <v>23</v>
      </c>
      <c r="EO37" s="14" t="s">
        <v>188</v>
      </c>
      <c r="EP37" s="70"/>
      <c r="EQ37" s="52"/>
      <c r="ER37" s="52"/>
      <c r="ES37" s="52"/>
      <c r="ET37" s="52">
        <f>DH22</f>
        <v>440534.2724139923</v>
      </c>
      <c r="EU37" s="52">
        <f t="shared" si="37"/>
        <v>6658882.914801972</v>
      </c>
      <c r="EV37" s="52">
        <f t="shared" si="38"/>
        <v>88849821.37266396</v>
      </c>
      <c r="EW37" s="13">
        <f t="shared" si="26"/>
        <v>23</v>
      </c>
      <c r="EX37" s="14" t="s">
        <v>188</v>
      </c>
      <c r="EY37" s="52">
        <f t="shared" si="39"/>
        <v>82190938.45786199</v>
      </c>
      <c r="EZ37" s="122">
        <f t="shared" si="40"/>
        <v>6658882.914801972</v>
      </c>
      <c r="FA37" s="94">
        <f t="shared" si="41"/>
        <v>88849821.37266396</v>
      </c>
      <c r="FB37" s="94"/>
      <c r="FC37" s="94">
        <f t="shared" si="42"/>
        <v>88849821.37266396</v>
      </c>
      <c r="FD37" s="94"/>
      <c r="FE37" s="94"/>
    </row>
    <row r="38" spans="1:161" ht="14.25" customHeight="1">
      <c r="A38" s="13">
        <f t="shared" si="14"/>
        <v>25</v>
      </c>
      <c r="B38" s="250"/>
      <c r="C38" s="343" t="s">
        <v>266</v>
      </c>
      <c r="D38" s="52"/>
      <c r="E38" s="341">
        <v>-834177.3984194845</v>
      </c>
      <c r="F38" s="250"/>
      <c r="G38" s="13">
        <f t="shared" si="15"/>
        <v>25</v>
      </c>
      <c r="H38" s="250" t="s">
        <v>307</v>
      </c>
      <c r="I38" s="340"/>
      <c r="J38" s="196"/>
      <c r="K38" s="70"/>
      <c r="L38"/>
      <c r="M38"/>
      <c r="N38"/>
      <c r="O38"/>
      <c r="P38"/>
      <c r="V38" s="13"/>
      <c r="X38" s="299"/>
      <c r="Y38" s="503"/>
      <c r="Z38" s="13">
        <f t="shared" si="2"/>
        <v>25</v>
      </c>
      <c r="AA38" s="244"/>
      <c r="AB38" s="332"/>
      <c r="AC38" s="332"/>
      <c r="AD38" s="332"/>
      <c r="AE38" s="380">
        <f t="shared" si="18"/>
        <v>25</v>
      </c>
      <c r="AF38" s="3" t="s">
        <v>82</v>
      </c>
      <c r="AI38" s="437">
        <f>AI36-AI37</f>
        <v>342919.6436563964</v>
      </c>
      <c r="AJ38" s="3" t="s">
        <v>109</v>
      </c>
      <c r="AO38" s="73"/>
      <c r="AQ38" s="21"/>
      <c r="AS38" s="52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45"/>
      <c r="BN38" s="70"/>
      <c r="BO38" s="70"/>
      <c r="BP38" s="70"/>
      <c r="BQ38" s="36"/>
      <c r="BR38" s="36"/>
      <c r="BS38" s="36"/>
      <c r="BX38" s="16"/>
      <c r="CK38" s="13">
        <f t="shared" si="9"/>
        <v>25</v>
      </c>
      <c r="CL38" s="310" t="s">
        <v>67</v>
      </c>
      <c r="CM38" s="311"/>
      <c r="CN38" s="311"/>
      <c r="CO38" s="409">
        <f>CO36-CO37</f>
        <v>153854.02323142067</v>
      </c>
      <c r="CT38" s="36"/>
      <c r="CU38" s="37"/>
      <c r="CV38" s="37"/>
      <c r="CW38" s="37"/>
      <c r="CX38" s="37"/>
      <c r="CY38" s="36"/>
      <c r="DI38" s="36" t="s">
        <v>179</v>
      </c>
      <c r="DJ38" s="6"/>
      <c r="DK38" s="39"/>
      <c r="DL38" s="6"/>
      <c r="DM38" s="6"/>
      <c r="DO38" s="13">
        <f t="shared" si="22"/>
        <v>24</v>
      </c>
      <c r="DP38" s="14" t="s">
        <v>49</v>
      </c>
      <c r="DQ38" s="56">
        <v>15618788.142220002</v>
      </c>
      <c r="DR38" s="52"/>
      <c r="DS38" s="52"/>
      <c r="DT38" s="52"/>
      <c r="DU38" s="52"/>
      <c r="DV38" s="52"/>
      <c r="DW38" s="13">
        <f t="shared" si="23"/>
        <v>24</v>
      </c>
      <c r="DX38" s="14" t="s">
        <v>49</v>
      </c>
      <c r="DY38" s="52">
        <f>AD28</f>
        <v>2.6489033189136535E-11</v>
      </c>
      <c r="DZ38" s="52"/>
      <c r="EA38" s="52"/>
      <c r="EB38" s="56"/>
      <c r="EC38" s="52"/>
      <c r="ED38" s="52"/>
      <c r="EE38" s="52"/>
      <c r="EF38" s="13">
        <f t="shared" si="24"/>
        <v>24</v>
      </c>
      <c r="EG38" s="14" t="s">
        <v>49</v>
      </c>
      <c r="EH38" s="52"/>
      <c r="EI38" s="52"/>
      <c r="EJ38" s="52"/>
      <c r="EK38" s="52"/>
      <c r="EL38" s="52"/>
      <c r="EM38" s="52"/>
      <c r="EN38" s="13">
        <f t="shared" si="43"/>
        <v>24</v>
      </c>
      <c r="EO38" s="14" t="s">
        <v>49</v>
      </c>
      <c r="EP38" s="52"/>
      <c r="EQ38" s="52"/>
      <c r="ER38" s="52"/>
      <c r="ES38" s="52"/>
      <c r="ET38" s="52"/>
      <c r="EU38" s="52">
        <f t="shared" si="37"/>
        <v>2.6489033189136535E-11</v>
      </c>
      <c r="EV38" s="52">
        <f t="shared" si="38"/>
        <v>15618788.142220002</v>
      </c>
      <c r="EW38" s="13">
        <f t="shared" si="26"/>
        <v>24</v>
      </c>
      <c r="EX38" s="14" t="s">
        <v>49</v>
      </c>
      <c r="EY38" s="52">
        <f t="shared" si="39"/>
        <v>15618788.142220002</v>
      </c>
      <c r="EZ38" s="122">
        <f>EU38</f>
        <v>2.6489033189136535E-11</v>
      </c>
      <c r="FA38" s="94">
        <f>+EY38+EZ38</f>
        <v>15618788.142220002</v>
      </c>
      <c r="FB38" s="94"/>
      <c r="FC38" s="94">
        <f>+FA38+FB38</f>
        <v>15618788.142220002</v>
      </c>
      <c r="FD38" s="94"/>
      <c r="FE38" s="94"/>
    </row>
    <row r="39" spans="1:161" ht="12.75">
      <c r="A39" s="13">
        <f t="shared" si="14"/>
        <v>26</v>
      </c>
      <c r="B39" s="250"/>
      <c r="C39" s="343" t="s">
        <v>262</v>
      </c>
      <c r="D39" s="52"/>
      <c r="E39" s="341">
        <v>-30253.97997221339</v>
      </c>
      <c r="F39" s="250"/>
      <c r="G39" s="13">
        <f t="shared" si="15"/>
        <v>26</v>
      </c>
      <c r="H39" s="250" t="s">
        <v>308</v>
      </c>
      <c r="I39" s="250"/>
      <c r="J39" s="325"/>
      <c r="K39" s="250"/>
      <c r="L39"/>
      <c r="M39"/>
      <c r="N39"/>
      <c r="O39"/>
      <c r="P39"/>
      <c r="V39" s="89"/>
      <c r="W39" s="27"/>
      <c r="X39" s="299"/>
      <c r="Y39" s="504"/>
      <c r="Z39" s="13">
        <f t="shared" si="2"/>
        <v>26</v>
      </c>
      <c r="AA39" s="351" t="s">
        <v>81</v>
      </c>
      <c r="AB39" s="332"/>
      <c r="AC39" s="332"/>
      <c r="AD39" s="332"/>
      <c r="AO39" s="73"/>
      <c r="AQ39" s="21"/>
      <c r="BC39" s="36"/>
      <c r="BD39" s="36"/>
      <c r="BE39" s="36"/>
      <c r="BF39" s="36"/>
      <c r="BG39" s="36"/>
      <c r="BH39" s="6"/>
      <c r="BI39" s="6"/>
      <c r="BJ39" s="6"/>
      <c r="BK39" s="6"/>
      <c r="BL39" s="6"/>
      <c r="BM39" s="45"/>
      <c r="BN39" s="70"/>
      <c r="BO39" s="70"/>
      <c r="BP39" s="70"/>
      <c r="BQ39" s="36"/>
      <c r="BR39" s="36"/>
      <c r="BS39" s="36"/>
      <c r="BX39" s="16"/>
      <c r="CK39" s="13">
        <f t="shared" si="9"/>
        <v>26</v>
      </c>
      <c r="CL39" s="306"/>
      <c r="CM39" s="305"/>
      <c r="CN39" s="305"/>
      <c r="CO39" s="122"/>
      <c r="CT39" s="36"/>
      <c r="CU39" s="36"/>
      <c r="CV39" s="36"/>
      <c r="CW39" s="36"/>
      <c r="CX39" s="36"/>
      <c r="CY39" s="36"/>
      <c r="DI39" s="6" t="str">
        <f>TESTYEAR</f>
        <v>FOR THE TWELVE MONTHS ENDED DECEMBER  31, 2008</v>
      </c>
      <c r="DJ39" s="6"/>
      <c r="DK39" s="6"/>
      <c r="DL39" s="6"/>
      <c r="DM39" s="6"/>
      <c r="DO39" s="13">
        <f t="shared" si="22"/>
        <v>25</v>
      </c>
      <c r="DP39" s="14" t="s">
        <v>110</v>
      </c>
      <c r="DQ39" s="56">
        <v>0</v>
      </c>
      <c r="DR39" s="52"/>
      <c r="DS39" s="52"/>
      <c r="DT39" s="52"/>
      <c r="DU39" s="52"/>
      <c r="DV39" s="52"/>
      <c r="DW39" s="13">
        <f t="shared" si="23"/>
        <v>25</v>
      </c>
      <c r="DX39" s="14" t="s">
        <v>110</v>
      </c>
      <c r="DY39" s="52"/>
      <c r="DZ39" s="52"/>
      <c r="EA39" s="52"/>
      <c r="EB39" s="56"/>
      <c r="EC39" s="52"/>
      <c r="ED39" s="52"/>
      <c r="EE39" s="52"/>
      <c r="EF39" s="13">
        <f t="shared" si="24"/>
        <v>25</v>
      </c>
      <c r="EG39" s="14" t="s">
        <v>110</v>
      </c>
      <c r="EH39" s="52"/>
      <c r="EI39" s="52"/>
      <c r="EJ39" s="52"/>
      <c r="EK39" s="52"/>
      <c r="EL39" s="52"/>
      <c r="EM39" s="52"/>
      <c r="EN39" s="13">
        <f t="shared" si="43"/>
        <v>25</v>
      </c>
      <c r="EO39" s="14" t="s">
        <v>110</v>
      </c>
      <c r="EP39" s="70"/>
      <c r="EQ39" s="52"/>
      <c r="ER39" s="52"/>
      <c r="ES39" s="52"/>
      <c r="ET39" s="52"/>
      <c r="EU39" s="52">
        <f t="shared" si="37"/>
        <v>0</v>
      </c>
      <c r="EV39" s="52">
        <f t="shared" si="38"/>
        <v>0</v>
      </c>
      <c r="EW39" s="13">
        <f t="shared" si="26"/>
        <v>25</v>
      </c>
      <c r="EX39" s="14" t="s">
        <v>110</v>
      </c>
      <c r="EY39" s="52">
        <f t="shared" si="39"/>
        <v>0</v>
      </c>
      <c r="EZ39" s="122">
        <f t="shared" si="40"/>
        <v>0</v>
      </c>
      <c r="FA39" s="94">
        <f t="shared" si="41"/>
        <v>0</v>
      </c>
      <c r="FB39" s="94"/>
      <c r="FC39" s="94">
        <f t="shared" si="42"/>
        <v>0</v>
      </c>
      <c r="FD39" s="94"/>
      <c r="FE39" s="94"/>
    </row>
    <row r="40" spans="1:161" ht="12.75">
      <c r="A40" s="13">
        <f t="shared" si="14"/>
        <v>27</v>
      </c>
      <c r="B40" s="250"/>
      <c r="C40" s="343" t="s">
        <v>372</v>
      </c>
      <c r="D40" s="52"/>
      <c r="E40" s="342">
        <v>-14406.379832294304</v>
      </c>
      <c r="F40" s="250"/>
      <c r="G40" s="13">
        <f t="shared" si="15"/>
        <v>27</v>
      </c>
      <c r="H40" s="509" t="s">
        <v>374</v>
      </c>
      <c r="I40" s="250"/>
      <c r="J40" s="325">
        <v>14998.736019134521</v>
      </c>
      <c r="K40" s="250"/>
      <c r="L40"/>
      <c r="M40"/>
      <c r="N40"/>
      <c r="O40"/>
      <c r="P40"/>
      <c r="V40" s="13"/>
      <c r="X40" s="299"/>
      <c r="Y40" s="503"/>
      <c r="Z40" s="13">
        <f t="shared" si="2"/>
        <v>27</v>
      </c>
      <c r="AA40" s="244" t="s">
        <v>311</v>
      </c>
      <c r="AB40" s="77"/>
      <c r="AC40" s="250"/>
      <c r="AD40" s="413">
        <f>-AD32*0.5</f>
        <v>-3109174.32119399</v>
      </c>
      <c r="AO40" s="73"/>
      <c r="AP40" s="78"/>
      <c r="AQ40" s="21"/>
      <c r="AS40" s="230"/>
      <c r="BC40" s="6"/>
      <c r="BD40" s="6"/>
      <c r="BE40" s="6"/>
      <c r="BF40" s="6"/>
      <c r="BG40" s="6"/>
      <c r="BH40" s="36"/>
      <c r="BI40" s="36"/>
      <c r="BJ40" s="36"/>
      <c r="BK40" s="36"/>
      <c r="BL40" s="36"/>
      <c r="BM40" s="45"/>
      <c r="BN40" s="70"/>
      <c r="BO40" s="70"/>
      <c r="BP40" s="70"/>
      <c r="BQ40" s="6"/>
      <c r="BR40" s="6"/>
      <c r="BS40" s="6"/>
      <c r="BX40" s="16"/>
      <c r="CK40" s="13">
        <f t="shared" si="9"/>
        <v>27</v>
      </c>
      <c r="CL40" s="244" t="s">
        <v>73</v>
      </c>
      <c r="CM40" s="17">
        <f>_FEDERAL_INCOME_TAX</f>
        <v>0.35</v>
      </c>
      <c r="CN40" s="17"/>
      <c r="CO40" s="123">
        <f>ROUND(-CO38*CM40,0)</f>
        <v>-53849</v>
      </c>
      <c r="CQ40" s="138"/>
      <c r="CR40" s="138"/>
      <c r="CT40" s="6"/>
      <c r="CU40" s="36"/>
      <c r="CV40" s="36"/>
      <c r="CW40" s="36"/>
      <c r="CX40" s="36"/>
      <c r="CY40" s="6"/>
      <c r="DI40" s="36" t="str">
        <f>DOCKET</f>
        <v>GENERAL RATE INCREASE</v>
      </c>
      <c r="DJ40" s="6"/>
      <c r="DK40" s="6"/>
      <c r="DL40" s="6"/>
      <c r="DM40" s="6"/>
      <c r="DO40" s="13">
        <f t="shared" si="22"/>
        <v>26</v>
      </c>
      <c r="DP40" s="14" t="s">
        <v>12</v>
      </c>
      <c r="DQ40" s="56">
        <v>781403.92</v>
      </c>
      <c r="DR40" s="52">
        <v>0</v>
      </c>
      <c r="DS40" s="52">
        <v>0</v>
      </c>
      <c r="DT40" s="52">
        <f>P19</f>
        <v>1566771.8743053966</v>
      </c>
      <c r="DU40" s="52"/>
      <c r="DV40" s="52"/>
      <c r="DW40" s="13">
        <f t="shared" si="23"/>
        <v>26</v>
      </c>
      <c r="DX40" s="14" t="s">
        <v>12</v>
      </c>
      <c r="DY40" s="52"/>
      <c r="DZ40" s="52"/>
      <c r="EA40" s="52"/>
      <c r="EB40" s="52">
        <f>+AS21</f>
        <v>-1414931</v>
      </c>
      <c r="EC40" s="52"/>
      <c r="ED40" s="52"/>
      <c r="EE40" s="52"/>
      <c r="EF40" s="13">
        <f t="shared" si="24"/>
        <v>26</v>
      </c>
      <c r="EG40" s="14" t="s">
        <v>12</v>
      </c>
      <c r="EH40" s="52"/>
      <c r="EI40" s="52"/>
      <c r="EJ40" s="52">
        <f>BS22</f>
        <v>482172.39</v>
      </c>
      <c r="EK40" s="52"/>
      <c r="EL40" s="52"/>
      <c r="EM40" s="52"/>
      <c r="EN40" s="13">
        <f t="shared" si="43"/>
        <v>26</v>
      </c>
      <c r="EO40" s="14" t="s">
        <v>12</v>
      </c>
      <c r="EP40" s="70"/>
      <c r="EQ40" s="52"/>
      <c r="ER40" s="52"/>
      <c r="ES40" s="52"/>
      <c r="ET40" s="52"/>
      <c r="EU40" s="52">
        <f t="shared" si="37"/>
        <v>634013.2643053966</v>
      </c>
      <c r="EV40" s="52">
        <f t="shared" si="38"/>
        <v>1415417.1843053966</v>
      </c>
      <c r="EW40" s="13">
        <f t="shared" si="26"/>
        <v>26</v>
      </c>
      <c r="EX40" s="14" t="s">
        <v>12</v>
      </c>
      <c r="EY40" s="52">
        <f t="shared" si="39"/>
        <v>781403.92</v>
      </c>
      <c r="EZ40" s="122">
        <f t="shared" si="40"/>
        <v>634013.2643053966</v>
      </c>
      <c r="FA40" s="94">
        <f t="shared" si="41"/>
        <v>1415417.1843053966</v>
      </c>
      <c r="FB40" s="94"/>
      <c r="FC40" s="94">
        <f t="shared" si="42"/>
        <v>1415417.1843053966</v>
      </c>
      <c r="FD40" s="94"/>
      <c r="FE40" s="94"/>
    </row>
    <row r="41" spans="1:161" ht="14.25" customHeight="1" thickBot="1">
      <c r="A41" s="13">
        <f t="shared" si="14"/>
        <v>28</v>
      </c>
      <c r="B41" s="250" t="s">
        <v>252</v>
      </c>
      <c r="C41" s="250"/>
      <c r="D41" s="250"/>
      <c r="E41" s="31"/>
      <c r="F41" s="325">
        <f>SUM(E31:E40)</f>
        <v>-55696079.37122813</v>
      </c>
      <c r="G41" s="13">
        <f t="shared" si="15"/>
        <v>28</v>
      </c>
      <c r="H41" s="509" t="s">
        <v>375</v>
      </c>
      <c r="I41" s="250"/>
      <c r="J41" s="325"/>
      <c r="K41" s="250"/>
      <c r="L41"/>
      <c r="M41"/>
      <c r="N41"/>
      <c r="O41"/>
      <c r="P41"/>
      <c r="V41" s="13"/>
      <c r="X41" s="299"/>
      <c r="Y41" s="503"/>
      <c r="Z41" s="13">
        <f t="shared" si="2"/>
        <v>28</v>
      </c>
      <c r="AA41" s="244" t="s">
        <v>312</v>
      </c>
      <c r="AB41" s="427"/>
      <c r="AC41" s="427"/>
      <c r="AD41" s="332">
        <f>-AD35*0.5</f>
        <v>0</v>
      </c>
      <c r="AO41" s="73"/>
      <c r="AQ41" s="231"/>
      <c r="AR41" s="48"/>
      <c r="AS41" s="52"/>
      <c r="BC41" s="36"/>
      <c r="BD41" s="36"/>
      <c r="BE41" s="36"/>
      <c r="BF41" s="36"/>
      <c r="BG41" s="36"/>
      <c r="BH41" s="40"/>
      <c r="BI41" s="40"/>
      <c r="BJ41" s="40"/>
      <c r="BK41" s="40"/>
      <c r="BL41" s="40"/>
      <c r="BM41" s="45"/>
      <c r="BQ41" s="36"/>
      <c r="BR41" s="36"/>
      <c r="BS41" s="36"/>
      <c r="CK41" s="13">
        <f t="shared" si="9"/>
        <v>28</v>
      </c>
      <c r="CL41" s="244" t="s">
        <v>82</v>
      </c>
      <c r="CM41" s="305"/>
      <c r="CN41" s="305"/>
      <c r="CO41" s="410">
        <f>-CO38-CO40</f>
        <v>-100005.02323142067</v>
      </c>
      <c r="CP41" s="140"/>
      <c r="CQ41" s="135"/>
      <c r="CR41" s="135"/>
      <c r="CT41" s="36"/>
      <c r="CU41" s="6"/>
      <c r="CV41" s="6"/>
      <c r="CW41" s="6"/>
      <c r="CX41" s="6"/>
      <c r="CY41" s="36"/>
      <c r="DI41" s="37"/>
      <c r="DJ41" s="37"/>
      <c r="DK41" s="37"/>
      <c r="DL41" s="37"/>
      <c r="DM41" s="37"/>
      <c r="DO41" s="13">
        <f aca="true" t="shared" si="44" ref="DO41:DO59">+DO40+1</f>
        <v>27</v>
      </c>
      <c r="DP41" s="3" t="s">
        <v>199</v>
      </c>
      <c r="DQ41" s="56">
        <v>0</v>
      </c>
      <c r="DW41" s="13">
        <f aca="true" t="shared" si="45" ref="DW41:DW59">+DW40+1</f>
        <v>27</v>
      </c>
      <c r="DX41" s="3" t="s">
        <v>199</v>
      </c>
      <c r="EF41" s="13">
        <f aca="true" t="shared" si="46" ref="EF41:EF59">+EF40+1</f>
        <v>27</v>
      </c>
      <c r="EG41" s="3" t="s">
        <v>199</v>
      </c>
      <c r="EN41" s="13">
        <f t="shared" si="43"/>
        <v>27</v>
      </c>
      <c r="EO41" s="3" t="s">
        <v>199</v>
      </c>
      <c r="EU41" s="52">
        <f t="shared" si="37"/>
        <v>0</v>
      </c>
      <c r="EV41" s="52">
        <f t="shared" si="38"/>
        <v>0</v>
      </c>
      <c r="EW41" s="13">
        <f aca="true" t="shared" si="47" ref="EW41:EW59">+EW40+1</f>
        <v>27</v>
      </c>
      <c r="EX41" s="3" t="s">
        <v>199</v>
      </c>
      <c r="EY41" s="52">
        <f t="shared" si="39"/>
        <v>0</v>
      </c>
      <c r="EZ41" s="122">
        <f>EU41</f>
        <v>0</v>
      </c>
      <c r="FA41" s="94">
        <f>+EY41+EZ41</f>
        <v>0</v>
      </c>
      <c r="FB41" s="94"/>
      <c r="FC41" s="94">
        <f>+FA41+FB41</f>
        <v>0</v>
      </c>
      <c r="FD41" s="94"/>
      <c r="FE41" s="94"/>
    </row>
    <row r="42" spans="1:161" ht="14.25" customHeight="1" thickBot="1" thickTop="1">
      <c r="A42" s="13">
        <f t="shared" si="14"/>
        <v>29</v>
      </c>
      <c r="B42" s="336"/>
      <c r="C42" s="336"/>
      <c r="D42" s="337"/>
      <c r="E42" s="196"/>
      <c r="F42" s="250"/>
      <c r="G42" s="13">
        <f t="shared" si="15"/>
        <v>29</v>
      </c>
      <c r="H42" s="510" t="s">
        <v>301</v>
      </c>
      <c r="I42" s="250"/>
      <c r="J42" s="325">
        <v>0</v>
      </c>
      <c r="K42" s="250"/>
      <c r="L42"/>
      <c r="M42"/>
      <c r="N42"/>
      <c r="O42"/>
      <c r="P42"/>
      <c r="V42" s="13"/>
      <c r="X42" s="505"/>
      <c r="Y42" s="503"/>
      <c r="Z42" s="13">
        <f t="shared" si="2"/>
        <v>29</v>
      </c>
      <c r="AA42" s="244" t="s">
        <v>118</v>
      </c>
      <c r="AB42" s="11"/>
      <c r="AC42" s="11"/>
      <c r="AD42" s="428">
        <f>SUM(AD40:AD41)</f>
        <v>-3109174.32119399</v>
      </c>
      <c r="AO42" s="73"/>
      <c r="BC42" s="40"/>
      <c r="BD42" s="40"/>
      <c r="BE42" s="40"/>
      <c r="BF42" s="40"/>
      <c r="BG42" s="40"/>
      <c r="BH42" s="37"/>
      <c r="BI42" s="37"/>
      <c r="BJ42" s="37"/>
      <c r="BK42" s="37"/>
      <c r="BL42" s="37"/>
      <c r="BM42" s="45"/>
      <c r="BQ42" s="40"/>
      <c r="BR42" s="40"/>
      <c r="BS42" s="40"/>
      <c r="CP42" s="140"/>
      <c r="CQ42" s="135"/>
      <c r="CR42" s="135"/>
      <c r="CS42" s="40"/>
      <c r="CT42" s="40"/>
      <c r="CU42" s="36"/>
      <c r="CV42" s="36"/>
      <c r="CW42" s="36"/>
      <c r="CX42" s="36"/>
      <c r="CY42" s="40"/>
      <c r="CZ42" s="36"/>
      <c r="DA42" s="36"/>
      <c r="DB42" s="36"/>
      <c r="DC42" s="36"/>
      <c r="DI42" s="37"/>
      <c r="DJ42" s="37"/>
      <c r="DK42" s="37"/>
      <c r="DL42" s="37"/>
      <c r="DM42" s="37"/>
      <c r="DO42" s="13">
        <f t="shared" si="44"/>
        <v>28</v>
      </c>
      <c r="DP42" s="14" t="s">
        <v>237</v>
      </c>
      <c r="DQ42" s="56">
        <v>108410162.192576</v>
      </c>
      <c r="DR42" s="52">
        <f>+E51</f>
        <v>-2139342</v>
      </c>
      <c r="DS42" s="52">
        <f>K56</f>
        <v>2901151.7336162305</v>
      </c>
      <c r="DT42" s="52"/>
      <c r="DU42" s="52"/>
      <c r="DV42" s="52"/>
      <c r="DW42" s="13">
        <f t="shared" si="45"/>
        <v>28</v>
      </c>
      <c r="DX42" s="14" t="s">
        <v>237</v>
      </c>
      <c r="DY42" s="52"/>
      <c r="DZ42" s="52">
        <f>AI25+AI32</f>
        <v>-48633838.578933015</v>
      </c>
      <c r="EA42" s="52"/>
      <c r="EB42" s="56"/>
      <c r="EC42" s="52">
        <f>AX16</f>
        <v>1308384</v>
      </c>
      <c r="ED42" s="52">
        <f>BB16</f>
        <v>-1066354.2899999917</v>
      </c>
      <c r="EE42" s="52"/>
      <c r="EF42" s="13">
        <f t="shared" si="46"/>
        <v>28</v>
      </c>
      <c r="EG42" s="14" t="s">
        <v>237</v>
      </c>
      <c r="EH42" s="52"/>
      <c r="EI42" s="52"/>
      <c r="EJ42" s="52"/>
      <c r="EK42" s="52"/>
      <c r="EL42" s="52"/>
      <c r="EM42" s="52">
        <f>+CJ26</f>
        <v>182013</v>
      </c>
      <c r="EN42" s="13">
        <f t="shared" si="43"/>
        <v>28</v>
      </c>
      <c r="EO42" s="14" t="s">
        <v>237</v>
      </c>
      <c r="EP42" s="70"/>
      <c r="EQ42" s="52"/>
      <c r="ER42" s="52">
        <f>CX26</f>
        <v>-70311</v>
      </c>
      <c r="ES42" s="52"/>
      <c r="ET42" s="52"/>
      <c r="EU42" s="52">
        <f t="shared" si="37"/>
        <v>-47518297.135316774</v>
      </c>
      <c r="EV42" s="52">
        <f t="shared" si="38"/>
        <v>60891865.05725923</v>
      </c>
      <c r="EW42" s="13">
        <f t="shared" si="47"/>
        <v>28</v>
      </c>
      <c r="EX42" s="14" t="s">
        <v>237</v>
      </c>
      <c r="EY42" s="52">
        <f t="shared" si="39"/>
        <v>108410162.192576</v>
      </c>
      <c r="EZ42" s="122">
        <f>EU42</f>
        <v>-47518297.135316774</v>
      </c>
      <c r="FA42" s="94">
        <f>+EY42+EZ42</f>
        <v>60891865.05725923</v>
      </c>
      <c r="FB42" s="94">
        <f>FB19*(DM16)</f>
        <v>1044745.283087</v>
      </c>
      <c r="FC42" s="94">
        <f>+FA42+FB42</f>
        <v>61936610.34034623</v>
      </c>
      <c r="FD42" s="94"/>
      <c r="FE42" s="67"/>
    </row>
    <row r="43" spans="1:161" ht="14.25" customHeight="1" thickTop="1">
      <c r="A43" s="13">
        <f t="shared" si="14"/>
        <v>30</v>
      </c>
      <c r="B43" s="507" t="s">
        <v>339</v>
      </c>
      <c r="C43" s="336"/>
      <c r="D43" s="337"/>
      <c r="E43" s="196"/>
      <c r="F43" s="250"/>
      <c r="G43" s="13">
        <f t="shared" si="15"/>
        <v>30</v>
      </c>
      <c r="H43" s="509" t="s">
        <v>376</v>
      </c>
      <c r="I43" s="250"/>
      <c r="J43" s="325"/>
      <c r="K43" s="250"/>
      <c r="L43"/>
      <c r="M43"/>
      <c r="N43"/>
      <c r="O43"/>
      <c r="P43"/>
      <c r="V43" s="13"/>
      <c r="X43" s="133"/>
      <c r="Y43" s="19"/>
      <c r="Z43" s="40"/>
      <c r="AB43" s="427"/>
      <c r="AC43" s="427"/>
      <c r="AD43" s="427"/>
      <c r="AO43" s="73"/>
      <c r="AQ43" s="27"/>
      <c r="AR43" s="27"/>
      <c r="BC43" s="37"/>
      <c r="BD43" s="37"/>
      <c r="BE43" s="37"/>
      <c r="BF43" s="37"/>
      <c r="BG43" s="37"/>
      <c r="BH43" s="135"/>
      <c r="BI43" s="135"/>
      <c r="BJ43" s="135"/>
      <c r="BK43" s="135"/>
      <c r="BL43" s="135"/>
      <c r="BM43" s="45"/>
      <c r="BQ43" s="37"/>
      <c r="BR43" s="37"/>
      <c r="BS43" s="37"/>
      <c r="BY43" s="105"/>
      <c r="CK43" s="317"/>
      <c r="CP43" s="140"/>
      <c r="CQ43" s="135"/>
      <c r="CR43" s="135"/>
      <c r="CS43" s="37"/>
      <c r="CT43" s="37"/>
      <c r="CU43" s="40"/>
      <c r="CV43" s="40"/>
      <c r="CW43" s="40"/>
      <c r="CX43" s="40"/>
      <c r="CY43" s="37"/>
      <c r="CZ43" s="40"/>
      <c r="DA43" s="40"/>
      <c r="DB43" s="40"/>
      <c r="DC43" s="40"/>
      <c r="DI43" s="12" t="s">
        <v>26</v>
      </c>
      <c r="DJ43" s="37"/>
      <c r="DK43" s="12" t="s">
        <v>178</v>
      </c>
      <c r="DL43" s="12"/>
      <c r="DM43" s="12" t="s">
        <v>105</v>
      </c>
      <c r="DN43" s="12"/>
      <c r="DO43" s="13">
        <f t="shared" si="44"/>
        <v>29</v>
      </c>
      <c r="DP43" s="14" t="s">
        <v>236</v>
      </c>
      <c r="DQ43" s="56">
        <v>-21984884</v>
      </c>
      <c r="DR43" s="52">
        <f>+F56</f>
        <v>-4728403</v>
      </c>
      <c r="DS43" s="52">
        <f>K59+K64</f>
        <v>12134465</v>
      </c>
      <c r="DT43" s="52">
        <f>P21</f>
        <v>-548370</v>
      </c>
      <c r="DU43" s="52">
        <f>U31</f>
        <v>1038077.1900000013</v>
      </c>
      <c r="DV43" s="52">
        <f>+Y32</f>
        <v>8358141.17450377</v>
      </c>
      <c r="DW43" s="13">
        <f t="shared" si="45"/>
        <v>29</v>
      </c>
      <c r="DX43" s="14" t="s">
        <v>236</v>
      </c>
      <c r="DY43" s="52">
        <f>AD33</f>
        <v>0</v>
      </c>
      <c r="DZ43" s="52">
        <f>AI37</f>
        <v>184649.03889190577</v>
      </c>
      <c r="EA43" s="52">
        <f>AN28</f>
        <v>244770</v>
      </c>
      <c r="EB43" s="56">
        <f>AS33</f>
        <v>237407</v>
      </c>
      <c r="EC43" s="52">
        <f>AX18</f>
        <v>-457934.39999999997</v>
      </c>
      <c r="ED43" s="52">
        <f>BB24</f>
        <v>373223.911059997</v>
      </c>
      <c r="EE43" s="52">
        <f>BG20</f>
        <v>76706</v>
      </c>
      <c r="EF43" s="13">
        <f t="shared" si="46"/>
        <v>29</v>
      </c>
      <c r="EG43" s="14" t="s">
        <v>236</v>
      </c>
      <c r="EH43" s="52"/>
      <c r="EI43" s="31">
        <f>BP26</f>
        <v>82900.65</v>
      </c>
      <c r="EJ43" s="52">
        <f>BS24</f>
        <v>-168760.3365</v>
      </c>
      <c r="EK43" s="52">
        <f>BX19</f>
        <v>125568.78339179739</v>
      </c>
      <c r="EL43" s="52">
        <f>CC20</f>
        <v>-797081.1010401392</v>
      </c>
      <c r="EM43" s="52">
        <f>CJ30</f>
        <v>-1022121.1</v>
      </c>
      <c r="EN43" s="13">
        <f t="shared" si="43"/>
        <v>29</v>
      </c>
      <c r="EO43" s="14" t="s">
        <v>236</v>
      </c>
      <c r="EP43" s="52">
        <f>CO40</f>
        <v>-53849</v>
      </c>
      <c r="EQ43" s="52">
        <f>CS23</f>
        <v>-293019.99912232725</v>
      </c>
      <c r="ER43" s="52">
        <f>CX31</f>
        <v>331577</v>
      </c>
      <c r="ES43" s="52">
        <f>+DC21</f>
        <v>167521.9</v>
      </c>
      <c r="ET43" s="52">
        <f>DH28</f>
        <v>375062</v>
      </c>
      <c r="EU43" s="52">
        <f t="shared" si="37"/>
        <v>15660530.711184999</v>
      </c>
      <c r="EV43" s="52">
        <f t="shared" si="38"/>
        <v>-6324353.288815001</v>
      </c>
      <c r="EW43" s="13">
        <f t="shared" si="47"/>
        <v>29</v>
      </c>
      <c r="EX43" s="14" t="s">
        <v>236</v>
      </c>
      <c r="EY43" s="52">
        <f t="shared" si="39"/>
        <v>-21984884</v>
      </c>
      <c r="EZ43" s="122">
        <f>EU43</f>
        <v>15660530.711184999</v>
      </c>
      <c r="FA43" s="94">
        <f>+EY43+EZ43</f>
        <v>-6324353.288815001</v>
      </c>
      <c r="FB43" s="94">
        <f>FB19*DM21</f>
        <v>9108032.314205</v>
      </c>
      <c r="FC43" s="94">
        <f>+FA43+FB43</f>
        <v>2783679.025389999</v>
      </c>
      <c r="FD43" s="67"/>
      <c r="FE43" s="186"/>
    </row>
    <row r="44" spans="1:161" ht="14.25" customHeight="1">
      <c r="A44" s="13">
        <f t="shared" si="14"/>
        <v>31</v>
      </c>
      <c r="B44" s="508" t="s">
        <v>308</v>
      </c>
      <c r="C44" s="336"/>
      <c r="D44" s="337"/>
      <c r="E44" s="196">
        <v>-39777834.48509979</v>
      </c>
      <c r="F44" s="250"/>
      <c r="G44" s="13">
        <f t="shared" si="15"/>
        <v>31</v>
      </c>
      <c r="H44" s="510" t="s">
        <v>377</v>
      </c>
      <c r="I44" s="250"/>
      <c r="J44" s="325">
        <v>47259203.73920071</v>
      </c>
      <c r="K44" s="250"/>
      <c r="L44"/>
      <c r="M44"/>
      <c r="N44"/>
      <c r="O44"/>
      <c r="P44"/>
      <c r="V44" s="13"/>
      <c r="X44" s="133"/>
      <c r="Y44" s="19"/>
      <c r="Z44" s="37"/>
      <c r="AA44" s="40"/>
      <c r="AB44" s="40"/>
      <c r="AC44" s="500"/>
      <c r="AD44" s="40"/>
      <c r="AO44" s="73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45"/>
      <c r="BN44" s="70"/>
      <c r="BO44" s="70"/>
      <c r="BP44" s="70"/>
      <c r="BQ44" s="135"/>
      <c r="BR44" s="135"/>
      <c r="BS44" s="135"/>
      <c r="CQ44" s="140"/>
      <c r="CR44" s="135"/>
      <c r="CS44" s="135"/>
      <c r="CT44" s="135"/>
      <c r="CU44" s="37"/>
      <c r="CV44" s="37"/>
      <c r="CW44" s="37"/>
      <c r="CX44" s="37"/>
      <c r="CY44" s="135"/>
      <c r="CZ44" s="37"/>
      <c r="DA44" s="37"/>
      <c r="DB44" s="37"/>
      <c r="DC44" s="37"/>
      <c r="DI44" s="234" t="s">
        <v>41</v>
      </c>
      <c r="DJ44" s="235" t="s">
        <v>42</v>
      </c>
      <c r="DK44" s="234" t="s">
        <v>111</v>
      </c>
      <c r="DL44" s="234" t="s">
        <v>106</v>
      </c>
      <c r="DM44" s="234" t="s">
        <v>107</v>
      </c>
      <c r="DN44" s="99"/>
      <c r="DO44" s="13">
        <f t="shared" si="44"/>
        <v>30</v>
      </c>
      <c r="DP44" s="3" t="s">
        <v>13</v>
      </c>
      <c r="DQ44" s="65">
        <v>43878483.9194</v>
      </c>
      <c r="DR44" s="52"/>
      <c r="DS44" s="52"/>
      <c r="DT44" s="52"/>
      <c r="DU44" s="52">
        <f>U32+U33</f>
        <v>-1953834.919399999</v>
      </c>
      <c r="DV44" s="52"/>
      <c r="DW44" s="13">
        <f t="shared" si="45"/>
        <v>30</v>
      </c>
      <c r="DX44" s="3" t="s">
        <v>13</v>
      </c>
      <c r="DY44" s="52">
        <f>AD35</f>
        <v>0</v>
      </c>
      <c r="DZ44" s="53"/>
      <c r="EA44" s="52"/>
      <c r="EB44" s="52"/>
      <c r="EC44" s="56"/>
      <c r="ED44" s="53"/>
      <c r="EE44" s="70"/>
      <c r="EF44" s="13">
        <f t="shared" si="46"/>
        <v>30</v>
      </c>
      <c r="EG44" s="3" t="s">
        <v>13</v>
      </c>
      <c r="EH44" s="53"/>
      <c r="EI44" s="53"/>
      <c r="EJ44" s="70"/>
      <c r="EK44" s="53"/>
      <c r="EL44" s="53"/>
      <c r="EM44" s="53"/>
      <c r="EN44" s="13">
        <f t="shared" si="43"/>
        <v>30</v>
      </c>
      <c r="EO44" s="3" t="s">
        <v>13</v>
      </c>
      <c r="EP44" s="53"/>
      <c r="EQ44" s="53"/>
      <c r="ER44" s="53"/>
      <c r="ES44" s="53"/>
      <c r="ET44" s="70"/>
      <c r="EU44" s="52">
        <f t="shared" si="37"/>
        <v>-1953834.919399999</v>
      </c>
      <c r="EV44" s="53">
        <f t="shared" si="38"/>
        <v>41924649</v>
      </c>
      <c r="EW44" s="13">
        <f t="shared" si="47"/>
        <v>30</v>
      </c>
      <c r="EX44" s="3" t="s">
        <v>13</v>
      </c>
      <c r="EY44" s="53">
        <f t="shared" si="39"/>
        <v>43878483.9194</v>
      </c>
      <c r="EZ44" s="125">
        <f>EU44</f>
        <v>-1953834.919399999</v>
      </c>
      <c r="FA44" s="95">
        <f>+EY44+EZ44</f>
        <v>41924649</v>
      </c>
      <c r="FB44" s="95"/>
      <c r="FC44" s="95">
        <f>+FA44+FB44</f>
        <v>41924649</v>
      </c>
      <c r="FD44" s="59"/>
      <c r="FE44" s="286"/>
    </row>
    <row r="45" spans="1:161" ht="14.25" customHeight="1">
      <c r="A45" s="13">
        <f t="shared" si="14"/>
        <v>32</v>
      </c>
      <c r="B45" s="336"/>
      <c r="C45" s="336"/>
      <c r="D45" s="337"/>
      <c r="E45" s="196"/>
      <c r="F45" s="31">
        <f>E44</f>
        <v>-39777834.48509979</v>
      </c>
      <c r="G45" s="13">
        <f t="shared" si="15"/>
        <v>32</v>
      </c>
      <c r="H45" s="510" t="s">
        <v>378</v>
      </c>
      <c r="I45" s="250"/>
      <c r="J45" s="325">
        <v>-1813533.2679353952</v>
      </c>
      <c r="K45" s="250"/>
      <c r="L45"/>
      <c r="M45"/>
      <c r="N45"/>
      <c r="O45"/>
      <c r="P45"/>
      <c r="V45" s="13"/>
      <c r="X45" s="133"/>
      <c r="Y45" s="19"/>
      <c r="Z45" s="135"/>
      <c r="AA45" s="37"/>
      <c r="AB45" s="37"/>
      <c r="AC45" s="501"/>
      <c r="AD45" s="37"/>
      <c r="AO45" s="73"/>
      <c r="AP45" s="232"/>
      <c r="AQ45" s="79"/>
      <c r="AR45" s="2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45"/>
      <c r="BQ45" s="135"/>
      <c r="BR45" s="135"/>
      <c r="BS45" s="135"/>
      <c r="CQ45" s="140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I45" s="5"/>
      <c r="DJ45" s="5"/>
      <c r="DK45" s="5"/>
      <c r="DL45" s="5"/>
      <c r="DM45" s="5"/>
      <c r="DN45" s="5"/>
      <c r="DO45" s="13">
        <f t="shared" si="44"/>
        <v>31</v>
      </c>
      <c r="DP45" s="14" t="s">
        <v>14</v>
      </c>
      <c r="DQ45" s="51">
        <f>SUM(DQ28:DQ44)</f>
        <v>1105518055.765287</v>
      </c>
      <c r="DR45" s="51">
        <f>SUM(DR30:DR44)</f>
        <v>-7136924</v>
      </c>
      <c r="DS45" s="51">
        <f>SUM(DS30:DS44)</f>
        <v>15400649.310965616</v>
      </c>
      <c r="DT45" s="51">
        <f>SUM(DT30:DT44)</f>
        <v>1018401.8743053966</v>
      </c>
      <c r="DU45" s="51">
        <f>SUM(DU30:DU44)</f>
        <v>-915757.7293999977</v>
      </c>
      <c r="DV45" s="51">
        <f>SUM(DV30:DV44)</f>
        <v>8358141.17450377</v>
      </c>
      <c r="DW45" s="13">
        <f t="shared" si="45"/>
        <v>31</v>
      </c>
      <c r="DX45" s="14" t="s">
        <v>14</v>
      </c>
      <c r="DY45" s="51">
        <f>SUM(DY28:DY44)</f>
        <v>6218348.64238798</v>
      </c>
      <c r="DZ45" s="51">
        <f aca="true" t="shared" si="48" ref="DZ45:EE45">SUM(DZ30:DZ44)</f>
        <v>-59578261.582762815</v>
      </c>
      <c r="EA45" s="51">
        <f t="shared" si="48"/>
        <v>-454572</v>
      </c>
      <c r="EB45" s="51">
        <f t="shared" si="48"/>
        <v>23463.847424499923</v>
      </c>
      <c r="EC45" s="51">
        <f t="shared" si="48"/>
        <v>850449.6000000001</v>
      </c>
      <c r="ED45" s="51">
        <f t="shared" si="48"/>
        <v>-693130.1205399944</v>
      </c>
      <c r="EE45" s="51">
        <f t="shared" si="48"/>
        <v>-142454</v>
      </c>
      <c r="EF45" s="13">
        <f t="shared" si="46"/>
        <v>31</v>
      </c>
      <c r="EG45" s="14" t="s">
        <v>14</v>
      </c>
      <c r="EH45" s="51">
        <f>SUM(EH28:EH44)</f>
        <v>30273.092195121953</v>
      </c>
      <c r="EI45" s="51">
        <f>SUM(EI30:EI44)</f>
        <v>-153958.35</v>
      </c>
      <c r="EJ45" s="51">
        <f>SUM(EJ30:EJ44)</f>
        <v>313412.05350000004</v>
      </c>
      <c r="EK45" s="51">
        <f>SUM(EK30:EK44)</f>
        <v>-233199.1691561952</v>
      </c>
      <c r="EL45" s="51">
        <f>SUM(EL30:EL44)</f>
        <v>1480293.4733602586</v>
      </c>
      <c r="EM45" s="51">
        <f>SUM(EM30:EM44)</f>
        <v>1898224.9</v>
      </c>
      <c r="EN45" s="13">
        <f t="shared" si="43"/>
        <v>31</v>
      </c>
      <c r="EO45" s="14" t="s">
        <v>14</v>
      </c>
      <c r="EP45" s="51">
        <f>SUM(EP28:EP44)</f>
        <v>100005.02323142067</v>
      </c>
      <c r="EQ45" s="51">
        <f aca="true" t="shared" si="49" ref="EQ45:EV45">SUM(EQ30:EQ44)</f>
        <v>544179.9983700365</v>
      </c>
      <c r="ER45" s="51">
        <f t="shared" si="49"/>
        <v>-615785</v>
      </c>
      <c r="ES45" s="51">
        <f t="shared" si="49"/>
        <v>-311112.1</v>
      </c>
      <c r="ET45" s="51">
        <f t="shared" si="49"/>
        <v>-696544.8992820077</v>
      </c>
      <c r="EU45" s="51">
        <f>SUM(EU30:EU44)</f>
        <v>-34695855.96089691</v>
      </c>
      <c r="EV45" s="51">
        <f t="shared" si="49"/>
        <v>332971141.84439003</v>
      </c>
      <c r="EW45" s="13">
        <f t="shared" si="47"/>
        <v>31</v>
      </c>
      <c r="EX45" s="14" t="s">
        <v>14</v>
      </c>
      <c r="EY45" s="51">
        <f>SUM(EY28:EY44)</f>
        <v>1105518055.765287</v>
      </c>
      <c r="EZ45" s="51">
        <f>SUM(EZ30:EZ44)</f>
        <v>-34695855.96089691</v>
      </c>
      <c r="FA45" s="51">
        <f>SUM(FA30:FA44)</f>
        <v>332971141.84439003</v>
      </c>
      <c r="FB45" s="51">
        <f>SUM(FB30:FB44)</f>
        <v>10284230.929753</v>
      </c>
      <c r="FC45" s="51">
        <f>SUM(FC30:FC44)</f>
        <v>343255372.7741431</v>
      </c>
      <c r="FD45" s="31"/>
      <c r="FE45" s="9"/>
    </row>
    <row r="46" spans="1:161" ht="14.25" customHeight="1">
      <c r="A46" s="13">
        <f t="shared" si="14"/>
        <v>33</v>
      </c>
      <c r="B46" s="336"/>
      <c r="C46" s="336"/>
      <c r="D46" s="337"/>
      <c r="E46" s="196"/>
      <c r="F46" s="250"/>
      <c r="G46" s="13">
        <f t="shared" si="15"/>
        <v>33</v>
      </c>
      <c r="H46" s="509" t="s">
        <v>292</v>
      </c>
      <c r="I46" s="250"/>
      <c r="J46" s="325">
        <v>-7866367.862464309</v>
      </c>
      <c r="K46" s="250"/>
      <c r="L46"/>
      <c r="M46"/>
      <c r="N46"/>
      <c r="O46"/>
      <c r="P46"/>
      <c r="V46" s="13"/>
      <c r="X46" s="133"/>
      <c r="Y46" s="19"/>
      <c r="Z46" s="135"/>
      <c r="AA46" s="135"/>
      <c r="AB46" s="135"/>
      <c r="AC46" s="135"/>
      <c r="AD46" s="135"/>
      <c r="AO46" s="73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45"/>
      <c r="BQ46" s="135"/>
      <c r="BR46" s="135"/>
      <c r="BS46" s="135"/>
      <c r="CQ46" s="140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I46" s="13">
        <v>1</v>
      </c>
      <c r="DJ46" s="3" t="s">
        <v>389</v>
      </c>
      <c r="DK46" s="69">
        <v>0.0395</v>
      </c>
      <c r="DL46" s="69">
        <v>0.0247</v>
      </c>
      <c r="DM46" s="69">
        <f>ROUND(DK46*DL46,4)</f>
        <v>0.001</v>
      </c>
      <c r="DN46" s="69"/>
      <c r="DO46" s="13">
        <f t="shared" si="44"/>
        <v>32</v>
      </c>
      <c r="DQ46" s="31"/>
      <c r="DR46" s="32" t="s">
        <v>19</v>
      </c>
      <c r="DS46" s="32" t="s">
        <v>19</v>
      </c>
      <c r="DT46" s="32"/>
      <c r="DU46" s="32" t="s">
        <v>19</v>
      </c>
      <c r="DV46" s="32" t="s">
        <v>19</v>
      </c>
      <c r="DW46" s="13">
        <f t="shared" si="45"/>
        <v>32</v>
      </c>
      <c r="DY46" s="31"/>
      <c r="DZ46" s="21"/>
      <c r="EA46" s="32" t="s">
        <v>19</v>
      </c>
      <c r="EB46" s="213"/>
      <c r="EC46" s="91"/>
      <c r="ED46" s="28"/>
      <c r="EE46" s="21"/>
      <c r="EF46" s="13">
        <f t="shared" si="46"/>
        <v>32</v>
      </c>
      <c r="EH46" s="31"/>
      <c r="EI46" s="28" t="s">
        <v>19</v>
      </c>
      <c r="EJ46" s="21"/>
      <c r="EK46" s="28"/>
      <c r="EL46" s="28"/>
      <c r="EM46" s="21"/>
      <c r="EN46" s="13">
        <f t="shared" si="43"/>
        <v>32</v>
      </c>
      <c r="EP46" s="31"/>
      <c r="EQ46" s="21"/>
      <c r="ER46" s="21"/>
      <c r="ES46" s="21"/>
      <c r="ET46" s="21"/>
      <c r="EU46" s="26" t="s">
        <v>19</v>
      </c>
      <c r="EV46" s="26"/>
      <c r="EW46" s="13">
        <f t="shared" si="47"/>
        <v>32</v>
      </c>
      <c r="EY46" s="31"/>
      <c r="EZ46" s="31"/>
      <c r="FA46" s="31" t="s">
        <v>19</v>
      </c>
      <c r="FB46" s="31"/>
      <c r="FC46" s="31"/>
      <c r="FD46" s="9"/>
      <c r="FE46" s="32"/>
    </row>
    <row r="47" spans="1:161" ht="14.25" customHeight="1">
      <c r="A47" s="13">
        <f t="shared" si="14"/>
        <v>34</v>
      </c>
      <c r="B47" s="244" t="s">
        <v>253</v>
      </c>
      <c r="C47" s="244"/>
      <c r="D47" s="363">
        <f>$DM$14</f>
        <v>0.002833</v>
      </c>
      <c r="E47" s="93">
        <f>ROUND(F41*D47,0)</f>
        <v>-157787</v>
      </c>
      <c r="F47" s="52"/>
      <c r="G47" s="13">
        <f t="shared" si="15"/>
        <v>34</v>
      </c>
      <c r="H47" s="509" t="s">
        <v>293</v>
      </c>
      <c r="I47" s="250"/>
      <c r="J47" s="325">
        <v>-1193.9575452804565</v>
      </c>
      <c r="K47" s="250"/>
      <c r="L47"/>
      <c r="M47"/>
      <c r="N47"/>
      <c r="O47"/>
      <c r="P47"/>
      <c r="V47" s="13"/>
      <c r="X47" s="133"/>
      <c r="Y47" s="19"/>
      <c r="Z47" s="135"/>
      <c r="AA47" s="135"/>
      <c r="AB47" s="135"/>
      <c r="AC47" s="135"/>
      <c r="AD47" s="135"/>
      <c r="AO47" s="73"/>
      <c r="AY47" s="13"/>
      <c r="AZ47" s="104"/>
      <c r="BA47" s="2"/>
      <c r="BB47" s="70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70"/>
      <c r="BQ47" s="135"/>
      <c r="BR47" s="135"/>
      <c r="BS47" s="135"/>
      <c r="CQ47" s="140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I47" s="13">
        <v>2</v>
      </c>
      <c r="DJ47" s="3" t="s">
        <v>390</v>
      </c>
      <c r="DK47" s="69">
        <f>DK50-DK48-DK49-DK46</f>
        <v>0.48050000000000004</v>
      </c>
      <c r="DL47" s="69">
        <v>0.0682</v>
      </c>
      <c r="DM47" s="69">
        <f>ROUND(DK47*DL47,4)</f>
        <v>0.0328</v>
      </c>
      <c r="DN47" s="69"/>
      <c r="DO47" s="13">
        <f t="shared" si="44"/>
        <v>33</v>
      </c>
      <c r="DP47" s="14" t="s">
        <v>15</v>
      </c>
      <c r="DQ47" s="9">
        <f>DQ19-DQ45</f>
        <v>111350200.68471289</v>
      </c>
      <c r="DR47" s="9">
        <f>DR19-DR28-DR45</f>
        <v>-8781320.886128336</v>
      </c>
      <c r="DS47" s="9">
        <f>DS19-DS28-DS45</f>
        <v>22535433.73200686</v>
      </c>
      <c r="DT47" s="9">
        <f>DT19-DT28-DT45</f>
        <v>-1018401.8743053966</v>
      </c>
      <c r="DU47" s="9">
        <f>DU19-DU28-DU45</f>
        <v>915757.7293999977</v>
      </c>
      <c r="DV47" s="9">
        <f>DV19-DV28-DV45</f>
        <v>-8358141.17450377</v>
      </c>
      <c r="DW47" s="13">
        <f t="shared" si="45"/>
        <v>33</v>
      </c>
      <c r="DX47" s="14" t="s">
        <v>15</v>
      </c>
      <c r="DY47" s="9">
        <f>DY19-DY45</f>
        <v>-6218348.64238798</v>
      </c>
      <c r="DZ47" s="9">
        <f aca="true" t="shared" si="50" ref="DZ47:EE47">DZ19-DZ28-DZ45</f>
        <v>342919.6436564028</v>
      </c>
      <c r="EA47" s="9">
        <f t="shared" si="50"/>
        <v>454572</v>
      </c>
      <c r="EB47" s="9">
        <f t="shared" si="50"/>
        <v>440898.6525755001</v>
      </c>
      <c r="EC47" s="9">
        <f t="shared" si="50"/>
        <v>-850449.6000000001</v>
      </c>
      <c r="ED47" s="9">
        <f t="shared" si="50"/>
        <v>693130.1205399944</v>
      </c>
      <c r="EE47" s="9">
        <f t="shared" si="50"/>
        <v>142454</v>
      </c>
      <c r="EF47" s="13">
        <f t="shared" si="46"/>
        <v>33</v>
      </c>
      <c r="EG47" s="14" t="s">
        <v>15</v>
      </c>
      <c r="EH47" s="9">
        <f>EH19-EH45</f>
        <v>-30273.092195121953</v>
      </c>
      <c r="EI47" s="9">
        <f>EI19-EI28-EI45</f>
        <v>153958.35</v>
      </c>
      <c r="EJ47" s="9">
        <f>EJ19-EJ28-EJ45</f>
        <v>-313412.05350000004</v>
      </c>
      <c r="EK47" s="9">
        <f>EK19-EK28-EK45</f>
        <v>233199.1691561952</v>
      </c>
      <c r="EL47" s="9">
        <f>EL19-EL28-EL45</f>
        <v>-1480293.4733602586</v>
      </c>
      <c r="EM47" s="9">
        <f>EM19-EM28-EM45</f>
        <v>-1898224.9</v>
      </c>
      <c r="EN47" s="13">
        <f t="shared" si="43"/>
        <v>33</v>
      </c>
      <c r="EO47" s="14" t="s">
        <v>15</v>
      </c>
      <c r="EP47" s="9">
        <f>EP19-EP45</f>
        <v>-100005.02323142067</v>
      </c>
      <c r="EQ47" s="9">
        <f aca="true" t="shared" si="51" ref="EQ47:EV47">EQ19-EQ28-EQ45</f>
        <v>-544179.9983700365</v>
      </c>
      <c r="ER47" s="9">
        <f t="shared" si="51"/>
        <v>615785</v>
      </c>
      <c r="ES47" s="9">
        <f t="shared" si="51"/>
        <v>311112.1</v>
      </c>
      <c r="ET47" s="9">
        <f>ET19-ET28-ET45</f>
        <v>696544.8992820077</v>
      </c>
      <c r="EU47" s="9">
        <f>EU19-EU28-EU45</f>
        <v>-2057285.3213653713</v>
      </c>
      <c r="EV47" s="9">
        <f t="shared" si="51"/>
        <v>109292915.36334753</v>
      </c>
      <c r="EW47" s="13">
        <f t="shared" si="47"/>
        <v>33</v>
      </c>
      <c r="EX47" s="3" t="str">
        <f>DP47</f>
        <v>NET OPERATING INCOME</v>
      </c>
      <c r="EY47" s="9">
        <f>EY19-EY45</f>
        <v>111350200.68471289</v>
      </c>
      <c r="EZ47" s="9">
        <f>EZ19-EZ28-EZ45</f>
        <v>-2057285.3213653713</v>
      </c>
      <c r="FA47" s="9">
        <f>FA19-FA28-FA45</f>
        <v>109292915.36334753</v>
      </c>
      <c r="FB47" s="9">
        <f>FB19-FB28-FB45</f>
        <v>16914886.070247002</v>
      </c>
      <c r="FC47" s="9">
        <f>FC19-FC28-FC45</f>
        <v>126207801.43359447</v>
      </c>
      <c r="FD47" s="32"/>
      <c r="FE47" s="31"/>
    </row>
    <row r="48" spans="1:160" ht="14.25" customHeight="1">
      <c r="A48" s="13">
        <f t="shared" si="14"/>
        <v>35</v>
      </c>
      <c r="B48" s="244" t="s">
        <v>254</v>
      </c>
      <c r="C48" s="244"/>
      <c r="D48" s="363">
        <f>$DM$15</f>
        <v>0.002</v>
      </c>
      <c r="E48" s="95">
        <f>ROUND(F41*D48,0)</f>
        <v>-111392</v>
      </c>
      <c r="F48" s="52"/>
      <c r="G48" s="13">
        <f t="shared" si="15"/>
        <v>35</v>
      </c>
      <c r="H48" s="511" t="s">
        <v>379</v>
      </c>
      <c r="I48" s="250"/>
      <c r="J48" s="512">
        <f>SUM(J40:J47)</f>
        <v>37593107.38727486</v>
      </c>
      <c r="K48" s="250"/>
      <c r="L48"/>
      <c r="M48"/>
      <c r="N48"/>
      <c r="O48"/>
      <c r="P48"/>
      <c r="V48" s="13"/>
      <c r="X48" s="133"/>
      <c r="Y48" s="19"/>
      <c r="Z48" s="135"/>
      <c r="AA48" s="135"/>
      <c r="AB48" s="135"/>
      <c r="AC48" s="135"/>
      <c r="AD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317"/>
      <c r="BQ48" s="135"/>
      <c r="BR48" s="135"/>
      <c r="BS48" s="135"/>
      <c r="CQ48" s="140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I48" s="13">
        <v>3</v>
      </c>
      <c r="DJ48" s="3" t="s">
        <v>194</v>
      </c>
      <c r="DK48" s="69">
        <v>0</v>
      </c>
      <c r="DL48" s="69">
        <v>0</v>
      </c>
      <c r="DM48" s="69">
        <f>ROUND(DK48*DL48,4)</f>
        <v>0</v>
      </c>
      <c r="DN48" s="69"/>
      <c r="DO48" s="13">
        <f t="shared" si="44"/>
        <v>34</v>
      </c>
      <c r="DQ48" s="31"/>
      <c r="DR48" s="31"/>
      <c r="DS48" s="31"/>
      <c r="DT48" s="31"/>
      <c r="DU48" s="31"/>
      <c r="DV48" s="31"/>
      <c r="DW48" s="13">
        <f t="shared" si="45"/>
        <v>34</v>
      </c>
      <c r="DY48" s="31"/>
      <c r="DZ48" s="18" t="s">
        <v>19</v>
      </c>
      <c r="EA48" s="31"/>
      <c r="EB48" s="31"/>
      <c r="EC48" s="31"/>
      <c r="EE48" s="18"/>
      <c r="EF48" s="13">
        <f t="shared" si="46"/>
        <v>34</v>
      </c>
      <c r="EH48" s="18"/>
      <c r="EJ48" s="18"/>
      <c r="EM48" s="18" t="s">
        <v>19</v>
      </c>
      <c r="EN48" s="13">
        <f t="shared" si="43"/>
        <v>34</v>
      </c>
      <c r="EP48" s="18" t="s">
        <v>19</v>
      </c>
      <c r="EQ48" s="18" t="s">
        <v>19</v>
      </c>
      <c r="ER48" s="18"/>
      <c r="ES48" s="18"/>
      <c r="ET48" s="18"/>
      <c r="EU48" s="26"/>
      <c r="EV48" s="26"/>
      <c r="EW48" s="13">
        <f t="shared" si="47"/>
        <v>34</v>
      </c>
      <c r="EX48" s="14"/>
      <c r="EY48" s="32"/>
      <c r="EZ48" s="32"/>
      <c r="FA48" s="32"/>
      <c r="FB48" s="32"/>
      <c r="FC48" s="32"/>
      <c r="FD48" s="31"/>
    </row>
    <row r="49" spans="1:161" ht="12.75" customHeight="1">
      <c r="A49" s="13">
        <f t="shared" si="14"/>
        <v>36</v>
      </c>
      <c r="B49" s="338" t="s">
        <v>255</v>
      </c>
      <c r="C49" s="244"/>
      <c r="D49" s="364"/>
      <c r="E49" s="16"/>
      <c r="F49" s="398">
        <f>SUM(E47:E48)</f>
        <v>-269179</v>
      </c>
      <c r="G49" s="13">
        <f t="shared" si="15"/>
        <v>36</v>
      </c>
      <c r="H49" s="250"/>
      <c r="I49" s="250"/>
      <c r="J49" s="325"/>
      <c r="K49" s="250"/>
      <c r="L49"/>
      <c r="M49"/>
      <c r="N49"/>
      <c r="O49"/>
      <c r="P49"/>
      <c r="V49" s="13"/>
      <c r="X49" s="133"/>
      <c r="Y49" s="19"/>
      <c r="Z49" s="135"/>
      <c r="AA49" s="135"/>
      <c r="AB49" s="135"/>
      <c r="AC49" s="135"/>
      <c r="AD49" s="135"/>
      <c r="AY49" s="13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Q49" s="135"/>
      <c r="BR49" s="135"/>
      <c r="BS49" s="135"/>
      <c r="CQ49" s="140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I49" s="13">
        <v>4</v>
      </c>
      <c r="DJ49" s="3" t="s">
        <v>113</v>
      </c>
      <c r="DK49" s="100">
        <v>0.48</v>
      </c>
      <c r="DL49" s="236">
        <v>0.108</v>
      </c>
      <c r="DM49" s="69">
        <f>ROUND(DK49*DL49,4)</f>
        <v>0.0518</v>
      </c>
      <c r="DN49" s="100"/>
      <c r="DO49" s="13">
        <f t="shared" si="44"/>
        <v>35</v>
      </c>
      <c r="DP49" s="14" t="s">
        <v>16</v>
      </c>
      <c r="DQ49" s="9">
        <f>+DQ60</f>
        <v>1474337487</v>
      </c>
      <c r="DR49" s="31"/>
      <c r="DS49" s="31"/>
      <c r="DT49" s="31">
        <f>DT60</f>
        <v>-915968.3808855712</v>
      </c>
      <c r="DU49" s="31"/>
      <c r="DV49" s="31"/>
      <c r="DW49" s="13">
        <f t="shared" si="45"/>
        <v>35</v>
      </c>
      <c r="DX49" s="14" t="s">
        <v>16</v>
      </c>
      <c r="DY49" s="31">
        <f>DY60</f>
        <v>-3109174.32119399</v>
      </c>
      <c r="DZ49" s="25"/>
      <c r="EA49" s="31"/>
      <c r="EB49" s="31">
        <f>AS45</f>
        <v>0</v>
      </c>
      <c r="EC49" s="31"/>
      <c r="ED49" s="31"/>
      <c r="EE49" s="55"/>
      <c r="EF49" s="13">
        <f t="shared" si="46"/>
        <v>35</v>
      </c>
      <c r="EG49" s="14" t="s">
        <v>16</v>
      </c>
      <c r="EH49" s="55">
        <f>BL29</f>
        <v>0</v>
      </c>
      <c r="EI49" s="31"/>
      <c r="EJ49" s="55"/>
      <c r="EK49" s="31"/>
      <c r="EL49" s="31"/>
      <c r="EM49" s="25"/>
      <c r="EN49" s="13">
        <f t="shared" si="43"/>
        <v>35</v>
      </c>
      <c r="EO49" s="14" t="s">
        <v>16</v>
      </c>
      <c r="EP49" s="21"/>
      <c r="EQ49" s="55"/>
      <c r="ER49" s="55"/>
      <c r="ES49" s="55"/>
      <c r="ET49" s="55">
        <f>DH17</f>
        <v>4077858.426334463</v>
      </c>
      <c r="EU49" s="31">
        <f>SUM(DR49:ET49)-EF49-DW49-EN49</f>
        <v>52715.72425490199</v>
      </c>
      <c r="EV49" s="31">
        <f>DQ49+EU49</f>
        <v>1474390202.7242548</v>
      </c>
      <c r="EW49" s="13">
        <f t="shared" si="47"/>
        <v>35</v>
      </c>
      <c r="EX49" s="14" t="s">
        <v>16</v>
      </c>
      <c r="EY49" s="31">
        <f>DQ49</f>
        <v>1474337487</v>
      </c>
      <c r="EZ49" s="419">
        <f>EU49</f>
        <v>52715.72425490199</v>
      </c>
      <c r="FA49" s="31">
        <f>+EY49+EZ49</f>
        <v>1474390202.7242548</v>
      </c>
      <c r="FB49" s="31">
        <v>0</v>
      </c>
      <c r="FC49" s="31">
        <f>+FA49+FB49</f>
        <v>1474390202.7242548</v>
      </c>
      <c r="FE49" s="31"/>
    </row>
    <row r="50" spans="1:160" ht="12.75" customHeight="1">
      <c r="A50" s="13">
        <f t="shared" si="14"/>
        <v>37</v>
      </c>
      <c r="B50" s="244"/>
      <c r="C50" s="244"/>
      <c r="D50" s="365"/>
      <c r="E50" s="135"/>
      <c r="F50" s="52"/>
      <c r="G50" s="13">
        <f t="shared" si="15"/>
        <v>37</v>
      </c>
      <c r="H50" s="244" t="s">
        <v>253</v>
      </c>
      <c r="I50" s="513">
        <f>DM14</f>
        <v>0.002833</v>
      </c>
      <c r="J50" s="325">
        <f>+K36*I50</f>
        <v>213974.1964888907</v>
      </c>
      <c r="K50" s="52"/>
      <c r="L50"/>
      <c r="M50"/>
      <c r="N50"/>
      <c r="O50"/>
      <c r="P50"/>
      <c r="V50" s="13"/>
      <c r="X50" s="133"/>
      <c r="Y50" s="19"/>
      <c r="Z50" s="135"/>
      <c r="AA50" s="135"/>
      <c r="AB50" s="135"/>
      <c r="AC50" s="135"/>
      <c r="AD50" s="135"/>
      <c r="AY50" s="13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Q50" s="135"/>
      <c r="BR50" s="135"/>
      <c r="BS50" s="135"/>
      <c r="CQ50" s="140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I50" s="13">
        <v>5</v>
      </c>
      <c r="DJ50" s="3" t="s">
        <v>40</v>
      </c>
      <c r="DK50" s="315">
        <v>1</v>
      </c>
      <c r="DL50" s="69"/>
      <c r="DM50" s="315">
        <f>SUM(DM46:DM49)</f>
        <v>0.08560000000000001</v>
      </c>
      <c r="DO50" s="13">
        <f t="shared" si="44"/>
        <v>36</v>
      </c>
      <c r="DW50" s="13">
        <f t="shared" si="45"/>
        <v>36</v>
      </c>
      <c r="DZ50" s="21"/>
      <c r="EE50" s="2"/>
      <c r="EF50" s="13">
        <f t="shared" si="46"/>
        <v>36</v>
      </c>
      <c r="EH50" s="2"/>
      <c r="EJ50" s="2"/>
      <c r="EM50" s="2"/>
      <c r="EN50" s="13">
        <f t="shared" si="43"/>
        <v>36</v>
      </c>
      <c r="EP50" s="2"/>
      <c r="EQ50" s="2"/>
      <c r="ER50" s="2"/>
      <c r="ES50" s="2"/>
      <c r="ET50" s="2"/>
      <c r="EU50" s="26"/>
      <c r="EV50" s="26"/>
      <c r="EW50" s="13">
        <f t="shared" si="47"/>
        <v>36</v>
      </c>
      <c r="FD50" s="69"/>
    </row>
    <row r="51" spans="1:162" ht="12.75" customHeight="1">
      <c r="A51" s="13">
        <f t="shared" si="14"/>
        <v>38</v>
      </c>
      <c r="B51" s="244" t="s">
        <v>256</v>
      </c>
      <c r="C51" s="244"/>
      <c r="D51" s="363">
        <f>$DM$16</f>
        <v>0.038411</v>
      </c>
      <c r="E51" s="399">
        <f>ROUND(F41*D51,0)</f>
        <v>-2139342</v>
      </c>
      <c r="F51" s="52"/>
      <c r="G51" s="13">
        <f t="shared" si="15"/>
        <v>38</v>
      </c>
      <c r="H51" s="244" t="s">
        <v>254</v>
      </c>
      <c r="I51" s="513">
        <f>WUTC_FILING_FEE</f>
        <v>0.002</v>
      </c>
      <c r="J51" s="67">
        <f>+K36*I51</f>
        <v>151058.38086049468</v>
      </c>
      <c r="K51" s="52"/>
      <c r="L51"/>
      <c r="M51"/>
      <c r="N51"/>
      <c r="O51"/>
      <c r="P51"/>
      <c r="V51" s="13"/>
      <c r="X51" s="133"/>
      <c r="Y51" s="19"/>
      <c r="Z51" s="135"/>
      <c r="AA51" s="135"/>
      <c r="AB51" s="135"/>
      <c r="AC51" s="135"/>
      <c r="AD51" s="135"/>
      <c r="AY51" s="13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Q51" s="135"/>
      <c r="BR51" s="135"/>
      <c r="BS51" s="135"/>
      <c r="CQ51" s="140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I51" s="13">
        <v>6</v>
      </c>
      <c r="DK51" s="69"/>
      <c r="DL51" s="69"/>
      <c r="DM51" s="69"/>
      <c r="DO51" s="13">
        <f t="shared" si="44"/>
        <v>37</v>
      </c>
      <c r="DP51" s="14" t="s">
        <v>17</v>
      </c>
      <c r="DQ51" s="141">
        <f>DQ47/DQ49</f>
        <v>0.07552558465517258</v>
      </c>
      <c r="DW51" s="13">
        <f t="shared" si="45"/>
        <v>37</v>
      </c>
      <c r="DX51" s="14" t="s">
        <v>17</v>
      </c>
      <c r="DY51" s="61"/>
      <c r="DZ51" s="2"/>
      <c r="EE51" s="2"/>
      <c r="EF51" s="13">
        <f t="shared" si="46"/>
        <v>37</v>
      </c>
      <c r="EG51" s="14" t="s">
        <v>17</v>
      </c>
      <c r="EH51" s="2"/>
      <c r="EJ51" s="2"/>
      <c r="EM51" s="2"/>
      <c r="EN51" s="13">
        <f t="shared" si="43"/>
        <v>37</v>
      </c>
      <c r="EO51" s="14" t="s">
        <v>17</v>
      </c>
      <c r="EP51" s="2"/>
      <c r="EQ51" s="2"/>
      <c r="ER51" s="2"/>
      <c r="ES51" s="2"/>
      <c r="ET51" s="2"/>
      <c r="EV51" s="69">
        <f>EV47/EV49</f>
        <v>0.0741275377179021</v>
      </c>
      <c r="EW51" s="13">
        <f t="shared" si="47"/>
        <v>37</v>
      </c>
      <c r="EX51" s="14" t="s">
        <v>17</v>
      </c>
      <c r="EY51" s="69">
        <f>DQ51</f>
        <v>0.07552558465517258</v>
      </c>
      <c r="FA51" s="69">
        <f>FA47/FA49</f>
        <v>0.0741275377179021</v>
      </c>
      <c r="FB51" s="69"/>
      <c r="FC51" s="69">
        <f>FC47/FC49</f>
        <v>0.08560000005452983</v>
      </c>
      <c r="FD51" s="97"/>
      <c r="FE51" s="464"/>
      <c r="FF51" s="69"/>
    </row>
    <row r="52" spans="1:161" ht="12.75" customHeight="1">
      <c r="A52" s="13">
        <f t="shared" si="14"/>
        <v>39</v>
      </c>
      <c r="B52" s="338" t="s">
        <v>257</v>
      </c>
      <c r="C52" s="244"/>
      <c r="D52" s="250"/>
      <c r="E52" s="135"/>
      <c r="F52" s="400">
        <f>SUM(E51:E51)</f>
        <v>-2139342</v>
      </c>
      <c r="G52" s="13">
        <f t="shared" si="15"/>
        <v>39</v>
      </c>
      <c r="H52" s="338" t="s">
        <v>255</v>
      </c>
      <c r="I52" s="513"/>
      <c r="J52" s="375"/>
      <c r="K52" s="70">
        <f>SUM(J48:J52)</f>
        <v>37958139.96462424</v>
      </c>
      <c r="L52"/>
      <c r="M52"/>
      <c r="N52"/>
      <c r="O52"/>
      <c r="P52"/>
      <c r="V52" s="13"/>
      <c r="X52" s="133"/>
      <c r="Y52" s="19"/>
      <c r="Z52" s="135"/>
      <c r="AA52" s="135"/>
      <c r="AB52" s="135"/>
      <c r="AC52" s="135"/>
      <c r="AD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Q52" s="135"/>
      <c r="BR52" s="135"/>
      <c r="BS52" s="135"/>
      <c r="CQ52" s="140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I52" s="13">
        <v>7</v>
      </c>
      <c r="DJ52" s="3" t="s">
        <v>391</v>
      </c>
      <c r="DK52" s="69">
        <f>DK46</f>
        <v>0.0395</v>
      </c>
      <c r="DL52" s="69">
        <f>DL46*0.65</f>
        <v>0.016055</v>
      </c>
      <c r="DM52" s="69">
        <f>ROUND(DM46*0.65,4)</f>
        <v>0.0007</v>
      </c>
      <c r="DN52" s="57"/>
      <c r="DO52" s="13">
        <f t="shared" si="44"/>
        <v>38</v>
      </c>
      <c r="DW52" s="13">
        <f t="shared" si="45"/>
        <v>38</v>
      </c>
      <c r="EF52" s="13">
        <f t="shared" si="46"/>
        <v>38</v>
      </c>
      <c r="EN52" s="13">
        <f t="shared" si="43"/>
        <v>38</v>
      </c>
      <c r="EW52" s="13">
        <f t="shared" si="47"/>
        <v>38</v>
      </c>
      <c r="EY52" s="97"/>
      <c r="FA52" s="97"/>
      <c r="FB52" s="97"/>
      <c r="FC52" s="97"/>
      <c r="FE52" s="288"/>
    </row>
    <row r="53" spans="1:161" ht="12.75" customHeight="1">
      <c r="A53" s="13">
        <f t="shared" si="14"/>
        <v>40</v>
      </c>
      <c r="B53" s="244"/>
      <c r="C53" s="244"/>
      <c r="D53" s="250"/>
      <c r="E53" s="250"/>
      <c r="F53" s="52"/>
      <c r="G53" s="13">
        <f t="shared" si="15"/>
        <v>40</v>
      </c>
      <c r="H53" s="244"/>
      <c r="I53" s="513"/>
      <c r="J53" s="135"/>
      <c r="K53" s="52"/>
      <c r="L53"/>
      <c r="M53"/>
      <c r="N53"/>
      <c r="O53"/>
      <c r="P53"/>
      <c r="V53" s="13"/>
      <c r="X53" s="133"/>
      <c r="Y53" s="19"/>
      <c r="Z53" s="135"/>
      <c r="AA53" s="135"/>
      <c r="AB53" s="135"/>
      <c r="AC53" s="135"/>
      <c r="AD53" s="135"/>
      <c r="AU53" s="105"/>
      <c r="AY53" s="13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Q53" s="135"/>
      <c r="BR53" s="135"/>
      <c r="BS53" s="135"/>
      <c r="CQ53" s="140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I53" s="13">
        <v>8</v>
      </c>
      <c r="DJ53" s="3" t="s">
        <v>392</v>
      </c>
      <c r="DK53" s="69">
        <f>DK47</f>
        <v>0.48050000000000004</v>
      </c>
      <c r="DL53" s="69">
        <f>DL47*0.65</f>
        <v>0.04433</v>
      </c>
      <c r="DM53" s="69">
        <f>ROUND(DM47*0.65,4)</f>
        <v>0.0213</v>
      </c>
      <c r="DN53" s="11"/>
      <c r="DO53" s="13">
        <f t="shared" si="44"/>
        <v>39</v>
      </c>
      <c r="DP53" s="3" t="s">
        <v>139</v>
      </c>
      <c r="DW53" s="13">
        <f t="shared" si="45"/>
        <v>39</v>
      </c>
      <c r="DX53" s="3" t="s">
        <v>139</v>
      </c>
      <c r="DZ53" s="2"/>
      <c r="EE53" s="2"/>
      <c r="EF53" s="13">
        <f t="shared" si="46"/>
        <v>39</v>
      </c>
      <c r="EG53" s="3" t="s">
        <v>139</v>
      </c>
      <c r="EH53" s="2"/>
      <c r="EJ53" s="2"/>
      <c r="EM53" s="2"/>
      <c r="EN53" s="13">
        <f t="shared" si="43"/>
        <v>39</v>
      </c>
      <c r="EO53" s="3" t="s">
        <v>139</v>
      </c>
      <c r="EP53" s="2"/>
      <c r="EQ53" s="2"/>
      <c r="ER53" s="2"/>
      <c r="ES53" s="2"/>
      <c r="ET53" s="2"/>
      <c r="EV53" s="26"/>
      <c r="EW53" s="13">
        <f t="shared" si="47"/>
        <v>39</v>
      </c>
      <c r="EX53" s="3" t="s">
        <v>139</v>
      </c>
      <c r="FE53" s="289"/>
    </row>
    <row r="54" spans="1:161" ht="12.75" customHeight="1">
      <c r="A54" s="13">
        <f t="shared" si="14"/>
        <v>41</v>
      </c>
      <c r="B54" s="244" t="s">
        <v>243</v>
      </c>
      <c r="C54" s="244"/>
      <c r="D54" s="250"/>
      <c r="E54" s="16"/>
      <c r="F54" s="396">
        <f>F41-F49-F52-F45</f>
        <v>-13509723.886128336</v>
      </c>
      <c r="G54" s="13">
        <f t="shared" si="15"/>
        <v>41</v>
      </c>
      <c r="H54" s="244" t="s">
        <v>256</v>
      </c>
      <c r="I54" s="513">
        <f>DM16</f>
        <v>0.038411</v>
      </c>
      <c r="J54" s="196">
        <f>+K36*I54</f>
        <v>2901151.7336162305</v>
      </c>
      <c r="K54" s="52"/>
      <c r="L54"/>
      <c r="M54"/>
      <c r="N54"/>
      <c r="O54"/>
      <c r="P54"/>
      <c r="V54" s="13"/>
      <c r="X54" s="133"/>
      <c r="Y54" s="19"/>
      <c r="Z54" s="135"/>
      <c r="AA54" s="135"/>
      <c r="AB54" s="135"/>
      <c r="AC54" s="135"/>
      <c r="AD54" s="135"/>
      <c r="AY54" s="13"/>
      <c r="AZ54" s="2"/>
      <c r="BA54" s="2"/>
      <c r="BB54" s="70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70"/>
      <c r="BQ54" s="135"/>
      <c r="BR54" s="135"/>
      <c r="BS54" s="135"/>
      <c r="CQ54" s="140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I54" s="13">
        <v>9</v>
      </c>
      <c r="DJ54" s="3" t="s">
        <v>112</v>
      </c>
      <c r="DK54" s="69">
        <f>DK48</f>
        <v>0</v>
      </c>
      <c r="DL54" s="69">
        <f>DL48</f>
        <v>0</v>
      </c>
      <c r="DM54" s="69">
        <f>ROUND(DK54*DL54,4)</f>
        <v>0</v>
      </c>
      <c r="DN54" s="11"/>
      <c r="DO54" s="13">
        <f t="shared" si="44"/>
        <v>40</v>
      </c>
      <c r="DP54" s="290" t="s">
        <v>211</v>
      </c>
      <c r="DQ54" s="9">
        <v>2496529564</v>
      </c>
      <c r="DR54" s="9">
        <v>0</v>
      </c>
      <c r="DS54" s="9">
        <v>0</v>
      </c>
      <c r="DT54" s="9"/>
      <c r="DU54" s="9">
        <v>0</v>
      </c>
      <c r="DV54" s="9">
        <v>0</v>
      </c>
      <c r="DW54" s="13">
        <f t="shared" si="45"/>
        <v>40</v>
      </c>
      <c r="DX54" s="290" t="s">
        <v>211</v>
      </c>
      <c r="DY54" s="9"/>
      <c r="DZ54" s="9">
        <v>0</v>
      </c>
      <c r="EA54" s="9">
        <v>0</v>
      </c>
      <c r="EB54" s="9">
        <f>AS41</f>
        <v>0</v>
      </c>
      <c r="EC54" s="9">
        <v>0</v>
      </c>
      <c r="ED54" s="9">
        <v>0</v>
      </c>
      <c r="EE54" s="9"/>
      <c r="EF54" s="13">
        <f t="shared" si="46"/>
        <v>40</v>
      </c>
      <c r="EG54" s="290" t="s">
        <v>211</v>
      </c>
      <c r="EH54" s="9">
        <f>BK26</f>
        <v>0</v>
      </c>
      <c r="EI54" s="9">
        <v>0</v>
      </c>
      <c r="EJ54" s="9"/>
      <c r="EK54" s="9">
        <v>0</v>
      </c>
      <c r="EL54" s="9">
        <v>0</v>
      </c>
      <c r="EM54" s="9">
        <v>0</v>
      </c>
      <c r="EN54" s="13">
        <f t="shared" si="43"/>
        <v>40</v>
      </c>
      <c r="EO54" s="290" t="s">
        <v>211</v>
      </c>
      <c r="EP54" s="9">
        <v>0</v>
      </c>
      <c r="EQ54" s="9">
        <v>0</v>
      </c>
      <c r="ER54" s="9">
        <v>0</v>
      </c>
      <c r="ES54" s="9">
        <v>0</v>
      </c>
      <c r="ET54" s="9">
        <f>DH14</f>
        <v>4805828.426334463</v>
      </c>
      <c r="EU54" s="9">
        <f>SUM(DR54:ET54)-EF54-DW54-EN54</f>
        <v>4805828.426334463</v>
      </c>
      <c r="EV54" s="9">
        <f>+EU54+DQ54</f>
        <v>2501335392.4263344</v>
      </c>
      <c r="EW54" s="13">
        <f t="shared" si="47"/>
        <v>40</v>
      </c>
      <c r="EX54" s="290" t="s">
        <v>211</v>
      </c>
      <c r="EY54" s="9">
        <f>+DQ54</f>
        <v>2496529564</v>
      </c>
      <c r="EZ54" s="287">
        <f>+EU54</f>
        <v>4805828.426334463</v>
      </c>
      <c r="FA54" s="9">
        <f>+EZ54+EY54</f>
        <v>2501335392.4263344</v>
      </c>
      <c r="FC54" s="129"/>
      <c r="FD54" s="289"/>
      <c r="FE54" s="291"/>
    </row>
    <row r="55" spans="1:161" ht="12.75" customHeight="1">
      <c r="A55" s="13">
        <f t="shared" si="14"/>
        <v>42</v>
      </c>
      <c r="B55" s="244"/>
      <c r="C55" s="244"/>
      <c r="D55" s="250"/>
      <c r="E55" s="16"/>
      <c r="F55" s="16"/>
      <c r="G55" s="13">
        <f t="shared" si="15"/>
        <v>42</v>
      </c>
      <c r="H55" s="338"/>
      <c r="I55" s="250"/>
      <c r="J55" s="198"/>
      <c r="K55" s="52"/>
      <c r="L55"/>
      <c r="M55"/>
      <c r="N55"/>
      <c r="O55"/>
      <c r="P55"/>
      <c r="V55" s="13"/>
      <c r="X55" s="133"/>
      <c r="Y55" s="19"/>
      <c r="Z55" s="135"/>
      <c r="AA55" s="135"/>
      <c r="AB55" s="135"/>
      <c r="AC55" s="135"/>
      <c r="AD55" s="135"/>
      <c r="AP55" s="278"/>
      <c r="AQ55" s="278"/>
      <c r="AR55" s="278"/>
      <c r="AY55" s="13"/>
      <c r="AZ55" s="2"/>
      <c r="BA55" s="142"/>
      <c r="BB55" s="70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70"/>
      <c r="BQ55" s="135"/>
      <c r="BR55" s="135"/>
      <c r="BS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I55" s="13">
        <v>10</v>
      </c>
      <c r="DJ55" s="3" t="s">
        <v>113</v>
      </c>
      <c r="DK55" s="100">
        <f>DK49</f>
        <v>0.48</v>
      </c>
      <c r="DL55" s="236">
        <f>DL49</f>
        <v>0.108</v>
      </c>
      <c r="DM55" s="69">
        <f>ROUND(DK55*DL55,4)</f>
        <v>0.0518</v>
      </c>
      <c r="DN55" s="11"/>
      <c r="DO55" s="13">
        <f t="shared" si="44"/>
        <v>41</v>
      </c>
      <c r="DP55" s="289" t="s">
        <v>140</v>
      </c>
      <c r="DQ55" s="56">
        <f>-740571678-96748366</f>
        <v>-837320044</v>
      </c>
      <c r="DR55" s="56"/>
      <c r="DS55" s="56"/>
      <c r="DT55" s="56"/>
      <c r="DU55" s="56"/>
      <c r="DV55" s="56"/>
      <c r="DW55" s="13">
        <f t="shared" si="45"/>
        <v>41</v>
      </c>
      <c r="DX55" s="289" t="s">
        <v>140</v>
      </c>
      <c r="DY55" s="56">
        <f>AD40</f>
        <v>-3109174.32119399</v>
      </c>
      <c r="DZ55" s="56"/>
      <c r="EA55" s="56"/>
      <c r="EB55" s="56">
        <f>AS43</f>
        <v>0</v>
      </c>
      <c r="EC55" s="56"/>
      <c r="ED55" s="56"/>
      <c r="EE55" s="128"/>
      <c r="EF55" s="13">
        <f t="shared" si="46"/>
        <v>41</v>
      </c>
      <c r="EG55" s="289" t="s">
        <v>140</v>
      </c>
      <c r="EH55" s="128">
        <f>BK27</f>
        <v>0</v>
      </c>
      <c r="EI55" s="56"/>
      <c r="EJ55" s="128"/>
      <c r="EK55" s="56"/>
      <c r="EL55" s="56"/>
      <c r="EM55" s="56"/>
      <c r="EN55" s="13">
        <f t="shared" si="43"/>
        <v>41</v>
      </c>
      <c r="EO55" s="289" t="s">
        <v>140</v>
      </c>
      <c r="EP55" s="56"/>
      <c r="EQ55" s="56"/>
      <c r="ER55" s="56"/>
      <c r="ES55" s="56"/>
      <c r="ET55" s="9">
        <f>DH15</f>
        <v>-330401</v>
      </c>
      <c r="EU55" s="128">
        <f>SUM(DR55:ET55)-EF55-DW55-EN55</f>
        <v>-3439575.32119399</v>
      </c>
      <c r="EV55" s="56">
        <f>+EU55+DQ55</f>
        <v>-840759619.3211939</v>
      </c>
      <c r="EW55" s="13">
        <f t="shared" si="47"/>
        <v>41</v>
      </c>
      <c r="EX55" s="289" t="s">
        <v>140</v>
      </c>
      <c r="EY55" s="56">
        <f>+DQ55</f>
        <v>-837320044</v>
      </c>
      <c r="EZ55" s="56">
        <f>+EU55</f>
        <v>-3439575.32119399</v>
      </c>
      <c r="FA55" s="56">
        <f>+EZ55+EY55</f>
        <v>-840759619.3211939</v>
      </c>
      <c r="FB55" s="289"/>
      <c r="FC55" s="129"/>
      <c r="FD55" s="291"/>
      <c r="FE55" s="287"/>
    </row>
    <row r="56" spans="1:161" ht="12.75" customHeight="1">
      <c r="A56" s="13">
        <f t="shared" si="14"/>
        <v>43</v>
      </c>
      <c r="B56" s="244" t="s">
        <v>73</v>
      </c>
      <c r="C56" s="244"/>
      <c r="D56" s="185">
        <f>_FEDERAL_INCOME_TAX</f>
        <v>0.35</v>
      </c>
      <c r="E56" s="16"/>
      <c r="F56" s="70">
        <f>ROUND(F54*D56,0)</f>
        <v>-4728403</v>
      </c>
      <c r="G56" s="13">
        <f t="shared" si="15"/>
        <v>43</v>
      </c>
      <c r="H56" s="338" t="s">
        <v>257</v>
      </c>
      <c r="I56" s="250"/>
      <c r="J56" s="135"/>
      <c r="K56" s="396">
        <f>SUM(J54:J55)</f>
        <v>2901151.7336162305</v>
      </c>
      <c r="L56"/>
      <c r="M56"/>
      <c r="N56"/>
      <c r="O56"/>
      <c r="P56"/>
      <c r="V56" s="13"/>
      <c r="X56" s="133"/>
      <c r="Y56" s="19"/>
      <c r="Z56" s="135"/>
      <c r="AA56" s="135"/>
      <c r="AB56" s="135"/>
      <c r="AC56" s="135"/>
      <c r="AD56" s="135"/>
      <c r="AP56" s="278"/>
      <c r="AQ56" s="278"/>
      <c r="AR56" s="278"/>
      <c r="AY56" s="13"/>
      <c r="AZ56" s="2"/>
      <c r="BA56" s="2"/>
      <c r="BB56" s="70"/>
      <c r="BC56" s="135"/>
      <c r="BD56" s="135"/>
      <c r="BE56" s="135"/>
      <c r="BF56" s="135"/>
      <c r="BG56" s="135"/>
      <c r="BH56" s="2"/>
      <c r="BI56" s="2"/>
      <c r="BJ56" s="2"/>
      <c r="BK56" s="2"/>
      <c r="BL56" s="2"/>
      <c r="BM56" s="70"/>
      <c r="BQ56" s="135"/>
      <c r="BR56" s="135"/>
      <c r="BS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I56" s="13">
        <v>11</v>
      </c>
      <c r="DJ56" s="3" t="s">
        <v>180</v>
      </c>
      <c r="DK56" s="315">
        <f>SUM(DK52:DK55)</f>
        <v>1</v>
      </c>
      <c r="DL56" s="69"/>
      <c r="DM56" s="315">
        <f>SUM(DM52:DM55)</f>
        <v>0.0738</v>
      </c>
      <c r="DN56" s="11"/>
      <c r="DO56" s="13">
        <f t="shared" si="44"/>
        <v>42</v>
      </c>
      <c r="DP56" s="289" t="s">
        <v>272</v>
      </c>
      <c r="DQ56" s="177">
        <f>-214245149+5299100</f>
        <v>-208946049</v>
      </c>
      <c r="DR56" s="177"/>
      <c r="DS56" s="177"/>
      <c r="DT56" s="177">
        <f>P28</f>
        <v>-1443693.2756770002</v>
      </c>
      <c r="DU56" s="177"/>
      <c r="DV56" s="177"/>
      <c r="DW56" s="13">
        <f t="shared" si="45"/>
        <v>42</v>
      </c>
      <c r="DX56" s="289" t="s">
        <v>141</v>
      </c>
      <c r="DY56" s="177">
        <f>AD41</f>
        <v>0</v>
      </c>
      <c r="DZ56" s="177"/>
      <c r="EA56" s="177"/>
      <c r="EB56" s="177"/>
      <c r="EC56" s="177"/>
      <c r="ED56" s="177"/>
      <c r="EE56" s="128"/>
      <c r="EF56" s="13">
        <f t="shared" si="46"/>
        <v>42</v>
      </c>
      <c r="EG56" s="289" t="s">
        <v>141</v>
      </c>
      <c r="EH56" s="128">
        <f>BK28</f>
        <v>0</v>
      </c>
      <c r="EI56" s="177"/>
      <c r="EJ56" s="128"/>
      <c r="EK56" s="177"/>
      <c r="EL56" s="177"/>
      <c r="EM56" s="177"/>
      <c r="EN56" s="13">
        <f t="shared" si="43"/>
        <v>42</v>
      </c>
      <c r="EO56" s="289" t="s">
        <v>141</v>
      </c>
      <c r="EP56" s="177"/>
      <c r="EQ56" s="177"/>
      <c r="ER56" s="177"/>
      <c r="ES56" s="177"/>
      <c r="ET56" s="9">
        <f>DH16</f>
        <v>-397569</v>
      </c>
      <c r="EU56" s="128">
        <f>SUM(DR56:ET56)-EF56-DW56-EN56</f>
        <v>-1841262.2756770002</v>
      </c>
      <c r="EV56" s="56">
        <f>+EU56+DQ56</f>
        <v>-210787311.275677</v>
      </c>
      <c r="EW56" s="13">
        <f t="shared" si="47"/>
        <v>42</v>
      </c>
      <c r="EX56" s="289" t="s">
        <v>141</v>
      </c>
      <c r="EY56" s="177">
        <f>+DQ56</f>
        <v>-208946049</v>
      </c>
      <c r="EZ56" s="177">
        <f>+EU56</f>
        <v>-1841262.2756770002</v>
      </c>
      <c r="FA56" s="177">
        <f>+EZ56+EY56</f>
        <v>-210787311.275677</v>
      </c>
      <c r="FB56" s="291"/>
      <c r="FC56" s="129"/>
      <c r="FD56" s="287"/>
      <c r="FE56" s="291"/>
    </row>
    <row r="57" spans="1:161" ht="13.5" customHeight="1" thickBot="1">
      <c r="A57" s="13">
        <f t="shared" si="14"/>
        <v>44</v>
      </c>
      <c r="B57" s="244" t="s">
        <v>82</v>
      </c>
      <c r="C57" s="244"/>
      <c r="D57" s="250"/>
      <c r="E57" s="16"/>
      <c r="F57" s="397">
        <f>F54-F56</f>
        <v>-8781320.886128336</v>
      </c>
      <c r="G57" s="13">
        <f t="shared" si="15"/>
        <v>44</v>
      </c>
      <c r="H57" s="244"/>
      <c r="I57" s="250"/>
      <c r="J57" s="250"/>
      <c r="K57" s="198"/>
      <c r="L57"/>
      <c r="M57"/>
      <c r="N57"/>
      <c r="O57"/>
      <c r="P57"/>
      <c r="Q57" s="2"/>
      <c r="V57" s="13"/>
      <c r="X57" s="133"/>
      <c r="Y57" s="19"/>
      <c r="Z57" s="135"/>
      <c r="AA57" s="135"/>
      <c r="AB57" s="135"/>
      <c r="AC57" s="135"/>
      <c r="AD57" s="135"/>
      <c r="AP57" s="278"/>
      <c r="AQ57" s="278"/>
      <c r="AR57" s="278"/>
      <c r="AY57" s="13"/>
      <c r="AZ57" s="137"/>
      <c r="BA57" s="142"/>
      <c r="BB57" s="70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70"/>
      <c r="BQ57" s="2"/>
      <c r="BR57" s="2"/>
      <c r="BS57" s="2"/>
      <c r="CR57" s="2"/>
      <c r="CS57" s="2"/>
      <c r="CT57" s="2"/>
      <c r="CU57" s="135"/>
      <c r="CV57" s="135"/>
      <c r="CW57" s="135"/>
      <c r="CX57" s="135"/>
      <c r="CY57" s="2"/>
      <c r="CZ57" s="135"/>
      <c r="DA57" s="135"/>
      <c r="DB57" s="135"/>
      <c r="DC57" s="135"/>
      <c r="DI57" s="317"/>
      <c r="DK57" s="100"/>
      <c r="DL57" s="69"/>
      <c r="DM57" s="100"/>
      <c r="DN57" s="11"/>
      <c r="DO57" s="13">
        <f t="shared" si="44"/>
        <v>43</v>
      </c>
      <c r="DP57" s="289" t="s">
        <v>210</v>
      </c>
      <c r="DQ57" s="65">
        <v>-27028861</v>
      </c>
      <c r="DR57" s="65"/>
      <c r="DS57" s="65"/>
      <c r="DT57" s="65">
        <f>P26+P27</f>
        <v>527724.8947914289</v>
      </c>
      <c r="DU57" s="65"/>
      <c r="DV57" s="65"/>
      <c r="DW57" s="13">
        <f t="shared" si="45"/>
        <v>43</v>
      </c>
      <c r="DX57" s="289" t="s">
        <v>210</v>
      </c>
      <c r="DY57" s="65"/>
      <c r="DZ57" s="65"/>
      <c r="EA57" s="65"/>
      <c r="EB57" s="65"/>
      <c r="EC57" s="65"/>
      <c r="ED57" s="65"/>
      <c r="EE57" s="65"/>
      <c r="EF57" s="13">
        <f t="shared" si="46"/>
        <v>43</v>
      </c>
      <c r="EG57" s="289" t="s">
        <v>210</v>
      </c>
      <c r="EH57" s="65"/>
      <c r="EI57" s="65"/>
      <c r="EJ57" s="65"/>
      <c r="EK57" s="65"/>
      <c r="EL57" s="65"/>
      <c r="EM57" s="65"/>
      <c r="EN57" s="13">
        <f t="shared" si="43"/>
        <v>43</v>
      </c>
      <c r="EO57" s="289" t="s">
        <v>210</v>
      </c>
      <c r="EP57" s="65"/>
      <c r="EQ57" s="65"/>
      <c r="ER57" s="65"/>
      <c r="ES57" s="65"/>
      <c r="ET57" s="65"/>
      <c r="EU57" s="280">
        <f>SUM(DR57:ET57)-EF57-DW57-EN57</f>
        <v>527724.8947914289</v>
      </c>
      <c r="EV57" s="65">
        <f>+EU57+DQ57</f>
        <v>-26501136.105208572</v>
      </c>
      <c r="EW57" s="13">
        <f t="shared" si="47"/>
        <v>43</v>
      </c>
      <c r="EX57" s="289" t="s">
        <v>210</v>
      </c>
      <c r="EY57" s="65">
        <f>+DQ57</f>
        <v>-27028861</v>
      </c>
      <c r="EZ57" s="65">
        <f>+EU57</f>
        <v>527724.8947914289</v>
      </c>
      <c r="FA57" s="65">
        <f>+EZ57+EY57</f>
        <v>-26501136.105208572</v>
      </c>
      <c r="FB57" s="287"/>
      <c r="FC57" s="129"/>
      <c r="FD57" s="291"/>
      <c r="FE57" s="292"/>
    </row>
    <row r="58" spans="1:161" ht="15" customHeight="1" thickTop="1">
      <c r="A58" s="13"/>
      <c r="F58" s="13"/>
      <c r="G58" s="13">
        <f t="shared" si="15"/>
        <v>45</v>
      </c>
      <c r="H58" s="244" t="s">
        <v>243</v>
      </c>
      <c r="I58" s="250"/>
      <c r="J58" s="16"/>
      <c r="K58" s="396">
        <f>K36-K52-K56</f>
        <v>34669898.73200686</v>
      </c>
      <c r="L58"/>
      <c r="M58"/>
      <c r="N58"/>
      <c r="O58"/>
      <c r="P58"/>
      <c r="Q58" s="2"/>
      <c r="V58" s="13"/>
      <c r="X58" s="133"/>
      <c r="Y58" s="19"/>
      <c r="Z58" s="2"/>
      <c r="AA58" s="135"/>
      <c r="AB58" s="135"/>
      <c r="AC58" s="135"/>
      <c r="AD58" s="135"/>
      <c r="AY58" s="13"/>
      <c r="AZ58" s="137"/>
      <c r="BA58" s="142"/>
      <c r="BB58" s="70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70"/>
      <c r="BQ58" s="2"/>
      <c r="BR58" s="2"/>
      <c r="BS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I58" s="37"/>
      <c r="DJ58" s="1"/>
      <c r="DK58" s="200"/>
      <c r="DM58" s="251"/>
      <c r="DO58" s="13">
        <f t="shared" si="44"/>
        <v>44</v>
      </c>
      <c r="DP58" s="289" t="s">
        <v>144</v>
      </c>
      <c r="DQ58" s="287">
        <f aca="true" t="shared" si="52" ref="DQ58:DV58">SUM(DQ54:DQ57)</f>
        <v>1423234610</v>
      </c>
      <c r="DR58" s="287">
        <f t="shared" si="52"/>
        <v>0</v>
      </c>
      <c r="DS58" s="287">
        <f t="shared" si="52"/>
        <v>0</v>
      </c>
      <c r="DT58" s="287">
        <f t="shared" si="52"/>
        <v>-915968.3808855712</v>
      </c>
      <c r="DU58" s="287">
        <f t="shared" si="52"/>
        <v>0</v>
      </c>
      <c r="DV58" s="287">
        <f t="shared" si="52"/>
        <v>0</v>
      </c>
      <c r="DW58" s="13">
        <f t="shared" si="45"/>
        <v>44</v>
      </c>
      <c r="DX58" s="289" t="s">
        <v>144</v>
      </c>
      <c r="DY58" s="287">
        <f>SUM(DY54:DY57)</f>
        <v>-3109174.32119399</v>
      </c>
      <c r="DZ58" s="287">
        <f aca="true" t="shared" si="53" ref="DZ58:EE58">SUM(DZ54:DZ57)</f>
        <v>0</v>
      </c>
      <c r="EA58" s="287">
        <f t="shared" si="53"/>
        <v>0</v>
      </c>
      <c r="EB58" s="287">
        <f t="shared" si="53"/>
        <v>0</v>
      </c>
      <c r="EC58" s="287">
        <f t="shared" si="53"/>
        <v>0</v>
      </c>
      <c r="ED58" s="287">
        <f t="shared" si="53"/>
        <v>0</v>
      </c>
      <c r="EE58" s="287">
        <f t="shared" si="53"/>
        <v>0</v>
      </c>
      <c r="EF58" s="13">
        <f t="shared" si="46"/>
        <v>44</v>
      </c>
      <c r="EG58" s="289" t="s">
        <v>144</v>
      </c>
      <c r="EH58" s="287">
        <f aca="true" t="shared" si="54" ref="EH58:EM58">SUM(EH54:EH57)</f>
        <v>0</v>
      </c>
      <c r="EI58" s="287">
        <f t="shared" si="54"/>
        <v>0</v>
      </c>
      <c r="EJ58" s="287">
        <f t="shared" si="54"/>
        <v>0</v>
      </c>
      <c r="EK58" s="287">
        <f t="shared" si="54"/>
        <v>0</v>
      </c>
      <c r="EL58" s="287">
        <f t="shared" si="54"/>
        <v>0</v>
      </c>
      <c r="EM58" s="287">
        <f t="shared" si="54"/>
        <v>0</v>
      </c>
      <c r="EN58" s="13">
        <f t="shared" si="43"/>
        <v>44</v>
      </c>
      <c r="EO58" s="289" t="s">
        <v>144</v>
      </c>
      <c r="EP58" s="287">
        <f aca="true" t="shared" si="55" ref="EP58:EV58">SUM(EP54:EP57)</f>
        <v>0</v>
      </c>
      <c r="EQ58" s="287">
        <f t="shared" si="55"/>
        <v>0</v>
      </c>
      <c r="ER58" s="287">
        <f t="shared" si="55"/>
        <v>0</v>
      </c>
      <c r="ES58" s="287">
        <f t="shared" si="55"/>
        <v>0</v>
      </c>
      <c r="ET58" s="287">
        <f t="shared" si="55"/>
        <v>4077858.426334463</v>
      </c>
      <c r="EU58" s="287">
        <f t="shared" si="55"/>
        <v>52715.72425490199</v>
      </c>
      <c r="EV58" s="287">
        <f t="shared" si="55"/>
        <v>1423287325.7242548</v>
      </c>
      <c r="EW58" s="13">
        <f t="shared" si="47"/>
        <v>44</v>
      </c>
      <c r="EX58" s="289" t="s">
        <v>144</v>
      </c>
      <c r="EY58" s="287">
        <f>SUM(EY54:EY57)</f>
        <v>1423234610</v>
      </c>
      <c r="EZ58" s="287">
        <f>SUM(EZ54:EZ57)</f>
        <v>52715.72425490199</v>
      </c>
      <c r="FA58" s="287">
        <f>SUM(FA54:FA57)</f>
        <v>1423287325.7242548</v>
      </c>
      <c r="FB58" s="291"/>
      <c r="FC58" s="129"/>
      <c r="FD58" s="292"/>
      <c r="FE58" s="293"/>
    </row>
    <row r="59" spans="1:161" ht="12.75" customHeight="1" thickBot="1">
      <c r="A59" s="13"/>
      <c r="G59" s="13">
        <f t="shared" si="15"/>
        <v>46</v>
      </c>
      <c r="H59" s="244" t="s">
        <v>73</v>
      </c>
      <c r="I59" s="265">
        <v>0.35</v>
      </c>
      <c r="J59" s="16"/>
      <c r="K59" s="70">
        <f>ROUND(K58*I59,0)</f>
        <v>12134465</v>
      </c>
      <c r="L59"/>
      <c r="M59"/>
      <c r="N59"/>
      <c r="O59"/>
      <c r="P59"/>
      <c r="Q59" s="2"/>
      <c r="Z59" s="2"/>
      <c r="AA59" s="2"/>
      <c r="AB59" s="2"/>
      <c r="AC59" s="2"/>
      <c r="AD59" s="2"/>
      <c r="AY59" s="105"/>
      <c r="AZ59" s="137"/>
      <c r="BA59" s="142"/>
      <c r="BB59" s="70"/>
      <c r="BC59" s="2"/>
      <c r="BD59" s="2"/>
      <c r="BE59" s="2"/>
      <c r="BF59" s="2"/>
      <c r="BG59" s="2"/>
      <c r="BH59" s="16"/>
      <c r="BI59" s="16"/>
      <c r="BJ59" s="16"/>
      <c r="BK59" s="16"/>
      <c r="BL59" s="16"/>
      <c r="BM59" s="70"/>
      <c r="BQ59" s="2"/>
      <c r="BR59" s="2"/>
      <c r="BS59" s="2"/>
      <c r="BT59" s="105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I59" s="105"/>
      <c r="DM59" s="420"/>
      <c r="DO59" s="13">
        <f t="shared" si="44"/>
        <v>45</v>
      </c>
      <c r="DP59" s="289" t="s">
        <v>142</v>
      </c>
      <c r="DQ59" s="65">
        <v>51102877</v>
      </c>
      <c r="DR59" s="65"/>
      <c r="DS59" s="65"/>
      <c r="DT59" s="65"/>
      <c r="DU59" s="65"/>
      <c r="DV59" s="65"/>
      <c r="DW59" s="13">
        <f t="shared" si="45"/>
        <v>45</v>
      </c>
      <c r="DX59" s="289" t="s">
        <v>142</v>
      </c>
      <c r="DY59" s="65"/>
      <c r="DZ59" s="65"/>
      <c r="EA59" s="65"/>
      <c r="EB59" s="65"/>
      <c r="EC59" s="65"/>
      <c r="ED59" s="65"/>
      <c r="EE59" s="65"/>
      <c r="EF59" s="13">
        <f t="shared" si="46"/>
        <v>45</v>
      </c>
      <c r="EG59" s="289" t="s">
        <v>142</v>
      </c>
      <c r="EH59" s="65"/>
      <c r="EI59" s="65"/>
      <c r="EJ59" s="65"/>
      <c r="EK59" s="65"/>
      <c r="EL59" s="65"/>
      <c r="EM59" s="65"/>
      <c r="EN59" s="13">
        <f t="shared" si="43"/>
        <v>45</v>
      </c>
      <c r="EO59" s="289" t="s">
        <v>142</v>
      </c>
      <c r="EP59" s="65"/>
      <c r="EQ59" s="65"/>
      <c r="ER59" s="65"/>
      <c r="ES59" s="65"/>
      <c r="ET59" s="65"/>
      <c r="EU59" s="65">
        <f>SUM(DR59:ES59)-EF59-DW59-EN59</f>
        <v>0</v>
      </c>
      <c r="EV59" s="65">
        <f>+EU59+DQ59</f>
        <v>51102877</v>
      </c>
      <c r="EW59" s="13">
        <f t="shared" si="47"/>
        <v>45</v>
      </c>
      <c r="EX59" s="289" t="s">
        <v>142</v>
      </c>
      <c r="EY59" s="65">
        <f>+DQ59</f>
        <v>51102877</v>
      </c>
      <c r="EZ59" s="65">
        <f>+EU59</f>
        <v>0</v>
      </c>
      <c r="FA59" s="65">
        <f>+EZ59+EY59</f>
        <v>51102877</v>
      </c>
      <c r="FB59" s="292"/>
      <c r="FC59" s="129"/>
      <c r="FD59" s="293"/>
      <c r="FE59" s="294"/>
    </row>
    <row r="60" spans="1:160" ht="12" customHeight="1" thickBot="1" thickTop="1">
      <c r="A60" s="13"/>
      <c r="G60" s="13">
        <f t="shared" si="15"/>
        <v>47</v>
      </c>
      <c r="H60" s="244" t="s">
        <v>82</v>
      </c>
      <c r="I60" s="250"/>
      <c r="J60" s="16"/>
      <c r="K60" s="397">
        <f>K58-K59</f>
        <v>22535433.732006863</v>
      </c>
      <c r="L60"/>
      <c r="M60"/>
      <c r="N60"/>
      <c r="O60"/>
      <c r="P60"/>
      <c r="Q60" s="2"/>
      <c r="Z60" s="2"/>
      <c r="AA60" s="2"/>
      <c r="AB60" s="2"/>
      <c r="AC60" s="2"/>
      <c r="AD60" s="2"/>
      <c r="AE60" s="380"/>
      <c r="AY60" s="22"/>
      <c r="AZ60" s="137"/>
      <c r="BA60" s="143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Q60" s="16"/>
      <c r="BR60" s="16"/>
      <c r="BS60" s="16"/>
      <c r="CR60" s="16"/>
      <c r="CS60" s="16"/>
      <c r="CT60" s="16"/>
      <c r="CU60" s="2"/>
      <c r="CV60" s="2"/>
      <c r="CW60" s="2"/>
      <c r="CX60" s="2"/>
      <c r="CY60" s="16"/>
      <c r="CZ60" s="2"/>
      <c r="DA60" s="2"/>
      <c r="DB60" s="2"/>
      <c r="DC60" s="2"/>
      <c r="DI60" s="37"/>
      <c r="DJ60" s="237"/>
      <c r="DM60" s="514"/>
      <c r="DN60" s="48"/>
      <c r="DO60" s="13">
        <v>46</v>
      </c>
      <c r="DP60" s="290" t="s">
        <v>143</v>
      </c>
      <c r="DQ60" s="295">
        <f aca="true" t="shared" si="56" ref="DQ60:DV60">SUM(DQ58:DQ59)</f>
        <v>1474337487</v>
      </c>
      <c r="DR60" s="295">
        <f t="shared" si="56"/>
        <v>0</v>
      </c>
      <c r="DS60" s="295">
        <f t="shared" si="56"/>
        <v>0</v>
      </c>
      <c r="DT60" s="295">
        <f t="shared" si="56"/>
        <v>-915968.3808855712</v>
      </c>
      <c r="DU60" s="295">
        <f t="shared" si="56"/>
        <v>0</v>
      </c>
      <c r="DV60" s="295">
        <f t="shared" si="56"/>
        <v>0</v>
      </c>
      <c r="DW60" s="13">
        <v>46</v>
      </c>
      <c r="DX60" s="290" t="s">
        <v>143</v>
      </c>
      <c r="DY60" s="295">
        <f>SUM(DY58:DY59)</f>
        <v>-3109174.32119399</v>
      </c>
      <c r="DZ60" s="295">
        <f aca="true" t="shared" si="57" ref="DZ60:EE60">SUM(DZ58:DZ59)</f>
        <v>0</v>
      </c>
      <c r="EA60" s="295">
        <f t="shared" si="57"/>
        <v>0</v>
      </c>
      <c r="EB60" s="295">
        <f t="shared" si="57"/>
        <v>0</v>
      </c>
      <c r="EC60" s="295">
        <f t="shared" si="57"/>
        <v>0</v>
      </c>
      <c r="ED60" s="295">
        <f t="shared" si="57"/>
        <v>0</v>
      </c>
      <c r="EE60" s="295">
        <f t="shared" si="57"/>
        <v>0</v>
      </c>
      <c r="EF60" s="13">
        <v>46</v>
      </c>
      <c r="EG60" s="290" t="s">
        <v>143</v>
      </c>
      <c r="EH60" s="295">
        <f aca="true" t="shared" si="58" ref="EH60:EM60">SUM(EH58:EH59)</f>
        <v>0</v>
      </c>
      <c r="EI60" s="295">
        <f t="shared" si="58"/>
        <v>0</v>
      </c>
      <c r="EJ60" s="295">
        <f t="shared" si="58"/>
        <v>0</v>
      </c>
      <c r="EK60" s="295">
        <f t="shared" si="58"/>
        <v>0</v>
      </c>
      <c r="EL60" s="295">
        <f t="shared" si="58"/>
        <v>0</v>
      </c>
      <c r="EM60" s="295">
        <f t="shared" si="58"/>
        <v>0</v>
      </c>
      <c r="EN60" s="13">
        <v>46</v>
      </c>
      <c r="EO60" s="290" t="s">
        <v>143</v>
      </c>
      <c r="EP60" s="295">
        <f aca="true" t="shared" si="59" ref="EP60:EV60">SUM(EP58:EP59)</f>
        <v>0</v>
      </c>
      <c r="EQ60" s="295">
        <f t="shared" si="59"/>
        <v>0</v>
      </c>
      <c r="ER60" s="295">
        <f t="shared" si="59"/>
        <v>0</v>
      </c>
      <c r="ES60" s="295">
        <f t="shared" si="59"/>
        <v>0</v>
      </c>
      <c r="ET60" s="295">
        <f t="shared" si="59"/>
        <v>4077858.426334463</v>
      </c>
      <c r="EU60" s="295">
        <f t="shared" si="59"/>
        <v>52715.72425490199</v>
      </c>
      <c r="EV60" s="295">
        <f t="shared" si="59"/>
        <v>1474390202.7242548</v>
      </c>
      <c r="EW60" s="13">
        <v>46</v>
      </c>
      <c r="EX60" s="290" t="s">
        <v>143</v>
      </c>
      <c r="EY60" s="295">
        <f>SUM(EY58:EY59)</f>
        <v>1474337487</v>
      </c>
      <c r="EZ60" s="295">
        <f>SUM(EZ58:EZ59)</f>
        <v>52715.72425490199</v>
      </c>
      <c r="FA60" s="295">
        <f>SUM(FA58:FA59)</f>
        <v>1474390202.7242548</v>
      </c>
      <c r="FB60" s="293"/>
      <c r="FC60" s="129"/>
      <c r="FD60" s="294"/>
    </row>
    <row r="61" spans="1:159" ht="15.75" customHeight="1" thickTop="1">
      <c r="A61" s="20"/>
      <c r="G61" s="22"/>
      <c r="H61" s="2"/>
      <c r="I61" s="2"/>
      <c r="J61" s="2"/>
      <c r="K61" s="2"/>
      <c r="L61"/>
      <c r="M61"/>
      <c r="N61"/>
      <c r="O61"/>
      <c r="P61"/>
      <c r="Q61" s="2"/>
      <c r="Z61" s="16"/>
      <c r="AA61" s="2"/>
      <c r="AB61" s="2"/>
      <c r="AC61" s="2"/>
      <c r="AD61" s="2"/>
      <c r="AE61" s="380"/>
      <c r="AF61" s="19"/>
      <c r="AG61" s="19"/>
      <c r="AH61" s="19"/>
      <c r="AI61" s="19"/>
      <c r="AY61" s="22"/>
      <c r="AZ61" s="137"/>
      <c r="BA61" s="143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Q61" s="16"/>
      <c r="BR61" s="16"/>
      <c r="BS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J61" s="11"/>
      <c r="DK61" s="6"/>
      <c r="DL61" s="39"/>
      <c r="DM61" s="11"/>
      <c r="EW61" s="13"/>
      <c r="FB61" s="294"/>
      <c r="FC61" s="294"/>
    </row>
    <row r="62" spans="1:157" ht="15.75" customHeight="1">
      <c r="A62" s="20"/>
      <c r="G62" s="22"/>
      <c r="H62" s="110"/>
      <c r="I62" s="2"/>
      <c r="J62" s="196"/>
      <c r="K62" s="2"/>
      <c r="L62"/>
      <c r="M62"/>
      <c r="N62"/>
      <c r="O62"/>
      <c r="P62"/>
      <c r="Q62" s="2"/>
      <c r="V62" s="13"/>
      <c r="X62" s="133"/>
      <c r="Y62" s="19"/>
      <c r="Z62" s="16"/>
      <c r="AA62" s="16"/>
      <c r="AB62" s="16"/>
      <c r="AC62" s="16"/>
      <c r="AD62" s="16"/>
      <c r="AE62" s="380"/>
      <c r="AF62" s="19"/>
      <c r="AG62" s="19"/>
      <c r="AH62" s="19"/>
      <c r="AI62" s="19"/>
      <c r="AY62" s="22"/>
      <c r="AZ62" s="137"/>
      <c r="BA62" s="143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Q62" s="16"/>
      <c r="BR62" s="16"/>
      <c r="BS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3"/>
      <c r="DE62" s="16"/>
      <c r="DF62" s="16"/>
      <c r="DG62" s="16"/>
      <c r="DH62" s="16"/>
      <c r="DI62" s="36" t="str">
        <f>PSE</f>
        <v>PUGET SOUND ENERGY-GAS </v>
      </c>
      <c r="DJ62" s="11"/>
      <c r="DK62" s="6"/>
      <c r="DL62" s="39"/>
      <c r="DM62" s="11"/>
      <c r="DN62" s="98"/>
      <c r="DO62" s="317"/>
      <c r="DP62" s="3" t="s">
        <v>271</v>
      </c>
      <c r="DQ62" s="31"/>
      <c r="DR62" s="31"/>
      <c r="DS62" s="31"/>
      <c r="DT62" s="31"/>
      <c r="DU62" s="31"/>
      <c r="DV62" s="31"/>
      <c r="DW62" s="317"/>
      <c r="DX62" s="350"/>
      <c r="DY62" s="31"/>
      <c r="DZ62" s="31"/>
      <c r="EA62" s="31"/>
      <c r="EB62" s="31"/>
      <c r="EC62" s="31"/>
      <c r="ED62" s="31"/>
      <c r="EE62" s="31"/>
      <c r="EF62" s="317"/>
      <c r="EH62" s="31"/>
      <c r="EI62" s="31"/>
      <c r="EJ62" s="31"/>
      <c r="EK62" s="31"/>
      <c r="EL62" s="31"/>
      <c r="EM62" s="31"/>
      <c r="EN62" s="199"/>
      <c r="EO62" s="199"/>
      <c r="EP62" s="31"/>
      <c r="EQ62" s="31"/>
      <c r="ER62" s="31"/>
      <c r="ES62" s="31"/>
      <c r="ET62" s="31"/>
      <c r="EU62" s="31"/>
      <c r="EV62" s="31"/>
      <c r="EW62" s="317"/>
      <c r="FA62" s="199"/>
    </row>
    <row r="63" spans="1:157" ht="15" customHeight="1">
      <c r="A63" s="20"/>
      <c r="G63" s="22"/>
      <c r="H63" s="320"/>
      <c r="I63" s="2"/>
      <c r="J63" s="2"/>
      <c r="K63" s="70"/>
      <c r="L63"/>
      <c r="M63"/>
      <c r="N63"/>
      <c r="O63"/>
      <c r="P63"/>
      <c r="Q63" s="2"/>
      <c r="V63" s="13"/>
      <c r="X63" s="133"/>
      <c r="Y63" s="19"/>
      <c r="Z63" s="16"/>
      <c r="AA63" s="16"/>
      <c r="AB63" s="16"/>
      <c r="AC63" s="16"/>
      <c r="AD63" s="16"/>
      <c r="AE63" s="380"/>
      <c r="AF63" s="19"/>
      <c r="AG63" s="19"/>
      <c r="AH63" s="19"/>
      <c r="AI63" s="19"/>
      <c r="AY63" s="22"/>
      <c r="AZ63" s="137"/>
      <c r="BA63" s="143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Q63" s="16"/>
      <c r="BR63" s="16"/>
      <c r="BS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3"/>
      <c r="DE63" s="16"/>
      <c r="DF63" s="16"/>
      <c r="DG63" s="16"/>
      <c r="DH63" s="16"/>
      <c r="DI63" s="36" t="s">
        <v>115</v>
      </c>
      <c r="DJ63" s="11"/>
      <c r="DK63" s="6"/>
      <c r="DL63" s="6"/>
      <c r="DM63" s="11"/>
      <c r="DN63" s="100"/>
      <c r="EU63" s="31"/>
      <c r="EV63" s="178"/>
      <c r="FA63" s="241"/>
    </row>
    <row r="64" spans="1:117" ht="13.5" customHeight="1">
      <c r="A64" s="2"/>
      <c r="G64" s="22"/>
      <c r="H64" s="320"/>
      <c r="I64" s="377"/>
      <c r="J64" s="2"/>
      <c r="K64" s="378"/>
      <c r="L64"/>
      <c r="M64"/>
      <c r="N64"/>
      <c r="O64"/>
      <c r="P64"/>
      <c r="Q64" s="2"/>
      <c r="V64" s="2"/>
      <c r="W64" s="2"/>
      <c r="X64" s="2"/>
      <c r="Y64" s="2"/>
      <c r="Z64" s="16"/>
      <c r="AA64" s="16"/>
      <c r="AB64" s="16"/>
      <c r="AC64" s="16"/>
      <c r="AD64" s="16"/>
      <c r="AE64" s="2"/>
      <c r="AF64" s="19"/>
      <c r="AG64" s="19"/>
      <c r="AH64" s="19"/>
      <c r="AI64" s="19"/>
      <c r="AY64" s="22"/>
      <c r="AZ64" s="137"/>
      <c r="BA64" s="143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Q64" s="16"/>
      <c r="BR64" s="16"/>
      <c r="BS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3"/>
      <c r="DE64" s="16"/>
      <c r="DF64" s="16"/>
      <c r="DG64" s="16"/>
      <c r="DH64" s="16"/>
      <c r="DI64" s="6" t="str">
        <f>TESTYEAR</f>
        <v>FOR THE TWELVE MONTHS ENDED DECEMBER  31, 2008</v>
      </c>
      <c r="DJ64" s="11"/>
      <c r="DK64" s="6"/>
      <c r="DL64" s="6"/>
      <c r="DM64" s="11"/>
    </row>
    <row r="65" spans="1:157" ht="13.5" customHeight="1">
      <c r="A65" s="20"/>
      <c r="G65" s="22"/>
      <c r="H65" s="320"/>
      <c r="I65" s="2"/>
      <c r="J65" s="2"/>
      <c r="K65" s="196"/>
      <c r="L65"/>
      <c r="M65"/>
      <c r="N65"/>
      <c r="O65"/>
      <c r="P65"/>
      <c r="Q65" s="2"/>
      <c r="V65" s="2"/>
      <c r="W65" s="2"/>
      <c r="X65" s="2"/>
      <c r="Y65" s="2"/>
      <c r="Z65" s="16"/>
      <c r="AA65" s="16"/>
      <c r="AB65" s="16"/>
      <c r="AC65" s="16"/>
      <c r="AD65" s="16"/>
      <c r="AF65" s="19"/>
      <c r="AG65" s="19"/>
      <c r="AH65" s="19"/>
      <c r="AI65" s="19"/>
      <c r="AY65" s="22"/>
      <c r="AZ65" s="137"/>
      <c r="BA65" s="143"/>
      <c r="BC65" s="16"/>
      <c r="BD65" s="16"/>
      <c r="BE65" s="16"/>
      <c r="BF65" s="16"/>
      <c r="BG65" s="16"/>
      <c r="BQ65" s="16"/>
      <c r="BR65" s="16"/>
      <c r="BS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3"/>
      <c r="DE65" s="16"/>
      <c r="DF65" s="16"/>
      <c r="DG65" s="16"/>
      <c r="DH65" s="16"/>
      <c r="DI65" s="36" t="str">
        <f>DOCKET</f>
        <v>GENERAL RATE INCREASE</v>
      </c>
      <c r="DJ65" s="6"/>
      <c r="DK65" s="6"/>
      <c r="DL65" s="6"/>
      <c r="DM65" s="11"/>
      <c r="DN65" s="296"/>
      <c r="DP65" s="197"/>
      <c r="DQ65" s="2"/>
      <c r="DR65" s="2"/>
      <c r="DS65" s="2"/>
      <c r="DT65" s="2"/>
      <c r="DU65" s="2"/>
      <c r="DV65" s="2"/>
      <c r="DW65" s="2"/>
      <c r="DX65" s="537"/>
      <c r="DY65" s="2"/>
      <c r="DZ65" s="2"/>
      <c r="EA65" s="2"/>
      <c r="EB65" s="2"/>
      <c r="EC65" s="2"/>
      <c r="ED65" s="2"/>
      <c r="EE65" s="2"/>
      <c r="EF65" s="2"/>
      <c r="EG65" s="537"/>
      <c r="EH65" s="2"/>
      <c r="EI65" s="2"/>
      <c r="EJ65" s="2"/>
      <c r="EK65" s="2"/>
      <c r="EL65" s="2"/>
      <c r="EM65" s="2"/>
      <c r="EN65" s="2"/>
      <c r="EO65" s="537"/>
      <c r="EP65" s="2"/>
      <c r="EQ65" s="2"/>
      <c r="ER65" s="2"/>
      <c r="ES65" s="2"/>
      <c r="ET65" s="2"/>
      <c r="EU65" s="2"/>
      <c r="EV65" s="2"/>
      <c r="FA65" s="31"/>
    </row>
    <row r="66" spans="1:161" ht="14.25" customHeight="1">
      <c r="A66" s="20"/>
      <c r="L66"/>
      <c r="M66"/>
      <c r="N66"/>
      <c r="O66"/>
      <c r="P66"/>
      <c r="Z66" s="16"/>
      <c r="AA66" s="16"/>
      <c r="AB66" s="16"/>
      <c r="AC66" s="16"/>
      <c r="AD66" s="16"/>
      <c r="AF66" s="19"/>
      <c r="AG66" s="19"/>
      <c r="AH66" s="19"/>
      <c r="AI66" s="19"/>
      <c r="CU66" s="16"/>
      <c r="CV66" s="16"/>
      <c r="CW66" s="16"/>
      <c r="CX66" s="16"/>
      <c r="CZ66" s="16"/>
      <c r="DA66" s="16"/>
      <c r="DB66" s="16"/>
      <c r="DC66" s="16"/>
      <c r="DE66" s="16"/>
      <c r="DF66" s="16"/>
      <c r="DG66" s="16"/>
      <c r="DH66" s="16"/>
      <c r="DI66" s="37"/>
      <c r="DJ66" s="37"/>
      <c r="DK66" s="37"/>
      <c r="DL66" s="37"/>
      <c r="DN66" s="296"/>
      <c r="DP66" s="391"/>
      <c r="DQ66" s="392"/>
      <c r="DR66" s="392"/>
      <c r="DS66" s="392"/>
      <c r="DT66" s="392"/>
      <c r="DU66" s="392"/>
      <c r="DV66" s="392"/>
      <c r="DW66" s="392"/>
      <c r="DX66" s="391"/>
      <c r="DY66" s="392"/>
      <c r="DZ66" s="392"/>
      <c r="EA66" s="392"/>
      <c r="EB66" s="392"/>
      <c r="EC66" s="392"/>
      <c r="ED66" s="392"/>
      <c r="EE66" s="392"/>
      <c r="EF66" s="392"/>
      <c r="EG66" s="391"/>
      <c r="EH66" s="392"/>
      <c r="EI66" s="392"/>
      <c r="EJ66" s="392"/>
      <c r="EK66" s="70"/>
      <c r="EL66" s="392"/>
      <c r="EM66" s="392"/>
      <c r="EN66" s="392"/>
      <c r="EO66" s="391"/>
      <c r="EP66" s="392"/>
      <c r="EQ66" s="392"/>
      <c r="ER66" s="392"/>
      <c r="ES66" s="392"/>
      <c r="ET66" s="392"/>
      <c r="EU66" s="392"/>
      <c r="EV66" s="392"/>
      <c r="FE66" s="2"/>
    </row>
    <row r="67" spans="1:161" ht="12.75" customHeight="1">
      <c r="A67" s="2"/>
      <c r="M67" s="2"/>
      <c r="N67" s="2"/>
      <c r="O67" s="2"/>
      <c r="P67" s="2"/>
      <c r="AA67" s="16"/>
      <c r="AB67" s="16"/>
      <c r="AC67" s="16"/>
      <c r="AD67" s="16"/>
      <c r="AF67" s="19"/>
      <c r="AG67" s="19"/>
      <c r="AH67" s="19"/>
      <c r="AI67" s="19"/>
      <c r="DI67" s="12" t="s">
        <v>26</v>
      </c>
      <c r="DM67" s="13" t="s">
        <v>19</v>
      </c>
      <c r="DN67" s="296"/>
      <c r="DP67" s="70"/>
      <c r="DQ67" s="192"/>
      <c r="DR67" s="192"/>
      <c r="DS67" s="192"/>
      <c r="DT67" s="192"/>
      <c r="DU67" s="192"/>
      <c r="DV67" s="192"/>
      <c r="DW67" s="192"/>
      <c r="DX67" s="391"/>
      <c r="DY67" s="192"/>
      <c r="DZ67" s="192"/>
      <c r="EA67" s="192"/>
      <c r="EB67" s="192"/>
      <c r="EC67" s="192"/>
      <c r="ED67" s="192"/>
      <c r="EE67" s="192"/>
      <c r="EF67" s="192"/>
      <c r="EG67" s="70"/>
      <c r="EH67" s="192"/>
      <c r="EI67" s="192"/>
      <c r="EJ67" s="192"/>
      <c r="EK67" s="70"/>
      <c r="EL67" s="192"/>
      <c r="EM67" s="192"/>
      <c r="EN67" s="192"/>
      <c r="EO67" s="70"/>
      <c r="EP67" s="192"/>
      <c r="EQ67" s="192"/>
      <c r="ER67" s="192"/>
      <c r="ES67" s="192"/>
      <c r="ET67" s="192"/>
      <c r="EU67" s="192"/>
      <c r="EV67" s="192"/>
      <c r="FE67" s="2"/>
    </row>
    <row r="68" spans="1:161" ht="12.75" customHeight="1">
      <c r="A68" s="2"/>
      <c r="M68" s="136"/>
      <c r="N68" s="136"/>
      <c r="O68" s="136"/>
      <c r="P68" s="136"/>
      <c r="AF68" s="19"/>
      <c r="AG68" s="19"/>
      <c r="AH68" s="19"/>
      <c r="AI68" s="19"/>
      <c r="DI68" s="24" t="s">
        <v>41</v>
      </c>
      <c r="DJ68" s="43" t="s">
        <v>42</v>
      </c>
      <c r="DK68" s="118"/>
      <c r="DL68" s="118"/>
      <c r="DM68" s="528" t="s">
        <v>19</v>
      </c>
      <c r="DN68" s="296"/>
      <c r="DP68" s="70"/>
      <c r="DQ68" s="192"/>
      <c r="DR68" s="192"/>
      <c r="DS68" s="192"/>
      <c r="DT68" s="192"/>
      <c r="DU68" s="192"/>
      <c r="DV68" s="192"/>
      <c r="DW68" s="70"/>
      <c r="DX68" s="70"/>
      <c r="DY68" s="192"/>
      <c r="DZ68" s="192"/>
      <c r="EA68" s="192"/>
      <c r="EB68" s="192"/>
      <c r="EC68" s="192"/>
      <c r="ED68" s="192"/>
      <c r="EE68" s="192"/>
      <c r="EF68" s="70"/>
      <c r="EG68" s="70"/>
      <c r="EH68" s="192"/>
      <c r="EI68" s="192"/>
      <c r="EJ68" s="192"/>
      <c r="EK68" s="192"/>
      <c r="EL68" s="192"/>
      <c r="EM68" s="192"/>
      <c r="EN68" s="192"/>
      <c r="EO68" s="70"/>
      <c r="EP68" s="192"/>
      <c r="EQ68" s="192"/>
      <c r="ER68" s="192"/>
      <c r="ES68" s="192"/>
      <c r="ET68" s="192"/>
      <c r="EU68" s="192"/>
      <c r="EV68" s="192"/>
      <c r="FE68" s="2"/>
    </row>
    <row r="69" spans="1:161" ht="12.75" customHeight="1">
      <c r="A69" s="2"/>
      <c r="M69" s="139"/>
      <c r="N69" s="139"/>
      <c r="O69" s="139"/>
      <c r="P69" s="139"/>
      <c r="AF69" s="19"/>
      <c r="AG69" s="19"/>
      <c r="AH69" s="19"/>
      <c r="AI69" s="19"/>
      <c r="DN69" s="296"/>
      <c r="DP69" s="537"/>
      <c r="DQ69" s="2"/>
      <c r="DR69" s="2"/>
      <c r="DS69" s="2"/>
      <c r="DT69" s="2"/>
      <c r="DU69" s="2"/>
      <c r="DV69" s="2"/>
      <c r="DW69" s="2"/>
      <c r="DX69" s="197"/>
      <c r="DY69" s="2"/>
      <c r="DZ69" s="2"/>
      <c r="EA69" s="2"/>
      <c r="EB69" s="2"/>
      <c r="EC69" s="2"/>
      <c r="ED69" s="2"/>
      <c r="EE69" s="25"/>
      <c r="EF69" s="2"/>
      <c r="EG69" s="197"/>
      <c r="EH69" s="25"/>
      <c r="EI69" s="2"/>
      <c r="EJ69" s="25"/>
      <c r="EK69" s="2"/>
      <c r="EL69" s="2"/>
      <c r="EM69" s="2"/>
      <c r="EN69" s="2"/>
      <c r="EO69" s="197"/>
      <c r="EP69" s="2"/>
      <c r="EQ69" s="2"/>
      <c r="ER69" s="2"/>
      <c r="ES69" s="2"/>
      <c r="ET69" s="2"/>
      <c r="EU69" s="25"/>
      <c r="EV69" s="25"/>
      <c r="FE69" s="2"/>
    </row>
    <row r="70" spans="1:161" ht="12.75" customHeight="1">
      <c r="A70" s="2"/>
      <c r="G70" s="193"/>
      <c r="H70" s="193"/>
      <c r="I70" s="193"/>
      <c r="J70" s="193"/>
      <c r="K70" s="193"/>
      <c r="M70" s="23"/>
      <c r="N70" s="23"/>
      <c r="O70" s="23"/>
      <c r="P70" s="23"/>
      <c r="AE70" s="2"/>
      <c r="AF70" s="19"/>
      <c r="AG70" s="19"/>
      <c r="AH70" s="19"/>
      <c r="AI70" s="19"/>
      <c r="DI70" s="13">
        <v>1</v>
      </c>
      <c r="DJ70" s="3" t="s">
        <v>116</v>
      </c>
      <c r="DM70" s="93">
        <f>FA60</f>
        <v>1474390202.7242548</v>
      </c>
      <c r="DN70" s="296"/>
      <c r="DP70" s="391"/>
      <c r="DQ70" s="392"/>
      <c r="DR70" s="70"/>
      <c r="DS70" s="70"/>
      <c r="DT70" s="70"/>
      <c r="DU70" s="70"/>
      <c r="DV70" s="70"/>
      <c r="DW70" s="70"/>
      <c r="DX70" s="391"/>
      <c r="DY70" s="70"/>
      <c r="DZ70" s="70"/>
      <c r="EA70" s="70"/>
      <c r="EB70" s="70"/>
      <c r="EC70" s="70"/>
      <c r="ED70" s="70"/>
      <c r="EE70" s="70"/>
      <c r="EF70" s="70"/>
      <c r="EG70" s="391"/>
      <c r="EH70" s="70"/>
      <c r="EI70" s="70"/>
      <c r="EJ70" s="70"/>
      <c r="EK70" s="70"/>
      <c r="EL70" s="70"/>
      <c r="EM70" s="70"/>
      <c r="EN70" s="70"/>
      <c r="EO70" s="391"/>
      <c r="EP70" s="70"/>
      <c r="EQ70" s="70"/>
      <c r="ER70" s="70"/>
      <c r="ES70" s="70"/>
      <c r="ET70" s="70"/>
      <c r="EU70" s="70"/>
      <c r="EV70" s="70"/>
      <c r="FE70" s="2"/>
    </row>
    <row r="71" spans="1:161" ht="12.75" customHeight="1">
      <c r="A71" s="2"/>
      <c r="G71" s="66"/>
      <c r="H71" s="66"/>
      <c r="I71" s="66"/>
      <c r="J71" s="66"/>
      <c r="K71" s="66"/>
      <c r="M71" s="23"/>
      <c r="N71" s="23"/>
      <c r="O71" s="23"/>
      <c r="P71" s="23"/>
      <c r="V71" s="2"/>
      <c r="W71" s="2"/>
      <c r="X71" s="2"/>
      <c r="Y71" s="2"/>
      <c r="AE71" s="2"/>
      <c r="AF71" s="19"/>
      <c r="AG71" s="19"/>
      <c r="AH71" s="19"/>
      <c r="AI71" s="19"/>
      <c r="CK71" s="144"/>
      <c r="CL71" s="144"/>
      <c r="CM71" s="144"/>
      <c r="CN71" s="144"/>
      <c r="CO71" s="144"/>
      <c r="DI71" s="13">
        <f aca="true" t="shared" si="60" ref="DI71:DI79">DI70+1</f>
        <v>2</v>
      </c>
      <c r="DJ71" s="14" t="s">
        <v>17</v>
      </c>
      <c r="DM71" s="236">
        <f>DM50</f>
        <v>0.08560000000000001</v>
      </c>
      <c r="DN71" s="296"/>
      <c r="DP71" s="70"/>
      <c r="DQ71" s="192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FE71" s="2"/>
    </row>
    <row r="72" spans="1:161" ht="12.75" customHeight="1">
      <c r="A72" s="2"/>
      <c r="G72" s="66"/>
      <c r="H72" s="66"/>
      <c r="I72" s="66"/>
      <c r="J72" s="66"/>
      <c r="K72" s="66"/>
      <c r="M72" s="23"/>
      <c r="N72" s="23"/>
      <c r="O72" s="23"/>
      <c r="P72" s="23"/>
      <c r="V72" s="2"/>
      <c r="W72" s="2"/>
      <c r="X72" s="2"/>
      <c r="Y72" s="2"/>
      <c r="AE72" s="2"/>
      <c r="AF72" s="19"/>
      <c r="AG72" s="19"/>
      <c r="AH72" s="19"/>
      <c r="AI72" s="19"/>
      <c r="DI72" s="13">
        <f t="shared" si="60"/>
        <v>3</v>
      </c>
      <c r="DJ72" s="14"/>
      <c r="DN72" s="296"/>
      <c r="DP72" s="70"/>
      <c r="DQ72" s="192"/>
      <c r="DR72" s="192"/>
      <c r="DS72" s="192"/>
      <c r="DT72" s="192"/>
      <c r="DU72" s="192"/>
      <c r="DV72" s="192"/>
      <c r="DW72" s="70"/>
      <c r="DX72" s="70"/>
      <c r="DY72" s="192"/>
      <c r="DZ72" s="192"/>
      <c r="EA72" s="192"/>
      <c r="EB72" s="192"/>
      <c r="EC72" s="192"/>
      <c r="ED72" s="192"/>
      <c r="EE72" s="192"/>
      <c r="EF72" s="70"/>
      <c r="EG72" s="70"/>
      <c r="EH72" s="192"/>
      <c r="EI72" s="192"/>
      <c r="EJ72" s="192"/>
      <c r="EK72" s="192"/>
      <c r="EL72" s="192"/>
      <c r="EM72" s="192"/>
      <c r="EN72" s="192"/>
      <c r="EO72" s="70"/>
      <c r="EP72" s="192"/>
      <c r="EQ72" s="192"/>
      <c r="ER72" s="192"/>
      <c r="ES72" s="192"/>
      <c r="ET72" s="192"/>
      <c r="EU72" s="192"/>
      <c r="EV72" s="192"/>
      <c r="FE72" s="2"/>
    </row>
    <row r="73" spans="1:161" ht="12.75" customHeight="1">
      <c r="A73" s="2"/>
      <c r="G73" s="66"/>
      <c r="H73" s="66"/>
      <c r="I73" s="66"/>
      <c r="J73" s="66"/>
      <c r="K73" s="66"/>
      <c r="M73" s="33"/>
      <c r="N73" s="33"/>
      <c r="O73" s="33"/>
      <c r="P73" s="33"/>
      <c r="V73" s="2"/>
      <c r="W73" s="2"/>
      <c r="X73" s="2"/>
      <c r="Y73" s="2"/>
      <c r="AE73" s="2"/>
      <c r="AF73" s="19"/>
      <c r="AG73" s="19"/>
      <c r="AH73" s="19"/>
      <c r="AI73" s="19"/>
      <c r="DI73" s="13">
        <f t="shared" si="60"/>
        <v>4</v>
      </c>
      <c r="DJ73" s="3" t="s">
        <v>196</v>
      </c>
      <c r="DM73" s="26">
        <f>DM70*DM71</f>
        <v>126207801.35319623</v>
      </c>
      <c r="DN73" s="296"/>
      <c r="DP73" s="197"/>
      <c r="DQ73" s="2"/>
      <c r="DR73" s="2"/>
      <c r="DS73" s="2"/>
      <c r="DT73" s="2"/>
      <c r="DU73" s="2"/>
      <c r="DV73" s="2"/>
      <c r="DW73" s="2"/>
      <c r="DX73" s="197"/>
      <c r="DY73" s="2"/>
      <c r="DZ73" s="2"/>
      <c r="EA73" s="2"/>
      <c r="EB73" s="2"/>
      <c r="EC73" s="2"/>
      <c r="ED73" s="2"/>
      <c r="EE73" s="25"/>
      <c r="EF73" s="2"/>
      <c r="EG73" s="197"/>
      <c r="EH73" s="25"/>
      <c r="EI73" s="2"/>
      <c r="EJ73" s="25"/>
      <c r="EK73" s="2"/>
      <c r="EL73" s="2"/>
      <c r="EM73" s="2"/>
      <c r="EN73" s="2"/>
      <c r="EO73" s="197"/>
      <c r="EP73" s="2"/>
      <c r="EQ73" s="2"/>
      <c r="ER73" s="2"/>
      <c r="ES73" s="2"/>
      <c r="ET73" s="2"/>
      <c r="EU73" s="25"/>
      <c r="EV73" s="25"/>
      <c r="FE73" s="2"/>
    </row>
    <row r="74" spans="1:161" ht="12.75" customHeight="1">
      <c r="A74" s="2"/>
      <c r="G74" s="66"/>
      <c r="H74" s="66"/>
      <c r="I74" s="66"/>
      <c r="J74" s="66"/>
      <c r="K74" s="66"/>
      <c r="M74" s="33"/>
      <c r="N74" s="33"/>
      <c r="O74" s="33"/>
      <c r="P74" s="33"/>
      <c r="V74" s="2"/>
      <c r="W74" s="2"/>
      <c r="X74" s="2"/>
      <c r="Y74" s="2"/>
      <c r="AE74" s="2"/>
      <c r="AF74" s="19"/>
      <c r="AG74" s="19"/>
      <c r="AH74" s="19"/>
      <c r="AI74" s="19"/>
      <c r="DI74" s="13">
        <f>DI73+1</f>
        <v>5</v>
      </c>
      <c r="DL74" s="27"/>
      <c r="DM74" s="26"/>
      <c r="DN74" s="296"/>
      <c r="DP74" s="391"/>
      <c r="DQ74" s="392"/>
      <c r="DR74" s="70"/>
      <c r="DS74" s="70"/>
      <c r="DT74" s="70"/>
      <c r="DU74" s="70"/>
      <c r="DV74" s="70"/>
      <c r="DW74" s="70"/>
      <c r="DX74" s="391"/>
      <c r="DY74" s="70"/>
      <c r="DZ74" s="70"/>
      <c r="EA74" s="70"/>
      <c r="EB74" s="70"/>
      <c r="EC74" s="70"/>
      <c r="ED74" s="70"/>
      <c r="EE74" s="70"/>
      <c r="EF74" s="70"/>
      <c r="EG74" s="391"/>
      <c r="EH74" s="70"/>
      <c r="EI74" s="70"/>
      <c r="EJ74" s="70"/>
      <c r="EK74" s="70"/>
      <c r="EL74" s="70"/>
      <c r="EM74" s="70"/>
      <c r="EN74" s="70"/>
      <c r="EO74" s="391"/>
      <c r="EP74" s="70"/>
      <c r="EQ74" s="70"/>
      <c r="ER74" s="70"/>
      <c r="ES74" s="70"/>
      <c r="ET74" s="70"/>
      <c r="EU74" s="70"/>
      <c r="EV74" s="70"/>
      <c r="FE74" s="2"/>
    </row>
    <row r="75" spans="1:161" ht="12.75" customHeight="1">
      <c r="A75" s="2"/>
      <c r="G75" s="59"/>
      <c r="H75" s="59"/>
      <c r="I75" s="59"/>
      <c r="J75" s="59"/>
      <c r="K75" s="59"/>
      <c r="M75" s="33"/>
      <c r="N75" s="33"/>
      <c r="O75" s="33"/>
      <c r="P75" s="33"/>
      <c r="V75" s="2"/>
      <c r="W75" s="2"/>
      <c r="X75" s="2"/>
      <c r="Y75" s="2"/>
      <c r="AE75" s="2"/>
      <c r="AF75" s="19"/>
      <c r="AG75" s="19"/>
      <c r="AH75" s="19"/>
      <c r="AI75" s="19"/>
      <c r="DI75" s="13">
        <f t="shared" si="60"/>
        <v>6</v>
      </c>
      <c r="DJ75" s="14" t="s">
        <v>197</v>
      </c>
      <c r="DM75" s="421">
        <f>FA47</f>
        <v>109292915.36334753</v>
      </c>
      <c r="DN75" s="296"/>
      <c r="DP75" s="70"/>
      <c r="DQ75" s="192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FE75" s="2"/>
    </row>
    <row r="76" spans="1:161" ht="12.75" customHeight="1">
      <c r="A76" s="2"/>
      <c r="G76" s="59"/>
      <c r="H76" s="59"/>
      <c r="I76" s="59"/>
      <c r="J76" s="59"/>
      <c r="K76" s="59"/>
      <c r="M76" s="33"/>
      <c r="N76" s="33"/>
      <c r="O76" s="33"/>
      <c r="P76" s="33"/>
      <c r="V76" s="2"/>
      <c r="W76" s="2"/>
      <c r="X76" s="2"/>
      <c r="Y76" s="2"/>
      <c r="AE76" s="2"/>
      <c r="AF76" s="19"/>
      <c r="AG76" s="19"/>
      <c r="AH76" s="19"/>
      <c r="AI76" s="19"/>
      <c r="DI76" s="13">
        <f>DI75+1</f>
        <v>7</v>
      </c>
      <c r="DJ76" s="14" t="s">
        <v>198</v>
      </c>
      <c r="DM76" s="26">
        <f>+DM73-DM75</f>
        <v>16914885.989848703</v>
      </c>
      <c r="DN76" s="296"/>
      <c r="DP76" s="70"/>
      <c r="DQ76" s="192"/>
      <c r="DR76" s="192"/>
      <c r="DS76" s="192"/>
      <c r="DT76" s="192"/>
      <c r="DU76" s="192"/>
      <c r="DV76" s="192"/>
      <c r="DW76" s="70"/>
      <c r="DX76" s="70"/>
      <c r="DY76" s="192"/>
      <c r="DZ76" s="192"/>
      <c r="EA76" s="192"/>
      <c r="EB76" s="192"/>
      <c r="EC76" s="192"/>
      <c r="ED76" s="192"/>
      <c r="EE76" s="192"/>
      <c r="EF76" s="70"/>
      <c r="EG76" s="70"/>
      <c r="EH76" s="192"/>
      <c r="EI76" s="192"/>
      <c r="EJ76" s="192"/>
      <c r="EK76" s="192"/>
      <c r="EL76" s="192"/>
      <c r="EM76" s="192"/>
      <c r="EN76" s="192"/>
      <c r="EO76" s="70"/>
      <c r="EP76" s="192"/>
      <c r="EQ76" s="192"/>
      <c r="ER76" s="192"/>
      <c r="ES76" s="192"/>
      <c r="ET76" s="192"/>
      <c r="EU76" s="192"/>
      <c r="EV76" s="192"/>
      <c r="FD76" s="2"/>
      <c r="FE76" s="2"/>
    </row>
    <row r="77" spans="1:161" ht="13.5">
      <c r="A77" s="2"/>
      <c r="G77" s="179"/>
      <c r="H77" s="179"/>
      <c r="I77" s="179"/>
      <c r="J77" s="179"/>
      <c r="K77" s="179"/>
      <c r="M77" s="33"/>
      <c r="N77" s="33"/>
      <c r="O77" s="33"/>
      <c r="P77" s="33"/>
      <c r="V77" s="2"/>
      <c r="W77" s="2"/>
      <c r="X77" s="2"/>
      <c r="Y77" s="2"/>
      <c r="AE77" s="2"/>
      <c r="AF77" s="19"/>
      <c r="AG77" s="19"/>
      <c r="AH77" s="19"/>
      <c r="AI77" s="19"/>
      <c r="DI77" s="13">
        <f t="shared" si="60"/>
        <v>8</v>
      </c>
      <c r="DM77" s="26"/>
      <c r="DO77" s="2"/>
      <c r="DP77" s="197"/>
      <c r="DQ77" s="2"/>
      <c r="DR77" s="2"/>
      <c r="DS77" s="2"/>
      <c r="DT77" s="2"/>
      <c r="DU77" s="2"/>
      <c r="DV77" s="2"/>
      <c r="DW77" s="2"/>
      <c r="DX77" s="197"/>
      <c r="DY77" s="2"/>
      <c r="DZ77" s="2"/>
      <c r="EA77" s="2"/>
      <c r="EB77" s="2"/>
      <c r="EC77" s="2"/>
      <c r="ED77" s="2"/>
      <c r="EE77" s="25"/>
      <c r="EF77" s="2"/>
      <c r="EG77" s="197"/>
      <c r="EH77" s="25"/>
      <c r="EI77" s="2"/>
      <c r="EJ77" s="25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5"/>
      <c r="EV77" s="25"/>
      <c r="EW77" s="2"/>
      <c r="FD77" s="238"/>
      <c r="FE77" s="2"/>
    </row>
    <row r="78" spans="1:161" ht="12.75" customHeight="1">
      <c r="A78" s="2"/>
      <c r="G78" s="2"/>
      <c r="H78" s="2"/>
      <c r="I78" s="2"/>
      <c r="J78" s="2"/>
      <c r="K78" s="2"/>
      <c r="M78" s="33"/>
      <c r="N78" s="33"/>
      <c r="O78" s="33"/>
      <c r="P78" s="33"/>
      <c r="V78" s="2"/>
      <c r="W78" s="2"/>
      <c r="X78" s="2"/>
      <c r="Y78" s="2"/>
      <c r="AE78" s="2"/>
      <c r="AF78" s="19"/>
      <c r="AG78" s="19"/>
      <c r="AH78" s="19"/>
      <c r="AI78" s="19"/>
      <c r="DI78" s="13">
        <f t="shared" si="60"/>
        <v>9</v>
      </c>
      <c r="DJ78" s="3" t="s">
        <v>23</v>
      </c>
      <c r="DM78" s="414">
        <f>DM23</f>
        <v>0.621891</v>
      </c>
      <c r="DO78" s="2"/>
      <c r="DP78" s="391"/>
      <c r="DQ78" s="392"/>
      <c r="DR78" s="70"/>
      <c r="DS78" s="70"/>
      <c r="DT78" s="70"/>
      <c r="DU78" s="70"/>
      <c r="DV78" s="70"/>
      <c r="DW78" s="70"/>
      <c r="DX78" s="391"/>
      <c r="DY78" s="70"/>
      <c r="DZ78" s="70"/>
      <c r="EA78" s="70"/>
      <c r="EB78" s="70"/>
      <c r="EC78" s="70"/>
      <c r="ED78" s="70"/>
      <c r="EE78" s="70"/>
      <c r="EF78" s="70"/>
      <c r="EG78" s="391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2"/>
      <c r="FD78" s="2"/>
      <c r="FE78" s="2"/>
    </row>
    <row r="79" spans="1:161" ht="12.75" customHeight="1">
      <c r="A79" s="2"/>
      <c r="G79" s="70"/>
      <c r="H79" s="70"/>
      <c r="I79" s="70"/>
      <c r="J79" s="70"/>
      <c r="K79" s="70"/>
      <c r="M79" s="33"/>
      <c r="N79" s="33"/>
      <c r="O79" s="33"/>
      <c r="P79" s="33"/>
      <c r="V79" s="2"/>
      <c r="W79" s="2"/>
      <c r="X79" s="2"/>
      <c r="Y79" s="2"/>
      <c r="AE79" s="2"/>
      <c r="AF79" s="19"/>
      <c r="AG79" s="19"/>
      <c r="AH79" s="19"/>
      <c r="AI79" s="19"/>
      <c r="DI79" s="13">
        <f t="shared" si="60"/>
        <v>10</v>
      </c>
      <c r="DK79" s="144"/>
      <c r="DM79" s="21"/>
      <c r="DO79" s="2"/>
      <c r="DP79" s="537"/>
      <c r="DQ79" s="197"/>
      <c r="DR79" s="197"/>
      <c r="DS79" s="197"/>
      <c r="DT79" s="197"/>
      <c r="DU79" s="197"/>
      <c r="DV79" s="197"/>
      <c r="DW79" s="70"/>
      <c r="DX79" s="537"/>
      <c r="DY79" s="197"/>
      <c r="DZ79" s="197"/>
      <c r="EA79" s="197"/>
      <c r="EB79" s="197"/>
      <c r="EC79" s="197"/>
      <c r="ED79" s="197"/>
      <c r="EE79" s="197"/>
      <c r="EF79" s="70"/>
      <c r="EG79" s="537"/>
      <c r="EH79" s="197"/>
      <c r="EI79" s="197"/>
      <c r="EJ79" s="197"/>
      <c r="EK79" s="197"/>
      <c r="EL79" s="197"/>
      <c r="EM79" s="197"/>
      <c r="EN79" s="70"/>
      <c r="EO79" s="537"/>
      <c r="EP79" s="197"/>
      <c r="EQ79" s="197"/>
      <c r="ER79" s="197"/>
      <c r="ES79" s="197"/>
      <c r="ET79" s="197"/>
      <c r="EU79" s="197"/>
      <c r="EV79" s="197"/>
      <c r="EW79" s="2"/>
      <c r="FD79" s="2"/>
      <c r="FE79" s="2"/>
    </row>
    <row r="80" spans="1:161" ht="12.75" customHeight="1">
      <c r="A80" s="2"/>
      <c r="G80" s="135"/>
      <c r="H80" s="135"/>
      <c r="I80" s="135"/>
      <c r="J80" s="135"/>
      <c r="K80" s="135"/>
      <c r="M80" s="33"/>
      <c r="N80" s="33"/>
      <c r="O80" s="33"/>
      <c r="P80" s="33"/>
      <c r="V80" s="2"/>
      <c r="W80" s="2"/>
      <c r="X80" s="2"/>
      <c r="Y80" s="2"/>
      <c r="AE80" s="2"/>
      <c r="AF80" s="19"/>
      <c r="AG80" s="19"/>
      <c r="AH80" s="19"/>
      <c r="AI80" s="19"/>
      <c r="DI80" s="13">
        <v>11</v>
      </c>
      <c r="DM80" s="66"/>
      <c r="DO80" s="2"/>
      <c r="DP80" s="320"/>
      <c r="DQ80" s="392"/>
      <c r="DR80" s="392"/>
      <c r="DS80" s="392"/>
      <c r="DT80" s="392"/>
      <c r="DU80" s="392"/>
      <c r="DV80" s="392"/>
      <c r="DW80" s="70"/>
      <c r="DX80" s="320"/>
      <c r="DY80" s="392"/>
      <c r="DZ80" s="392"/>
      <c r="EA80" s="392"/>
      <c r="EB80" s="392"/>
      <c r="EC80" s="392"/>
      <c r="ED80" s="392"/>
      <c r="EE80" s="392"/>
      <c r="EF80" s="70"/>
      <c r="EG80" s="320"/>
      <c r="EH80" s="392"/>
      <c r="EI80" s="392"/>
      <c r="EJ80" s="392"/>
      <c r="EK80" s="392"/>
      <c r="EL80" s="392"/>
      <c r="EM80" s="392"/>
      <c r="EN80" s="192"/>
      <c r="EO80" s="320"/>
      <c r="EP80" s="392"/>
      <c r="EQ80" s="392"/>
      <c r="ER80" s="392"/>
      <c r="ES80" s="392"/>
      <c r="ET80" s="392"/>
      <c r="EU80" s="392"/>
      <c r="EV80" s="392"/>
      <c r="EW80" s="2"/>
      <c r="FD80" s="2"/>
      <c r="FE80" s="2"/>
    </row>
    <row r="81" spans="1:161" ht="12.75" customHeight="1">
      <c r="A81" s="2"/>
      <c r="G81" s="136"/>
      <c r="H81" s="136"/>
      <c r="I81" s="136"/>
      <c r="J81" s="136"/>
      <c r="K81" s="136"/>
      <c r="M81" s="33"/>
      <c r="N81" s="33"/>
      <c r="O81" s="33"/>
      <c r="P81" s="33"/>
      <c r="V81" s="2"/>
      <c r="W81" s="2"/>
      <c r="X81" s="2"/>
      <c r="Y81" s="2"/>
      <c r="AE81" s="2"/>
      <c r="AF81" s="19"/>
      <c r="AG81" s="19"/>
      <c r="AH81" s="19"/>
      <c r="AI81" s="19"/>
      <c r="DI81" s="13">
        <v>12</v>
      </c>
      <c r="DJ81" s="87" t="s">
        <v>395</v>
      </c>
      <c r="DK81" s="87"/>
      <c r="DM81" s="26">
        <f>ROUND(+DM76/DM78,0)</f>
        <v>27199117</v>
      </c>
      <c r="DO81" s="2"/>
      <c r="DP81" s="340"/>
      <c r="DQ81" s="192"/>
      <c r="DR81" s="192"/>
      <c r="DS81" s="192"/>
      <c r="DT81" s="192"/>
      <c r="DU81" s="192"/>
      <c r="DV81" s="192"/>
      <c r="DW81" s="2"/>
      <c r="DX81" s="340"/>
      <c r="DY81" s="192"/>
      <c r="DZ81" s="192"/>
      <c r="EA81" s="192"/>
      <c r="EB81" s="192"/>
      <c r="EC81" s="192"/>
      <c r="ED81" s="192"/>
      <c r="EE81" s="192"/>
      <c r="EF81" s="2"/>
      <c r="EG81" s="340"/>
      <c r="EH81" s="192"/>
      <c r="EI81" s="192"/>
      <c r="EJ81" s="192"/>
      <c r="EK81" s="192"/>
      <c r="EL81" s="192"/>
      <c r="EM81" s="192"/>
      <c r="EN81" s="2"/>
      <c r="EO81" s="340"/>
      <c r="EP81" s="192"/>
      <c r="EQ81" s="192"/>
      <c r="ER81" s="192"/>
      <c r="ES81" s="192"/>
      <c r="ET81" s="192"/>
      <c r="EU81" s="392"/>
      <c r="EV81" s="392"/>
      <c r="EW81" s="2"/>
      <c r="FE81" s="2"/>
    </row>
    <row r="82" spans="1:161" ht="12.75" customHeight="1">
      <c r="A82" s="2"/>
      <c r="G82" s="136"/>
      <c r="H82" s="136"/>
      <c r="I82" s="136"/>
      <c r="J82" s="136"/>
      <c r="K82" s="136"/>
      <c r="M82" s="33"/>
      <c r="N82" s="33"/>
      <c r="O82" s="33"/>
      <c r="P82" s="33"/>
      <c r="V82" s="2"/>
      <c r="W82" s="2"/>
      <c r="X82" s="2"/>
      <c r="Y82" s="2"/>
      <c r="AE82" s="2"/>
      <c r="AF82" s="2"/>
      <c r="AG82" s="2"/>
      <c r="AH82" s="2"/>
      <c r="AI82" s="2"/>
      <c r="DI82" s="13">
        <v>13</v>
      </c>
      <c r="DJ82" s="3" t="s">
        <v>2</v>
      </c>
      <c r="DM82" s="26">
        <v>184228</v>
      </c>
      <c r="DN82" s="88"/>
      <c r="DO82" s="2"/>
      <c r="DP82" s="340"/>
      <c r="DQ82" s="192"/>
      <c r="DR82" s="192"/>
      <c r="DS82" s="192"/>
      <c r="DT82" s="192"/>
      <c r="DU82" s="192"/>
      <c r="DV82" s="192"/>
      <c r="DW82" s="70"/>
      <c r="DX82" s="340"/>
      <c r="DY82" s="192"/>
      <c r="DZ82" s="192"/>
      <c r="EA82" s="192"/>
      <c r="EB82" s="192"/>
      <c r="EC82" s="192"/>
      <c r="ED82" s="192"/>
      <c r="EE82" s="192"/>
      <c r="EF82" s="70"/>
      <c r="EG82" s="340"/>
      <c r="EH82" s="192"/>
      <c r="EI82" s="192"/>
      <c r="EJ82" s="192"/>
      <c r="EK82" s="192"/>
      <c r="EL82" s="192"/>
      <c r="EM82" s="192"/>
      <c r="EN82" s="70"/>
      <c r="EO82" s="340"/>
      <c r="EP82" s="192"/>
      <c r="EQ82" s="192"/>
      <c r="ER82" s="192"/>
      <c r="ES82" s="192"/>
      <c r="ET82" s="192"/>
      <c r="EU82" s="192"/>
      <c r="EV82" s="192"/>
      <c r="EW82" s="2"/>
      <c r="FE82" s="2"/>
    </row>
    <row r="83" spans="1:161" ht="12.75" customHeight="1">
      <c r="A83" s="2"/>
      <c r="G83" s="139"/>
      <c r="H83" s="139"/>
      <c r="I83" s="139"/>
      <c r="J83" s="139"/>
      <c r="K83" s="139"/>
      <c r="M83" s="33"/>
      <c r="N83" s="33"/>
      <c r="O83" s="33"/>
      <c r="P83" s="33"/>
      <c r="V83" s="2"/>
      <c r="W83" s="2"/>
      <c r="X83" s="2"/>
      <c r="Y83" s="2"/>
      <c r="AE83" s="2"/>
      <c r="AF83" s="2"/>
      <c r="AG83" s="2"/>
      <c r="AH83" s="2"/>
      <c r="AI83" s="2"/>
      <c r="DI83" s="13">
        <v>14</v>
      </c>
      <c r="DN83" s="185"/>
      <c r="DO83" s="389"/>
      <c r="DP83" s="537"/>
      <c r="DQ83" s="197"/>
      <c r="DR83" s="197"/>
      <c r="DS83" s="197"/>
      <c r="DT83" s="197"/>
      <c r="DU83" s="197"/>
      <c r="DV83" s="197"/>
      <c r="DW83" s="70"/>
      <c r="DX83" s="537"/>
      <c r="DY83" s="197"/>
      <c r="DZ83" s="197"/>
      <c r="EA83" s="197"/>
      <c r="EB83" s="197"/>
      <c r="EC83" s="197"/>
      <c r="ED83" s="197"/>
      <c r="EE83" s="197"/>
      <c r="EF83" s="70"/>
      <c r="EG83" s="537"/>
      <c r="EH83" s="197"/>
      <c r="EI83" s="197"/>
      <c r="EJ83" s="197"/>
      <c r="EK83" s="197"/>
      <c r="EL83" s="197"/>
      <c r="EM83" s="197"/>
      <c r="EN83" s="70"/>
      <c r="EO83" s="537"/>
      <c r="EP83" s="197"/>
      <c r="EQ83" s="197"/>
      <c r="ER83" s="197"/>
      <c r="ES83" s="197"/>
      <c r="ET83" s="197"/>
      <c r="EU83" s="197"/>
      <c r="EV83" s="197"/>
      <c r="EW83" s="2"/>
      <c r="FE83" s="238"/>
    </row>
    <row r="84" spans="1:161" ht="12.75" customHeight="1" thickBot="1">
      <c r="A84" s="2"/>
      <c r="G84" s="23"/>
      <c r="H84" s="23"/>
      <c r="I84" s="23"/>
      <c r="J84" s="23"/>
      <c r="K84" s="23"/>
      <c r="M84" s="33"/>
      <c r="N84" s="33"/>
      <c r="O84" s="33"/>
      <c r="P84" s="33"/>
      <c r="V84" s="2"/>
      <c r="W84" s="2"/>
      <c r="X84" s="2"/>
      <c r="Y84" s="2"/>
      <c r="AE84" s="2"/>
      <c r="AF84" s="2"/>
      <c r="AG84" s="2"/>
      <c r="AH84" s="2"/>
      <c r="AI84" s="2"/>
      <c r="DI84" s="13">
        <v>15</v>
      </c>
      <c r="DJ84" s="87" t="s">
        <v>395</v>
      </c>
      <c r="DK84" s="88"/>
      <c r="DL84" s="88"/>
      <c r="DM84" s="529">
        <f>DM81-DM82</f>
        <v>27014889</v>
      </c>
      <c r="DO84" s="390"/>
      <c r="DP84" s="320"/>
      <c r="DQ84" s="392"/>
      <c r="DR84" s="392"/>
      <c r="DS84" s="392"/>
      <c r="DT84" s="392"/>
      <c r="DU84" s="392"/>
      <c r="DV84" s="392"/>
      <c r="DW84" s="70"/>
      <c r="DX84" s="320"/>
      <c r="DY84" s="392"/>
      <c r="DZ84" s="392"/>
      <c r="EA84" s="392"/>
      <c r="EB84" s="392"/>
      <c r="EC84" s="392"/>
      <c r="ED84" s="392"/>
      <c r="EE84" s="392"/>
      <c r="EF84" s="70"/>
      <c r="EG84" s="320"/>
      <c r="EH84" s="392"/>
      <c r="EI84" s="392"/>
      <c r="EJ84" s="392"/>
      <c r="EK84" s="392"/>
      <c r="EL84" s="392"/>
      <c r="EM84" s="392"/>
      <c r="EN84" s="192"/>
      <c r="EO84" s="320"/>
      <c r="EP84" s="392"/>
      <c r="EQ84" s="392"/>
      <c r="ER84" s="392"/>
      <c r="ES84" s="392"/>
      <c r="ET84" s="392"/>
      <c r="EU84" s="392"/>
      <c r="EV84" s="392"/>
      <c r="EW84" s="2"/>
      <c r="FE84" s="2"/>
    </row>
    <row r="85" spans="1:161" ht="12.75" customHeight="1" thickTop="1">
      <c r="A85" s="2"/>
      <c r="G85" s="23"/>
      <c r="H85" s="23"/>
      <c r="I85" s="23"/>
      <c r="J85" s="23"/>
      <c r="K85" s="23"/>
      <c r="M85" s="2"/>
      <c r="N85" s="2"/>
      <c r="O85" s="2"/>
      <c r="P85" s="2"/>
      <c r="V85" s="146"/>
      <c r="W85" s="2"/>
      <c r="X85" s="2"/>
      <c r="Y85" s="2"/>
      <c r="AE85" s="2"/>
      <c r="AF85" s="2"/>
      <c r="AG85" s="2"/>
      <c r="AH85" s="2"/>
      <c r="AI85" s="2"/>
      <c r="DI85" s="101"/>
      <c r="DJ85" s="69"/>
      <c r="DK85" s="185"/>
      <c r="DL85" s="185"/>
      <c r="DM85" s="185"/>
      <c r="DO85" s="2"/>
      <c r="DP85" s="340"/>
      <c r="DQ85" s="192"/>
      <c r="DR85" s="192"/>
      <c r="DS85" s="192"/>
      <c r="DT85" s="192"/>
      <c r="DU85" s="192"/>
      <c r="DV85" s="192"/>
      <c r="DW85" s="2"/>
      <c r="DX85" s="340"/>
      <c r="DY85" s="192"/>
      <c r="DZ85" s="192"/>
      <c r="EA85" s="192"/>
      <c r="EB85" s="192"/>
      <c r="EC85" s="192"/>
      <c r="ED85" s="192"/>
      <c r="EE85" s="192"/>
      <c r="EF85" s="2"/>
      <c r="EG85" s="340"/>
      <c r="EH85" s="192"/>
      <c r="EI85" s="192"/>
      <c r="EJ85" s="192"/>
      <c r="EK85" s="192"/>
      <c r="EL85" s="192"/>
      <c r="EM85" s="192"/>
      <c r="EN85" s="2"/>
      <c r="EO85" s="340"/>
      <c r="EP85" s="192"/>
      <c r="EQ85" s="192"/>
      <c r="ER85" s="192"/>
      <c r="ES85" s="192"/>
      <c r="ET85" s="192"/>
      <c r="EU85" s="192"/>
      <c r="EV85" s="192"/>
      <c r="EW85" s="2"/>
      <c r="FE85" s="2"/>
    </row>
    <row r="86" spans="1:161" ht="12.75" customHeight="1">
      <c r="A86" s="2"/>
      <c r="G86" s="23"/>
      <c r="H86" s="23"/>
      <c r="I86" s="23"/>
      <c r="J86" s="23"/>
      <c r="K86" s="23"/>
      <c r="M86" s="2"/>
      <c r="N86" s="2"/>
      <c r="O86" s="2"/>
      <c r="P86" s="2"/>
      <c r="V86" s="146"/>
      <c r="W86" s="2"/>
      <c r="X86" s="2"/>
      <c r="Y86" s="2"/>
      <c r="AE86" s="2"/>
      <c r="AF86" s="2"/>
      <c r="AG86" s="2"/>
      <c r="AH86" s="2"/>
      <c r="AI86" s="2"/>
      <c r="DJ86" s="7"/>
      <c r="DO86" s="2"/>
      <c r="DP86" s="340"/>
      <c r="DQ86" s="192"/>
      <c r="DR86" s="192"/>
      <c r="DS86" s="192"/>
      <c r="DT86" s="192"/>
      <c r="DU86" s="192"/>
      <c r="DV86" s="192"/>
      <c r="DW86" s="2"/>
      <c r="DX86" s="340"/>
      <c r="DY86" s="192"/>
      <c r="DZ86" s="192"/>
      <c r="EA86" s="192"/>
      <c r="EB86" s="192"/>
      <c r="EC86" s="192"/>
      <c r="ED86" s="192"/>
      <c r="EE86" s="192"/>
      <c r="EF86" s="2"/>
      <c r="EG86" s="340"/>
      <c r="EH86" s="192"/>
      <c r="EI86" s="192"/>
      <c r="EJ86" s="192"/>
      <c r="EK86" s="192"/>
      <c r="EL86" s="192"/>
      <c r="EM86" s="192"/>
      <c r="EN86" s="70"/>
      <c r="EO86" s="340"/>
      <c r="EP86" s="192"/>
      <c r="EQ86" s="192"/>
      <c r="ER86" s="192"/>
      <c r="ES86" s="192"/>
      <c r="ET86" s="192"/>
      <c r="EU86" s="192"/>
      <c r="EV86" s="192"/>
      <c r="EW86" s="2"/>
      <c r="FE86" s="2"/>
    </row>
    <row r="87" spans="1:161" ht="12.75" customHeight="1">
      <c r="A87" s="2"/>
      <c r="G87" s="33"/>
      <c r="H87" s="33"/>
      <c r="I87" s="33"/>
      <c r="J87" s="33"/>
      <c r="K87" s="33"/>
      <c r="M87" s="2"/>
      <c r="N87" s="2"/>
      <c r="O87" s="2"/>
      <c r="P87" s="2"/>
      <c r="V87" s="146"/>
      <c r="W87" s="2"/>
      <c r="X87" s="2"/>
      <c r="Y87" s="2"/>
      <c r="AE87" s="2"/>
      <c r="AF87" s="2"/>
      <c r="AG87" s="2"/>
      <c r="AH87" s="2"/>
      <c r="AI87" s="2"/>
      <c r="DJ87" s="7"/>
      <c r="DO87" s="2"/>
      <c r="DP87" s="537"/>
      <c r="DQ87" s="197"/>
      <c r="DR87" s="197"/>
      <c r="DS87" s="197"/>
      <c r="DT87" s="197"/>
      <c r="DU87" s="197"/>
      <c r="DV87" s="197"/>
      <c r="DW87" s="2"/>
      <c r="DX87" s="537"/>
      <c r="DY87" s="197"/>
      <c r="DZ87" s="197"/>
      <c r="EA87" s="197"/>
      <c r="EB87" s="197"/>
      <c r="EC87" s="197"/>
      <c r="ED87" s="197"/>
      <c r="EE87" s="197"/>
      <c r="EF87" s="2"/>
      <c r="EG87" s="537"/>
      <c r="EH87" s="197"/>
      <c r="EI87" s="197"/>
      <c r="EJ87" s="197"/>
      <c r="EK87" s="197"/>
      <c r="EL87" s="197"/>
      <c r="EM87" s="197"/>
      <c r="EN87" s="70"/>
      <c r="EO87" s="537"/>
      <c r="EP87" s="197"/>
      <c r="EQ87" s="197"/>
      <c r="ER87" s="197"/>
      <c r="ES87" s="197"/>
      <c r="ET87" s="197"/>
      <c r="EU87" s="197"/>
      <c r="EV87" s="197"/>
      <c r="EW87" s="2"/>
      <c r="FE87" s="2"/>
    </row>
    <row r="88" spans="1:161" ht="12.75" customHeight="1">
      <c r="A88" s="2"/>
      <c r="G88" s="33"/>
      <c r="H88" s="33"/>
      <c r="I88" s="33"/>
      <c r="J88" s="33"/>
      <c r="K88" s="33"/>
      <c r="M88" s="2"/>
      <c r="N88" s="2"/>
      <c r="O88" s="2"/>
      <c r="P88" s="2"/>
      <c r="V88" s="2"/>
      <c r="W88" s="2"/>
      <c r="X88" s="2"/>
      <c r="Y88" s="2"/>
      <c r="AE88" s="2"/>
      <c r="AF88" s="2"/>
      <c r="AG88" s="2"/>
      <c r="AH88" s="2"/>
      <c r="AI88" s="2"/>
      <c r="DJ88" s="7"/>
      <c r="DO88" s="2"/>
      <c r="DP88" s="320"/>
      <c r="DQ88" s="192"/>
      <c r="DR88" s="192"/>
      <c r="DS88" s="192"/>
      <c r="DT88" s="192"/>
      <c r="DU88" s="192"/>
      <c r="DV88" s="192"/>
      <c r="DW88" s="2"/>
      <c r="DX88" s="320"/>
      <c r="DY88" s="192"/>
      <c r="DZ88" s="192"/>
      <c r="EA88" s="192"/>
      <c r="EB88" s="192"/>
      <c r="EC88" s="192"/>
      <c r="ED88" s="192"/>
      <c r="EE88" s="192"/>
      <c r="EF88" s="2"/>
      <c r="EG88" s="320"/>
      <c r="EH88" s="192"/>
      <c r="EI88" s="192"/>
      <c r="EJ88" s="192"/>
      <c r="EK88" s="192"/>
      <c r="EL88" s="192"/>
      <c r="EM88" s="192"/>
      <c r="EN88" s="70"/>
      <c r="EO88" s="320"/>
      <c r="EP88" s="192"/>
      <c r="EQ88" s="192"/>
      <c r="ER88" s="192"/>
      <c r="ES88" s="192"/>
      <c r="ET88" s="192"/>
      <c r="EU88" s="192"/>
      <c r="EV88" s="192"/>
      <c r="EW88" s="2"/>
      <c r="FE88" s="2"/>
    </row>
    <row r="89" spans="1:161" ht="12.75" customHeight="1">
      <c r="A89" s="2"/>
      <c r="G89" s="33"/>
      <c r="H89" s="33"/>
      <c r="I89" s="33"/>
      <c r="J89" s="33"/>
      <c r="K89" s="33"/>
      <c r="M89" s="2"/>
      <c r="N89" s="2"/>
      <c r="O89" s="2"/>
      <c r="P89" s="2"/>
      <c r="V89" s="2"/>
      <c r="W89" s="2"/>
      <c r="X89" s="2"/>
      <c r="Y89" s="2"/>
      <c r="AE89" s="2"/>
      <c r="AF89" s="2"/>
      <c r="AG89" s="2"/>
      <c r="AH89" s="2"/>
      <c r="AI89" s="2"/>
      <c r="DJ89" s="7"/>
      <c r="DP89" s="340"/>
      <c r="DQ89" s="192"/>
      <c r="DR89" s="192"/>
      <c r="DS89" s="192"/>
      <c r="DT89" s="192"/>
      <c r="DU89" s="192"/>
      <c r="DV89" s="192"/>
      <c r="DW89" s="2"/>
      <c r="DX89" s="340"/>
      <c r="DY89" s="192"/>
      <c r="DZ89" s="192"/>
      <c r="EA89" s="192"/>
      <c r="EB89" s="192"/>
      <c r="EC89" s="192"/>
      <c r="ED89" s="192"/>
      <c r="EE89" s="192"/>
      <c r="EF89" s="2"/>
      <c r="EG89" s="340"/>
      <c r="EH89" s="192"/>
      <c r="EI89" s="192"/>
      <c r="EJ89" s="192"/>
      <c r="EK89" s="192"/>
      <c r="EL89" s="192"/>
      <c r="EM89" s="192"/>
      <c r="EN89" s="2"/>
      <c r="EO89" s="340"/>
      <c r="EP89" s="192"/>
      <c r="EQ89" s="192"/>
      <c r="ER89" s="192"/>
      <c r="ES89" s="192"/>
      <c r="ET89" s="192"/>
      <c r="EU89" s="192"/>
      <c r="EV89" s="192"/>
      <c r="FE89" s="2"/>
    </row>
    <row r="90" spans="1:161" ht="12.75" customHeight="1">
      <c r="A90" s="2"/>
      <c r="G90" s="33"/>
      <c r="H90" s="33"/>
      <c r="I90" s="33"/>
      <c r="J90" s="33"/>
      <c r="K90" s="33"/>
      <c r="M90" s="2"/>
      <c r="N90" s="2"/>
      <c r="O90" s="2"/>
      <c r="P90" s="2"/>
      <c r="V90" s="2"/>
      <c r="W90" s="2"/>
      <c r="X90" s="2"/>
      <c r="Y90" s="2"/>
      <c r="AE90" s="2"/>
      <c r="AF90" s="2"/>
      <c r="AG90" s="2"/>
      <c r="AH90" s="2"/>
      <c r="AI90" s="2"/>
      <c r="DJ90" s="7"/>
      <c r="DP90" s="340"/>
      <c r="DQ90" s="192"/>
      <c r="DR90" s="192"/>
      <c r="DS90" s="192"/>
      <c r="DT90" s="192"/>
      <c r="DU90" s="192"/>
      <c r="DV90" s="192"/>
      <c r="DW90" s="2"/>
      <c r="DX90" s="340"/>
      <c r="DY90" s="192"/>
      <c r="DZ90" s="192"/>
      <c r="EA90" s="192"/>
      <c r="EB90" s="192"/>
      <c r="EC90" s="192"/>
      <c r="ED90" s="192"/>
      <c r="EE90" s="192"/>
      <c r="EF90" s="2"/>
      <c r="EG90" s="340"/>
      <c r="EH90" s="192"/>
      <c r="EI90" s="192"/>
      <c r="EJ90" s="192"/>
      <c r="EK90" s="192"/>
      <c r="EL90" s="192"/>
      <c r="EM90" s="192"/>
      <c r="EN90" s="2"/>
      <c r="EO90" s="340"/>
      <c r="EP90" s="192"/>
      <c r="EQ90" s="192"/>
      <c r="ER90" s="192"/>
      <c r="ES90" s="192"/>
      <c r="ET90" s="192"/>
      <c r="EU90" s="192"/>
      <c r="EV90" s="192"/>
      <c r="FE90" s="2"/>
    </row>
    <row r="91" spans="1:161" ht="12.75" customHeight="1">
      <c r="A91" s="2"/>
      <c r="G91" s="33"/>
      <c r="H91" s="33"/>
      <c r="I91" s="33"/>
      <c r="J91" s="33"/>
      <c r="K91" s="33"/>
      <c r="M91" s="2"/>
      <c r="N91" s="2"/>
      <c r="O91" s="2"/>
      <c r="P91" s="2"/>
      <c r="V91" s="2"/>
      <c r="W91" s="2"/>
      <c r="X91" s="2"/>
      <c r="Y91" s="2"/>
      <c r="AE91" s="2"/>
      <c r="AF91" s="2"/>
      <c r="AG91" s="2"/>
      <c r="AH91" s="2"/>
      <c r="AI91" s="2"/>
      <c r="DJ91" s="7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FE91" s="2"/>
    </row>
    <row r="92" spans="1:161" ht="12.75" customHeight="1">
      <c r="A92" s="2"/>
      <c r="G92" s="33"/>
      <c r="H92" s="33"/>
      <c r="I92" s="33"/>
      <c r="J92" s="33"/>
      <c r="K92" s="33"/>
      <c r="M92" s="2"/>
      <c r="N92" s="2"/>
      <c r="O92" s="2"/>
      <c r="P92" s="2"/>
      <c r="V92" s="2"/>
      <c r="W92" s="2"/>
      <c r="X92" s="2"/>
      <c r="Y92" s="2"/>
      <c r="AE92" s="2"/>
      <c r="AF92" s="2"/>
      <c r="AG92" s="2"/>
      <c r="AH92" s="2"/>
      <c r="AI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340"/>
      <c r="EQ92" s="320"/>
      <c r="ER92" s="2"/>
      <c r="ES92" s="2"/>
      <c r="ET92" s="2"/>
      <c r="EU92" s="2"/>
      <c r="EV92" s="2"/>
      <c r="FE92" s="2"/>
    </row>
    <row r="93" spans="1:152" ht="12.75" customHeight="1">
      <c r="A93" s="2"/>
      <c r="G93" s="33"/>
      <c r="H93" s="33"/>
      <c r="I93" s="33"/>
      <c r="J93" s="33"/>
      <c r="K93" s="33"/>
      <c r="M93" s="2"/>
      <c r="N93" s="2"/>
      <c r="O93" s="2"/>
      <c r="P93" s="2"/>
      <c r="V93" s="2"/>
      <c r="W93" s="2"/>
      <c r="X93" s="2"/>
      <c r="Y93" s="2"/>
      <c r="AE93" s="2"/>
      <c r="AF93" s="2"/>
      <c r="AG93" s="2"/>
      <c r="AH93" s="2"/>
      <c r="AI93" s="2"/>
      <c r="DP93" s="340"/>
      <c r="DQ93" s="41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538"/>
      <c r="EQ93" s="538"/>
      <c r="ER93" s="2"/>
      <c r="ES93" s="2"/>
      <c r="ET93" s="2"/>
      <c r="EU93" s="2"/>
      <c r="EV93" s="2"/>
    </row>
    <row r="94" spans="7:152" ht="12.75" customHeight="1">
      <c r="G94" s="33"/>
      <c r="H94" s="33"/>
      <c r="I94" s="33"/>
      <c r="J94" s="33"/>
      <c r="K94" s="33"/>
      <c r="M94" s="2"/>
      <c r="N94" s="2"/>
      <c r="O94" s="2"/>
      <c r="P94" s="2"/>
      <c r="V94" s="2"/>
      <c r="W94" s="2"/>
      <c r="X94" s="2"/>
      <c r="Y94" s="2"/>
      <c r="AE94" s="2"/>
      <c r="AF94" s="2"/>
      <c r="AG94" s="2"/>
      <c r="AH94" s="2"/>
      <c r="AI94" s="2"/>
      <c r="DP94" s="340"/>
      <c r="DQ94" s="539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537"/>
      <c r="EP94" s="197"/>
      <c r="EQ94" s="197"/>
      <c r="ER94" s="2"/>
      <c r="ES94" s="2"/>
      <c r="ET94" s="2"/>
      <c r="EU94" s="2"/>
      <c r="EV94" s="2"/>
    </row>
    <row r="95" spans="7:152" ht="12.75" customHeight="1">
      <c r="G95" s="33"/>
      <c r="H95" s="33"/>
      <c r="I95" s="33"/>
      <c r="J95" s="33"/>
      <c r="K95" s="33"/>
      <c r="M95" s="2"/>
      <c r="N95" s="2"/>
      <c r="O95" s="2"/>
      <c r="P95" s="2"/>
      <c r="V95" s="2"/>
      <c r="W95" s="2"/>
      <c r="X95" s="2"/>
      <c r="Y95" s="2"/>
      <c r="AE95" s="2"/>
      <c r="AF95" s="2"/>
      <c r="AG95" s="2"/>
      <c r="AH95" s="2"/>
      <c r="AI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320"/>
      <c r="EP95" s="392"/>
      <c r="EQ95" s="392"/>
      <c r="ER95" s="2"/>
      <c r="ES95" s="2"/>
      <c r="ET95" s="2"/>
      <c r="EU95" s="2"/>
      <c r="EV95" s="2"/>
    </row>
    <row r="96" spans="7:152" ht="12.75" customHeight="1">
      <c r="G96" s="33"/>
      <c r="H96" s="33"/>
      <c r="I96" s="33"/>
      <c r="J96" s="33"/>
      <c r="K96" s="33"/>
      <c r="M96" s="2"/>
      <c r="N96" s="2"/>
      <c r="O96" s="2"/>
      <c r="P96" s="2"/>
      <c r="V96" s="2"/>
      <c r="W96" s="2"/>
      <c r="X96" s="2"/>
      <c r="Y96" s="2"/>
      <c r="AE96" s="2"/>
      <c r="AF96" s="2"/>
      <c r="AG96" s="2"/>
      <c r="AH96" s="2"/>
      <c r="AI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340"/>
      <c r="EP96" s="192"/>
      <c r="EQ96" s="192"/>
      <c r="ER96" s="2"/>
      <c r="ES96" s="2"/>
      <c r="ET96" s="2"/>
      <c r="EU96" s="2"/>
      <c r="EV96" s="2"/>
    </row>
    <row r="97" spans="7:152" ht="12.75" customHeight="1">
      <c r="G97" s="33"/>
      <c r="H97" s="33"/>
      <c r="I97" s="33"/>
      <c r="J97" s="33"/>
      <c r="K97" s="33"/>
      <c r="M97" s="2"/>
      <c r="N97" s="2"/>
      <c r="O97" s="2"/>
      <c r="P97" s="2"/>
      <c r="V97" s="2"/>
      <c r="W97" s="2"/>
      <c r="X97" s="2"/>
      <c r="Y97" s="2"/>
      <c r="AE97" s="2"/>
      <c r="AF97" s="2"/>
      <c r="AG97" s="2"/>
      <c r="AH97" s="2"/>
      <c r="AI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340"/>
      <c r="EP97" s="192"/>
      <c r="EQ97" s="192"/>
      <c r="ER97" s="2"/>
      <c r="ES97" s="2"/>
      <c r="ET97" s="2"/>
      <c r="EU97" s="2"/>
      <c r="EV97" s="2"/>
    </row>
    <row r="98" spans="7:152" ht="12.75" customHeight="1">
      <c r="G98" s="33"/>
      <c r="H98" s="33"/>
      <c r="I98" s="33"/>
      <c r="J98" s="33"/>
      <c r="K98" s="33"/>
      <c r="M98" s="2"/>
      <c r="N98" s="2"/>
      <c r="O98" s="2"/>
      <c r="P98" s="2"/>
      <c r="V98" s="2"/>
      <c r="W98" s="2"/>
      <c r="X98" s="2"/>
      <c r="Y98" s="2"/>
      <c r="AE98" s="2"/>
      <c r="AF98" s="2"/>
      <c r="AG98" s="2"/>
      <c r="AH98" s="2"/>
      <c r="AI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537"/>
      <c r="EP98" s="197"/>
      <c r="EQ98" s="197"/>
      <c r="ER98" s="2"/>
      <c r="ES98" s="2"/>
      <c r="ET98" s="2"/>
      <c r="EU98" s="2"/>
      <c r="EV98" s="2"/>
    </row>
    <row r="99" spans="7:152" ht="12.75" customHeight="1">
      <c r="G99" s="2"/>
      <c r="H99" s="2"/>
      <c r="I99" s="2"/>
      <c r="J99" s="2"/>
      <c r="K99" s="2"/>
      <c r="M99" s="2"/>
      <c r="N99" s="2"/>
      <c r="O99" s="2"/>
      <c r="P99" s="2"/>
      <c r="V99" s="2"/>
      <c r="W99" s="2"/>
      <c r="X99" s="2"/>
      <c r="Y99" s="2"/>
      <c r="AE99" s="2"/>
      <c r="AF99" s="2"/>
      <c r="AG99" s="2"/>
      <c r="AH99" s="2"/>
      <c r="AI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320"/>
      <c r="EP99" s="192"/>
      <c r="EQ99" s="192"/>
      <c r="ER99" s="2"/>
      <c r="ES99" s="2"/>
      <c r="ET99" s="2"/>
      <c r="EU99" s="2"/>
      <c r="EV99" s="2"/>
    </row>
    <row r="100" spans="7:152" ht="12.75" customHeight="1">
      <c r="G100" s="2"/>
      <c r="H100" s="2"/>
      <c r="I100" s="2"/>
      <c r="J100" s="2"/>
      <c r="K100" s="2"/>
      <c r="M100" s="2"/>
      <c r="N100" s="2"/>
      <c r="O100" s="2"/>
      <c r="P100" s="2"/>
      <c r="V100" s="2"/>
      <c r="W100" s="2"/>
      <c r="X100" s="2"/>
      <c r="Y100" s="2"/>
      <c r="AE100" s="2"/>
      <c r="AF100" s="2"/>
      <c r="AG100" s="2"/>
      <c r="AH100" s="2"/>
      <c r="AI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340"/>
      <c r="EP100" s="192"/>
      <c r="EQ100" s="192"/>
      <c r="ER100" s="2"/>
      <c r="ES100" s="2"/>
      <c r="ET100" s="2"/>
      <c r="EU100" s="2"/>
      <c r="EV100" s="2"/>
    </row>
    <row r="101" spans="7:152" ht="12.75" customHeight="1">
      <c r="G101" s="2"/>
      <c r="H101" s="2"/>
      <c r="I101" s="2"/>
      <c r="J101" s="2"/>
      <c r="K101" s="2"/>
      <c r="M101" s="2"/>
      <c r="N101" s="2"/>
      <c r="O101" s="2"/>
      <c r="P101" s="2"/>
      <c r="V101" s="2"/>
      <c r="W101" s="2"/>
      <c r="X101" s="2"/>
      <c r="Y101" s="2"/>
      <c r="AE101" s="2"/>
      <c r="AF101" s="2"/>
      <c r="AG101" s="2"/>
      <c r="AH101" s="2"/>
      <c r="AI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340"/>
      <c r="EP101" s="192"/>
      <c r="EQ101" s="192"/>
      <c r="ER101" s="2"/>
      <c r="ES101" s="2"/>
      <c r="ET101" s="2"/>
      <c r="EU101" s="2"/>
      <c r="EV101" s="2"/>
    </row>
    <row r="102" spans="7:35" ht="12.75" customHeight="1">
      <c r="G102" s="2"/>
      <c r="H102" s="2"/>
      <c r="I102" s="2"/>
      <c r="J102" s="2"/>
      <c r="K102" s="2"/>
      <c r="M102" s="2"/>
      <c r="N102" s="2"/>
      <c r="O102" s="2"/>
      <c r="P102" s="2"/>
      <c r="V102" s="2"/>
      <c r="W102" s="2"/>
      <c r="X102" s="2"/>
      <c r="Y102" s="2"/>
      <c r="AE102" s="2"/>
      <c r="AF102" s="2"/>
      <c r="AG102" s="2"/>
      <c r="AH102" s="2"/>
      <c r="AI102" s="2"/>
    </row>
    <row r="103" spans="7:35" ht="12.75" customHeight="1">
      <c r="G103" s="2"/>
      <c r="H103" s="2"/>
      <c r="I103" s="2"/>
      <c r="J103" s="2"/>
      <c r="K103" s="2"/>
      <c r="M103" s="2"/>
      <c r="N103" s="2"/>
      <c r="O103" s="2"/>
      <c r="P103" s="2"/>
      <c r="V103" s="2"/>
      <c r="W103" s="2"/>
      <c r="X103" s="2"/>
      <c r="Y103" s="2"/>
      <c r="AE103" s="2"/>
      <c r="AF103" s="2"/>
      <c r="AG103" s="2"/>
      <c r="AH103" s="2"/>
      <c r="AI103" s="2"/>
    </row>
    <row r="104" spans="7:35" ht="12.75" customHeight="1">
      <c r="G104" s="2"/>
      <c r="H104" s="2"/>
      <c r="I104" s="2"/>
      <c r="J104" s="2"/>
      <c r="K104" s="2"/>
      <c r="M104" s="2"/>
      <c r="N104" s="2"/>
      <c r="O104" s="2"/>
      <c r="P104" s="2"/>
      <c r="V104" s="2"/>
      <c r="W104" s="2"/>
      <c r="X104" s="2"/>
      <c r="Y104" s="2"/>
      <c r="AE104" s="2"/>
      <c r="AF104" s="2"/>
      <c r="AG104" s="2"/>
      <c r="AH104" s="2"/>
      <c r="AI104" s="2"/>
    </row>
    <row r="105" spans="7:35" ht="12.75" customHeight="1">
      <c r="G105" s="2"/>
      <c r="H105" s="2"/>
      <c r="I105" s="2"/>
      <c r="J105" s="2"/>
      <c r="K105" s="2"/>
      <c r="M105" s="2"/>
      <c r="N105" s="2"/>
      <c r="O105" s="2"/>
      <c r="P105" s="2"/>
      <c r="V105" s="2"/>
      <c r="W105" s="2"/>
      <c r="X105" s="2"/>
      <c r="Y105" s="2"/>
      <c r="AE105" s="2"/>
      <c r="AF105" s="2"/>
      <c r="AG105" s="2"/>
      <c r="AH105" s="2"/>
      <c r="AI105" s="2"/>
    </row>
    <row r="106" spans="7:35" ht="12.75" customHeight="1">
      <c r="G106" s="2"/>
      <c r="H106" s="2"/>
      <c r="I106" s="2"/>
      <c r="J106" s="2"/>
      <c r="K106" s="2"/>
      <c r="M106" s="2"/>
      <c r="N106" s="2"/>
      <c r="O106" s="2"/>
      <c r="P106" s="2"/>
      <c r="V106" s="2"/>
      <c r="W106" s="2"/>
      <c r="X106" s="2"/>
      <c r="Y106" s="2"/>
      <c r="AE106" s="2"/>
      <c r="AF106" s="2"/>
      <c r="AG106" s="2"/>
      <c r="AH106" s="2"/>
      <c r="AI106" s="2"/>
    </row>
    <row r="107" spans="7:35" ht="12.75" customHeight="1">
      <c r="G107" s="2"/>
      <c r="H107" s="2"/>
      <c r="I107" s="2"/>
      <c r="J107" s="2"/>
      <c r="K107" s="2"/>
      <c r="M107" s="2"/>
      <c r="N107" s="2"/>
      <c r="O107" s="2"/>
      <c r="P107" s="2"/>
      <c r="V107" s="2"/>
      <c r="W107" s="2"/>
      <c r="X107" s="2"/>
      <c r="Y107" s="2"/>
      <c r="AE107" s="2"/>
      <c r="AF107" s="2"/>
      <c r="AG107" s="2"/>
      <c r="AH107" s="2"/>
      <c r="AI107" s="2"/>
    </row>
    <row r="108" spans="7:35" ht="12.75" customHeight="1">
      <c r="G108" s="2"/>
      <c r="H108" s="2"/>
      <c r="I108" s="2"/>
      <c r="J108" s="2"/>
      <c r="K108" s="2"/>
      <c r="M108" s="2"/>
      <c r="N108" s="2"/>
      <c r="O108" s="2"/>
      <c r="P108" s="2"/>
      <c r="V108" s="2"/>
      <c r="W108" s="2"/>
      <c r="X108" s="2"/>
      <c r="Y108" s="2"/>
      <c r="AE108" s="2"/>
      <c r="AF108" s="2"/>
      <c r="AG108" s="2"/>
      <c r="AH108" s="2"/>
      <c r="AI108" s="2"/>
    </row>
    <row r="109" spans="7:35" ht="12.75" customHeight="1">
      <c r="G109" s="2"/>
      <c r="H109" s="2"/>
      <c r="I109" s="2"/>
      <c r="J109" s="2"/>
      <c r="K109" s="2"/>
      <c r="M109" s="2"/>
      <c r="N109" s="2"/>
      <c r="O109" s="2"/>
      <c r="P109" s="2"/>
      <c r="V109" s="2"/>
      <c r="W109" s="2"/>
      <c r="X109" s="2"/>
      <c r="Y109" s="2"/>
      <c r="AE109" s="2"/>
      <c r="AF109" s="2"/>
      <c r="AG109" s="2"/>
      <c r="AH109" s="2"/>
      <c r="AI109" s="2"/>
    </row>
    <row r="110" spans="2:35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V110" s="2"/>
      <c r="W110" s="2"/>
      <c r="X110" s="2"/>
      <c r="Y110" s="2"/>
      <c r="AE110" s="2"/>
      <c r="AF110" s="2"/>
      <c r="AG110" s="2"/>
      <c r="AH110" s="2"/>
      <c r="AI110" s="2"/>
    </row>
    <row r="111" spans="2:35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V111" s="2"/>
      <c r="W111" s="2"/>
      <c r="X111" s="2"/>
      <c r="Y111" s="2"/>
      <c r="AE111" s="2"/>
      <c r="AF111" s="2"/>
      <c r="AG111" s="2"/>
      <c r="AH111" s="2"/>
      <c r="AI111" s="2"/>
    </row>
    <row r="112" spans="2:159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V112" s="2"/>
      <c r="W112" s="2"/>
      <c r="X112" s="2"/>
      <c r="Y112" s="2"/>
      <c r="AE112" s="2"/>
      <c r="AF112" s="2"/>
      <c r="AG112" s="2"/>
      <c r="AH112" s="2"/>
      <c r="AI112" s="2"/>
      <c r="DQ112" s="9">
        <f>DQ47</f>
        <v>111350200.68471289</v>
      </c>
      <c r="DR112" s="9">
        <f aca="true" t="shared" si="61" ref="DR112:FC112">DR47</f>
        <v>-8781320.886128336</v>
      </c>
      <c r="DS112" s="9">
        <f t="shared" si="61"/>
        <v>22535433.73200686</v>
      </c>
      <c r="DT112" s="9">
        <f t="shared" si="61"/>
        <v>-1018401.8743053966</v>
      </c>
      <c r="DU112" s="9">
        <f t="shared" si="61"/>
        <v>915757.7293999977</v>
      </c>
      <c r="DV112" s="9">
        <f t="shared" si="61"/>
        <v>-8358141.17450377</v>
      </c>
      <c r="DW112" s="9">
        <f t="shared" si="61"/>
        <v>33</v>
      </c>
      <c r="DX112" s="9" t="str">
        <f t="shared" si="61"/>
        <v>NET OPERATING INCOME</v>
      </c>
      <c r="DY112" s="9">
        <f t="shared" si="61"/>
        <v>-6218348.64238798</v>
      </c>
      <c r="DZ112" s="9">
        <f t="shared" si="61"/>
        <v>342919.6436564028</v>
      </c>
      <c r="EA112" s="9">
        <f t="shared" si="61"/>
        <v>454572</v>
      </c>
      <c r="EB112" s="9">
        <f t="shared" si="61"/>
        <v>440898.6525755001</v>
      </c>
      <c r="EC112" s="9">
        <f t="shared" si="61"/>
        <v>-850449.6000000001</v>
      </c>
      <c r="ED112" s="9">
        <f t="shared" si="61"/>
        <v>693130.1205399944</v>
      </c>
      <c r="EE112" s="9">
        <f t="shared" si="61"/>
        <v>142454</v>
      </c>
      <c r="EF112" s="9">
        <f t="shared" si="61"/>
        <v>33</v>
      </c>
      <c r="EG112" s="9" t="str">
        <f t="shared" si="61"/>
        <v>NET OPERATING INCOME</v>
      </c>
      <c r="EH112" s="9">
        <f t="shared" si="61"/>
        <v>-30273.092195121953</v>
      </c>
      <c r="EI112" s="9">
        <f t="shared" si="61"/>
        <v>153958.35</v>
      </c>
      <c r="EJ112" s="9">
        <f t="shared" si="61"/>
        <v>-313412.05350000004</v>
      </c>
      <c r="EK112" s="9">
        <f t="shared" si="61"/>
        <v>233199.1691561952</v>
      </c>
      <c r="EL112" s="9">
        <f t="shared" si="61"/>
        <v>-1480293.4733602586</v>
      </c>
      <c r="EM112" s="9">
        <f t="shared" si="61"/>
        <v>-1898224.9</v>
      </c>
      <c r="EN112" s="9">
        <f t="shared" si="61"/>
        <v>33</v>
      </c>
      <c r="EO112" s="9" t="str">
        <f t="shared" si="61"/>
        <v>NET OPERATING INCOME</v>
      </c>
      <c r="EP112" s="9">
        <f t="shared" si="61"/>
        <v>-100005.02323142067</v>
      </c>
      <c r="EQ112" s="9">
        <f t="shared" si="61"/>
        <v>-544179.9983700365</v>
      </c>
      <c r="ER112" s="9">
        <f t="shared" si="61"/>
        <v>615785</v>
      </c>
      <c r="ES112" s="9">
        <f t="shared" si="61"/>
        <v>311112.1</v>
      </c>
      <c r="ET112" s="9">
        <f t="shared" si="61"/>
        <v>696544.8992820077</v>
      </c>
      <c r="EU112" s="9">
        <f t="shared" si="61"/>
        <v>-2057285.3213653713</v>
      </c>
      <c r="EV112" s="9">
        <f t="shared" si="61"/>
        <v>109292915.36334753</v>
      </c>
      <c r="EW112" s="9">
        <f t="shared" si="61"/>
        <v>33</v>
      </c>
      <c r="EX112" s="9" t="str">
        <f t="shared" si="61"/>
        <v>NET OPERATING INCOME</v>
      </c>
      <c r="EY112" s="9">
        <f t="shared" si="61"/>
        <v>111350200.68471289</v>
      </c>
      <c r="EZ112" s="9">
        <f t="shared" si="61"/>
        <v>-2057285.3213653713</v>
      </c>
      <c r="FA112" s="9">
        <f t="shared" si="61"/>
        <v>109292915.36334753</v>
      </c>
      <c r="FB112" s="9">
        <f t="shared" si="61"/>
        <v>16914886.070247002</v>
      </c>
      <c r="FC112" s="9">
        <f t="shared" si="61"/>
        <v>126207801.43359447</v>
      </c>
    </row>
    <row r="113" spans="2:159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V113" s="2"/>
      <c r="W113" s="2"/>
      <c r="X113" s="2"/>
      <c r="Y113" s="2"/>
      <c r="AE113" s="2"/>
      <c r="AF113" s="2"/>
      <c r="AG113" s="2"/>
      <c r="AH113" s="2"/>
      <c r="AI113" s="2"/>
      <c r="DQ113" s="31">
        <v>111350200.68471289</v>
      </c>
      <c r="DR113" s="31">
        <v>-8781320.886128336</v>
      </c>
      <c r="DS113" s="31">
        <v>22535433.73200686</v>
      </c>
      <c r="DT113" s="31">
        <v>-1029028.0477342324</v>
      </c>
      <c r="DU113" s="31">
        <v>915757.7293999977</v>
      </c>
      <c r="DV113" s="31">
        <v>-8409556.825561166</v>
      </c>
      <c r="DW113" s="31">
        <v>33</v>
      </c>
      <c r="DX113" s="31" t="s">
        <v>15</v>
      </c>
      <c r="DY113" s="31">
        <v>-6218348.64238798</v>
      </c>
      <c r="DZ113" s="31">
        <v>342919.6436564028</v>
      </c>
      <c r="EA113" s="31">
        <v>454572</v>
      </c>
      <c r="EB113" s="31">
        <v>440898.6525755001</v>
      </c>
      <c r="EC113" s="31">
        <v>-850449.6000000001</v>
      </c>
      <c r="ED113" s="31">
        <v>693130.1205399944</v>
      </c>
      <c r="EE113" s="31">
        <v>142454</v>
      </c>
      <c r="EF113" s="31">
        <v>33</v>
      </c>
      <c r="EG113" s="31" t="s">
        <v>15</v>
      </c>
      <c r="EH113" s="31">
        <v>-30273.092195121953</v>
      </c>
      <c r="EI113" s="31">
        <v>153958.35</v>
      </c>
      <c r="EJ113" s="31">
        <v>-313412.05350000004</v>
      </c>
      <c r="EK113" s="31">
        <v>233199.1691561952</v>
      </c>
      <c r="EL113" s="31">
        <v>-1480293.4733602586</v>
      </c>
      <c r="EM113" s="31">
        <v>-1898224.9</v>
      </c>
      <c r="EN113" s="31">
        <v>33</v>
      </c>
      <c r="EO113" s="31" t="s">
        <v>15</v>
      </c>
      <c r="EP113" s="31">
        <v>-100005.02323142067</v>
      </c>
      <c r="EQ113" s="31">
        <v>-544179.9983700365</v>
      </c>
      <c r="ER113" s="31">
        <v>615785</v>
      </c>
      <c r="ES113" s="31">
        <v>311112.1</v>
      </c>
      <c r="ET113" s="31">
        <v>696544.8992820077</v>
      </c>
      <c r="EU113" s="31">
        <v>-2119327.145851612</v>
      </c>
      <c r="EV113" s="31">
        <v>109230873.53886122</v>
      </c>
      <c r="EW113" s="31">
        <v>33</v>
      </c>
      <c r="EX113" s="31" t="s">
        <v>15</v>
      </c>
      <c r="EY113" s="31">
        <v>111350200.68471289</v>
      </c>
      <c r="EZ113" s="31">
        <v>-2119327.145851612</v>
      </c>
      <c r="FA113" s="31">
        <v>109230873.53886122</v>
      </c>
      <c r="FB113" s="31">
        <v>16830851.80509</v>
      </c>
      <c r="FC113" s="31">
        <v>126061725.34395128</v>
      </c>
    </row>
    <row r="114" spans="2:159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V114" s="2"/>
      <c r="W114" s="2"/>
      <c r="X114" s="2"/>
      <c r="Y114" s="2"/>
      <c r="AE114" s="2"/>
      <c r="AF114" s="2"/>
      <c r="AG114" s="2"/>
      <c r="AH114" s="2"/>
      <c r="AI114" s="2"/>
      <c r="DQ114" s="31">
        <f>DQ112-DQ113</f>
        <v>0</v>
      </c>
      <c r="DR114" s="31">
        <f aca="true" t="shared" si="62" ref="DR114:FC114">DR112-DR113</f>
        <v>0</v>
      </c>
      <c r="DS114" s="31">
        <f t="shared" si="62"/>
        <v>0</v>
      </c>
      <c r="DT114" s="31">
        <f t="shared" si="62"/>
        <v>10626.173428835813</v>
      </c>
      <c r="DU114" s="31">
        <f t="shared" si="62"/>
        <v>0</v>
      </c>
      <c r="DV114" s="31">
        <f t="shared" si="62"/>
        <v>51415.651057396084</v>
      </c>
      <c r="DW114" s="31">
        <f t="shared" si="62"/>
        <v>0</v>
      </c>
      <c r="DX114" s="31" t="e">
        <f t="shared" si="62"/>
        <v>#VALUE!</v>
      </c>
      <c r="DY114" s="31">
        <f t="shared" si="62"/>
        <v>0</v>
      </c>
      <c r="DZ114" s="31">
        <f t="shared" si="62"/>
        <v>0</v>
      </c>
      <c r="EA114" s="31">
        <f t="shared" si="62"/>
        <v>0</v>
      </c>
      <c r="EB114" s="31">
        <f t="shared" si="62"/>
        <v>0</v>
      </c>
      <c r="EC114" s="31">
        <f t="shared" si="62"/>
        <v>0</v>
      </c>
      <c r="ED114" s="31">
        <f t="shared" si="62"/>
        <v>0</v>
      </c>
      <c r="EE114" s="31">
        <f t="shared" si="62"/>
        <v>0</v>
      </c>
      <c r="EF114" s="31">
        <f t="shared" si="62"/>
        <v>0</v>
      </c>
      <c r="EG114" s="31" t="e">
        <f t="shared" si="62"/>
        <v>#VALUE!</v>
      </c>
      <c r="EH114" s="31">
        <f t="shared" si="62"/>
        <v>0</v>
      </c>
      <c r="EI114" s="31">
        <f t="shared" si="62"/>
        <v>0</v>
      </c>
      <c r="EJ114" s="31">
        <f t="shared" si="62"/>
        <v>0</v>
      </c>
      <c r="EK114" s="31">
        <f t="shared" si="62"/>
        <v>0</v>
      </c>
      <c r="EL114" s="31">
        <f t="shared" si="62"/>
        <v>0</v>
      </c>
      <c r="EM114" s="31">
        <f t="shared" si="62"/>
        <v>0</v>
      </c>
      <c r="EN114" s="31">
        <f t="shared" si="62"/>
        <v>0</v>
      </c>
      <c r="EO114" s="31" t="e">
        <f t="shared" si="62"/>
        <v>#VALUE!</v>
      </c>
      <c r="EP114" s="31">
        <f t="shared" si="62"/>
        <v>0</v>
      </c>
      <c r="EQ114" s="31">
        <f t="shared" si="62"/>
        <v>0</v>
      </c>
      <c r="ER114" s="31">
        <f t="shared" si="62"/>
        <v>0</v>
      </c>
      <c r="ES114" s="31">
        <f t="shared" si="62"/>
        <v>0</v>
      </c>
      <c r="ET114" s="31"/>
      <c r="EU114" s="31">
        <f t="shared" si="62"/>
        <v>62041.824486240745</v>
      </c>
      <c r="EV114" s="31">
        <f t="shared" si="62"/>
        <v>62041.82448631525</v>
      </c>
      <c r="EW114" s="31">
        <f t="shared" si="62"/>
        <v>0</v>
      </c>
      <c r="EX114" s="31" t="e">
        <f t="shared" si="62"/>
        <v>#VALUE!</v>
      </c>
      <c r="EY114" s="31">
        <f t="shared" si="62"/>
        <v>0</v>
      </c>
      <c r="EZ114" s="31">
        <f t="shared" si="62"/>
        <v>62041.824486240745</v>
      </c>
      <c r="FA114" s="31">
        <f t="shared" si="62"/>
        <v>62041.82448631525</v>
      </c>
      <c r="FB114" s="31">
        <f t="shared" si="62"/>
        <v>84034.26515700296</v>
      </c>
      <c r="FC114" s="31">
        <f t="shared" si="62"/>
        <v>146076.08964318037</v>
      </c>
    </row>
    <row r="115" spans="2:35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V115" s="2"/>
      <c r="W115" s="2"/>
      <c r="X115" s="2"/>
      <c r="Y115" s="2"/>
      <c r="AE115" s="2"/>
      <c r="AF115" s="2"/>
      <c r="AG115" s="2"/>
      <c r="AH115" s="2"/>
      <c r="AI115" s="2"/>
    </row>
    <row r="116" spans="2:35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V116" s="2"/>
      <c r="W116" s="2"/>
      <c r="X116" s="2"/>
      <c r="Y116" s="2"/>
      <c r="AE116" s="2"/>
      <c r="AF116" s="2"/>
      <c r="AG116" s="2"/>
      <c r="AH116" s="2"/>
      <c r="AI116" s="2"/>
    </row>
    <row r="117" spans="2:159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V117" s="2"/>
      <c r="W117" s="2"/>
      <c r="X117" s="2"/>
      <c r="Y117" s="2"/>
      <c r="AE117" s="2"/>
      <c r="AF117" s="2"/>
      <c r="AG117" s="2"/>
      <c r="AH117" s="2"/>
      <c r="AI117" s="2"/>
      <c r="DQ117" s="3">
        <v>1474337487</v>
      </c>
      <c r="DT117" s="3">
        <v>-1300527.6124556032</v>
      </c>
      <c r="DW117" s="3">
        <v>35</v>
      </c>
      <c r="DX117" s="3" t="s">
        <v>16</v>
      </c>
      <c r="DY117" s="3">
        <v>-3109174.32119399</v>
      </c>
      <c r="EB117" s="3">
        <v>0</v>
      </c>
      <c r="EF117" s="3">
        <v>35</v>
      </c>
      <c r="EG117" s="3" t="s">
        <v>16</v>
      </c>
      <c r="EH117" s="3">
        <v>0</v>
      </c>
      <c r="EN117" s="3">
        <v>35</v>
      </c>
      <c r="EO117" s="3" t="s">
        <v>16</v>
      </c>
      <c r="ET117" s="3">
        <v>4146209.1202969956</v>
      </c>
      <c r="EU117" s="3">
        <v>-263492.8133525974</v>
      </c>
      <c r="EV117" s="3">
        <v>1474073994.1866474</v>
      </c>
      <c r="EW117" s="3">
        <v>35</v>
      </c>
      <c r="EX117" s="3" t="s">
        <v>16</v>
      </c>
      <c r="EY117" s="3">
        <v>1474337487</v>
      </c>
      <c r="EZ117" s="3">
        <v>-263492.8133525974</v>
      </c>
      <c r="FA117" s="3">
        <v>1474073994.1866474</v>
      </c>
      <c r="FB117" s="3">
        <v>0</v>
      </c>
      <c r="FC117" s="3">
        <v>1474073994.1866474</v>
      </c>
    </row>
    <row r="118" spans="2:159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V118" s="2"/>
      <c r="W118" s="2"/>
      <c r="X118" s="2"/>
      <c r="Y118" s="2"/>
      <c r="AE118" s="2"/>
      <c r="AF118" s="2"/>
      <c r="AG118" s="2"/>
      <c r="AH118" s="2"/>
      <c r="AI118" s="2"/>
      <c r="DQ118" s="241">
        <f>DQ49</f>
        <v>1474337487</v>
      </c>
      <c r="DR118" s="241">
        <f aca="true" t="shared" si="63" ref="DR118:FC118">DR49</f>
        <v>0</v>
      </c>
      <c r="DS118" s="241">
        <f t="shared" si="63"/>
        <v>0</v>
      </c>
      <c r="DT118" s="241">
        <f t="shared" si="63"/>
        <v>-915968.3808855712</v>
      </c>
      <c r="DU118" s="241">
        <f t="shared" si="63"/>
        <v>0</v>
      </c>
      <c r="DV118" s="241">
        <f t="shared" si="63"/>
        <v>0</v>
      </c>
      <c r="DW118" s="241">
        <f t="shared" si="63"/>
        <v>35</v>
      </c>
      <c r="DX118" s="241" t="str">
        <f t="shared" si="63"/>
        <v>RATE BASE </v>
      </c>
      <c r="DY118" s="241">
        <f t="shared" si="63"/>
        <v>-3109174.32119399</v>
      </c>
      <c r="DZ118" s="241">
        <f t="shared" si="63"/>
        <v>0</v>
      </c>
      <c r="EA118" s="241">
        <f t="shared" si="63"/>
        <v>0</v>
      </c>
      <c r="EB118" s="241">
        <f t="shared" si="63"/>
        <v>0</v>
      </c>
      <c r="EC118" s="241">
        <f t="shared" si="63"/>
        <v>0</v>
      </c>
      <c r="ED118" s="241">
        <f t="shared" si="63"/>
        <v>0</v>
      </c>
      <c r="EE118" s="241">
        <f t="shared" si="63"/>
        <v>0</v>
      </c>
      <c r="EF118" s="241">
        <f t="shared" si="63"/>
        <v>35</v>
      </c>
      <c r="EG118" s="241" t="str">
        <f t="shared" si="63"/>
        <v>RATE BASE </v>
      </c>
      <c r="EH118" s="241">
        <f t="shared" si="63"/>
        <v>0</v>
      </c>
      <c r="EI118" s="241">
        <f t="shared" si="63"/>
        <v>0</v>
      </c>
      <c r="EJ118" s="241">
        <f t="shared" si="63"/>
        <v>0</v>
      </c>
      <c r="EK118" s="241">
        <f t="shared" si="63"/>
        <v>0</v>
      </c>
      <c r="EL118" s="241">
        <f t="shared" si="63"/>
        <v>0</v>
      </c>
      <c r="EM118" s="241">
        <f t="shared" si="63"/>
        <v>0</v>
      </c>
      <c r="EN118" s="241">
        <f t="shared" si="63"/>
        <v>35</v>
      </c>
      <c r="EO118" s="241" t="str">
        <f t="shared" si="63"/>
        <v>RATE BASE </v>
      </c>
      <c r="EP118" s="241">
        <f t="shared" si="63"/>
        <v>0</v>
      </c>
      <c r="EQ118" s="241">
        <f t="shared" si="63"/>
        <v>0</v>
      </c>
      <c r="ER118" s="241">
        <f t="shared" si="63"/>
        <v>0</v>
      </c>
      <c r="ES118" s="241">
        <f t="shared" si="63"/>
        <v>0</v>
      </c>
      <c r="ET118" s="241">
        <f t="shared" si="63"/>
        <v>4077858.426334463</v>
      </c>
      <c r="EU118" s="241">
        <f t="shared" si="63"/>
        <v>52715.72425490199</v>
      </c>
      <c r="EV118" s="241">
        <f t="shared" si="63"/>
        <v>1474390202.7242548</v>
      </c>
      <c r="EW118" s="241">
        <f t="shared" si="63"/>
        <v>35</v>
      </c>
      <c r="EX118" s="241" t="str">
        <f t="shared" si="63"/>
        <v>RATE BASE </v>
      </c>
      <c r="EY118" s="241">
        <f t="shared" si="63"/>
        <v>1474337487</v>
      </c>
      <c r="EZ118" s="241">
        <f t="shared" si="63"/>
        <v>52715.72425490199</v>
      </c>
      <c r="FA118" s="241">
        <f t="shared" si="63"/>
        <v>1474390202.7242548</v>
      </c>
      <c r="FB118" s="241">
        <f t="shared" si="63"/>
        <v>0</v>
      </c>
      <c r="FC118" s="241">
        <f t="shared" si="63"/>
        <v>1474390202.7242548</v>
      </c>
    </row>
    <row r="119" spans="7:159" ht="12.75" customHeight="1">
      <c r="G119" s="2"/>
      <c r="H119" s="2"/>
      <c r="I119" s="2"/>
      <c r="J119" s="2"/>
      <c r="K119" s="2"/>
      <c r="V119" s="2"/>
      <c r="W119" s="2"/>
      <c r="X119" s="2"/>
      <c r="Y119" s="2"/>
      <c r="AE119" s="2"/>
      <c r="AF119" s="2"/>
      <c r="AG119" s="2"/>
      <c r="AH119" s="2"/>
      <c r="AI119" s="2"/>
      <c r="DQ119" s="516">
        <f>DQ118-DQ117</f>
        <v>0</v>
      </c>
      <c r="DR119" s="516">
        <f aca="true" t="shared" si="64" ref="DR119:FC119">DR118-DR117</f>
        <v>0</v>
      </c>
      <c r="DS119" s="516">
        <f t="shared" si="64"/>
        <v>0</v>
      </c>
      <c r="DT119" s="516">
        <f t="shared" si="64"/>
        <v>384559.23157003196</v>
      </c>
      <c r="DU119" s="516">
        <f t="shared" si="64"/>
        <v>0</v>
      </c>
      <c r="DV119" s="516">
        <f t="shared" si="64"/>
        <v>0</v>
      </c>
      <c r="DW119" s="516">
        <f t="shared" si="64"/>
        <v>0</v>
      </c>
      <c r="DX119" s="516" t="e">
        <f t="shared" si="64"/>
        <v>#VALUE!</v>
      </c>
      <c r="DY119" s="516">
        <f t="shared" si="64"/>
        <v>0</v>
      </c>
      <c r="DZ119" s="516">
        <f t="shared" si="64"/>
        <v>0</v>
      </c>
      <c r="EA119" s="516">
        <f t="shared" si="64"/>
        <v>0</v>
      </c>
      <c r="EB119" s="516">
        <f t="shared" si="64"/>
        <v>0</v>
      </c>
      <c r="EC119" s="516">
        <f t="shared" si="64"/>
        <v>0</v>
      </c>
      <c r="ED119" s="516">
        <f t="shared" si="64"/>
        <v>0</v>
      </c>
      <c r="EE119" s="516">
        <f t="shared" si="64"/>
        <v>0</v>
      </c>
      <c r="EF119" s="516">
        <f t="shared" si="64"/>
        <v>0</v>
      </c>
      <c r="EG119" s="516" t="e">
        <f t="shared" si="64"/>
        <v>#VALUE!</v>
      </c>
      <c r="EH119" s="516">
        <f t="shared" si="64"/>
        <v>0</v>
      </c>
      <c r="EI119" s="516">
        <f t="shared" si="64"/>
        <v>0</v>
      </c>
      <c r="EJ119" s="516">
        <f t="shared" si="64"/>
        <v>0</v>
      </c>
      <c r="EK119" s="516">
        <f t="shared" si="64"/>
        <v>0</v>
      </c>
      <c r="EL119" s="516">
        <f t="shared" si="64"/>
        <v>0</v>
      </c>
      <c r="EM119" s="516">
        <f t="shared" si="64"/>
        <v>0</v>
      </c>
      <c r="EN119" s="516">
        <f t="shared" si="64"/>
        <v>0</v>
      </c>
      <c r="EO119" s="516" t="e">
        <f t="shared" si="64"/>
        <v>#VALUE!</v>
      </c>
      <c r="EP119" s="516">
        <f t="shared" si="64"/>
        <v>0</v>
      </c>
      <c r="EQ119" s="516">
        <f t="shared" si="64"/>
        <v>0</v>
      </c>
      <c r="ER119" s="516">
        <f t="shared" si="64"/>
        <v>0</v>
      </c>
      <c r="ES119" s="516">
        <f t="shared" si="64"/>
        <v>0</v>
      </c>
      <c r="ET119" s="516">
        <f t="shared" si="64"/>
        <v>-68350.69396253256</v>
      </c>
      <c r="EU119" s="516">
        <f t="shared" si="64"/>
        <v>316208.5376074994</v>
      </c>
      <c r="EV119" s="516">
        <f t="shared" si="64"/>
        <v>316208.5376074314</v>
      </c>
      <c r="EW119" s="516">
        <f t="shared" si="64"/>
        <v>0</v>
      </c>
      <c r="EX119" s="516" t="e">
        <f t="shared" si="64"/>
        <v>#VALUE!</v>
      </c>
      <c r="EY119" s="516">
        <f t="shared" si="64"/>
        <v>0</v>
      </c>
      <c r="EZ119" s="516">
        <f t="shared" si="64"/>
        <v>316208.5376074994</v>
      </c>
      <c r="FA119" s="516">
        <f t="shared" si="64"/>
        <v>316208.5376074314</v>
      </c>
      <c r="FB119" s="516">
        <f t="shared" si="64"/>
        <v>0</v>
      </c>
      <c r="FC119" s="516">
        <f t="shared" si="64"/>
        <v>316208.5376074314</v>
      </c>
    </row>
    <row r="120" spans="7:35" ht="12.75" customHeight="1">
      <c r="G120" s="2"/>
      <c r="H120" s="2"/>
      <c r="I120" s="2"/>
      <c r="J120" s="2"/>
      <c r="K120" s="2"/>
      <c r="V120" s="2"/>
      <c r="W120" s="2"/>
      <c r="X120" s="2"/>
      <c r="Y120" s="2"/>
      <c r="AE120" s="2"/>
      <c r="AF120" s="2"/>
      <c r="AG120" s="2"/>
      <c r="AH120" s="2"/>
      <c r="AI120" s="2"/>
    </row>
    <row r="121" spans="7:35" ht="12.75" customHeight="1">
      <c r="G121" s="2"/>
      <c r="H121" s="2"/>
      <c r="I121" s="2"/>
      <c r="J121" s="2"/>
      <c r="K121" s="2"/>
      <c r="V121" s="2"/>
      <c r="W121" s="2"/>
      <c r="X121" s="2"/>
      <c r="Y121" s="2"/>
      <c r="AE121" s="2"/>
      <c r="AF121" s="2"/>
      <c r="AG121" s="2"/>
      <c r="AH121" s="2"/>
      <c r="AI121" s="2"/>
    </row>
    <row r="122" spans="7:35" ht="12.75" customHeight="1">
      <c r="G122" s="2"/>
      <c r="H122" s="2"/>
      <c r="I122" s="2"/>
      <c r="J122" s="2"/>
      <c r="K122" s="2"/>
      <c r="V122" s="2"/>
      <c r="W122" s="2"/>
      <c r="X122" s="2"/>
      <c r="Y122" s="2"/>
      <c r="AE122" s="2"/>
      <c r="AF122" s="2"/>
      <c r="AG122" s="2"/>
      <c r="AH122" s="2"/>
      <c r="AI122" s="2"/>
    </row>
    <row r="123" spans="7:35" ht="12.75" customHeight="1">
      <c r="G123" s="2"/>
      <c r="H123" s="2"/>
      <c r="I123" s="2"/>
      <c r="J123" s="2"/>
      <c r="K123" s="2"/>
      <c r="V123" s="2"/>
      <c r="W123" s="2"/>
      <c r="X123" s="2"/>
      <c r="Y123" s="2"/>
      <c r="AE123" s="2"/>
      <c r="AF123" s="2"/>
      <c r="AG123" s="2"/>
      <c r="AH123" s="2"/>
      <c r="AI123" s="2"/>
    </row>
    <row r="124" spans="7:35" ht="12.75" customHeight="1">
      <c r="G124" s="2"/>
      <c r="H124" s="2"/>
      <c r="I124" s="2"/>
      <c r="J124" s="2"/>
      <c r="K124" s="2"/>
      <c r="V124" s="2"/>
      <c r="W124" s="2"/>
      <c r="X124" s="2"/>
      <c r="Y124" s="2"/>
      <c r="AE124" s="2"/>
      <c r="AF124" s="2"/>
      <c r="AG124" s="2"/>
      <c r="AH124" s="2"/>
      <c r="AI124" s="2"/>
    </row>
    <row r="125" spans="7:35" ht="12.75" customHeight="1">
      <c r="G125" s="2"/>
      <c r="H125" s="2"/>
      <c r="I125" s="2"/>
      <c r="J125" s="2"/>
      <c r="K125" s="2"/>
      <c r="V125" s="2"/>
      <c r="W125" s="2"/>
      <c r="X125" s="2"/>
      <c r="Y125" s="2"/>
      <c r="AE125" s="2"/>
      <c r="AF125" s="2"/>
      <c r="AG125" s="2"/>
      <c r="AH125" s="2"/>
      <c r="AI125" s="2"/>
    </row>
    <row r="126" spans="7:35" ht="12.75" customHeight="1">
      <c r="G126" s="2"/>
      <c r="H126" s="2"/>
      <c r="I126" s="2"/>
      <c r="J126" s="2"/>
      <c r="K126" s="2"/>
      <c r="V126" s="2"/>
      <c r="W126" s="2"/>
      <c r="X126" s="2"/>
      <c r="Y126" s="2"/>
      <c r="AE126" s="2"/>
      <c r="AF126" s="2"/>
      <c r="AG126" s="2"/>
      <c r="AH126" s="2"/>
      <c r="AI126" s="2"/>
    </row>
    <row r="127" spans="7:35" ht="12.75" customHeight="1">
      <c r="G127" s="2"/>
      <c r="H127" s="2"/>
      <c r="I127" s="2"/>
      <c r="J127" s="2"/>
      <c r="K127" s="2"/>
      <c r="V127" s="2"/>
      <c r="W127" s="2"/>
      <c r="X127" s="2"/>
      <c r="Y127" s="2"/>
      <c r="AE127" s="2"/>
      <c r="AF127" s="2"/>
      <c r="AG127" s="2"/>
      <c r="AH127" s="2"/>
      <c r="AI127" s="2"/>
    </row>
    <row r="128" spans="7:35" ht="12.75" customHeight="1">
      <c r="G128" s="2"/>
      <c r="H128" s="2"/>
      <c r="I128" s="2"/>
      <c r="J128" s="2"/>
      <c r="K128" s="2"/>
      <c r="V128" s="2"/>
      <c r="W128" s="2"/>
      <c r="X128" s="2"/>
      <c r="Y128" s="2"/>
      <c r="AE128" s="2"/>
      <c r="AF128" s="2"/>
      <c r="AG128" s="2"/>
      <c r="AH128" s="2"/>
      <c r="AI128" s="2"/>
    </row>
    <row r="129" spans="22:35" ht="12.75" customHeight="1">
      <c r="V129" s="2"/>
      <c r="W129" s="2"/>
      <c r="X129" s="2"/>
      <c r="Y129" s="2"/>
      <c r="AE129" s="2"/>
      <c r="AF129" s="2"/>
      <c r="AG129" s="2"/>
      <c r="AH129" s="2"/>
      <c r="AI129" s="2"/>
    </row>
    <row r="130" spans="22:35" ht="12.75" customHeight="1">
      <c r="V130" s="2"/>
      <c r="W130" s="2"/>
      <c r="X130" s="2"/>
      <c r="Y130" s="2"/>
      <c r="AE130" s="2"/>
      <c r="AF130" s="2"/>
      <c r="AG130" s="2"/>
      <c r="AH130" s="2"/>
      <c r="AI130" s="2"/>
    </row>
    <row r="131" spans="22:35" ht="12.75" customHeight="1">
      <c r="V131" s="2"/>
      <c r="W131" s="2"/>
      <c r="X131" s="2"/>
      <c r="Y131" s="2"/>
      <c r="AE131" s="2"/>
      <c r="AF131" s="2"/>
      <c r="AG131" s="2"/>
      <c r="AH131" s="2"/>
      <c r="AI131" s="2"/>
    </row>
    <row r="132" spans="22:35" ht="12.75" customHeight="1">
      <c r="V132" s="2"/>
      <c r="W132" s="2"/>
      <c r="X132" s="2"/>
      <c r="Y132" s="2"/>
      <c r="AE132" s="2"/>
      <c r="AF132" s="2"/>
      <c r="AG132" s="2"/>
      <c r="AH132" s="2"/>
      <c r="AI132" s="2"/>
    </row>
    <row r="133" spans="22:35" ht="12.75" customHeight="1">
      <c r="V133" s="2"/>
      <c r="W133" s="2"/>
      <c r="X133" s="2"/>
      <c r="Y133" s="2"/>
      <c r="AE133" s="2"/>
      <c r="AF133" s="2"/>
      <c r="AG133" s="2"/>
      <c r="AH133" s="2"/>
      <c r="AI133" s="2"/>
    </row>
    <row r="134" spans="22:35" ht="12.75" customHeight="1">
      <c r="V134" s="2"/>
      <c r="W134" s="2"/>
      <c r="X134" s="2"/>
      <c r="Y134" s="2"/>
      <c r="AE134" s="2"/>
      <c r="AF134" s="2"/>
      <c r="AG134" s="2"/>
      <c r="AH134" s="2"/>
      <c r="AI134" s="2"/>
    </row>
    <row r="135" spans="22:35" ht="12.75" customHeight="1">
      <c r="V135" s="2"/>
      <c r="W135" s="2"/>
      <c r="X135" s="2"/>
      <c r="Y135" s="2"/>
      <c r="AE135" s="2"/>
      <c r="AF135" s="2"/>
      <c r="AG135" s="2"/>
      <c r="AH135" s="2"/>
      <c r="AI135" s="2"/>
    </row>
    <row r="136" spans="22:35" ht="12.75" customHeight="1">
      <c r="V136" s="2"/>
      <c r="W136" s="2"/>
      <c r="X136" s="2"/>
      <c r="Y136" s="2"/>
      <c r="AE136" s="2"/>
      <c r="AF136" s="2"/>
      <c r="AG136" s="2"/>
      <c r="AH136" s="2"/>
      <c r="AI136" s="2"/>
    </row>
    <row r="137" spans="1:35" ht="12.75" customHeight="1">
      <c r="A137" s="147"/>
      <c r="V137" s="2"/>
      <c r="W137" s="2"/>
      <c r="X137" s="2"/>
      <c r="Y137" s="2"/>
      <c r="AE137" s="2"/>
      <c r="AF137" s="2"/>
      <c r="AG137" s="2"/>
      <c r="AH137" s="2"/>
      <c r="AI137" s="2"/>
    </row>
    <row r="138" spans="1:35" ht="12.75" customHeight="1">
      <c r="A138" s="147"/>
      <c r="V138" s="2"/>
      <c r="W138" s="2"/>
      <c r="X138" s="2"/>
      <c r="Y138" s="2"/>
      <c r="AE138" s="2"/>
      <c r="AF138" s="2"/>
      <c r="AG138" s="2"/>
      <c r="AH138" s="2"/>
      <c r="AI138" s="2"/>
    </row>
    <row r="139" spans="1:35" ht="12.75" customHeight="1">
      <c r="A139" s="147"/>
      <c r="V139" s="2"/>
      <c r="W139" s="2"/>
      <c r="X139" s="2"/>
      <c r="Y139" s="2"/>
      <c r="AE139" s="2"/>
      <c r="AF139" s="2"/>
      <c r="AG139" s="2"/>
      <c r="AH139" s="2"/>
      <c r="AI139" s="2"/>
    </row>
    <row r="140" spans="1:35" ht="12.75" customHeight="1">
      <c r="A140" s="147"/>
      <c r="V140" s="2"/>
      <c r="W140" s="2"/>
      <c r="X140" s="2"/>
      <c r="Y140" s="2"/>
      <c r="AE140" s="2"/>
      <c r="AF140" s="2"/>
      <c r="AG140" s="2"/>
      <c r="AH140" s="2"/>
      <c r="AI140" s="2"/>
    </row>
    <row r="141" spans="1:35" ht="12.75" customHeight="1">
      <c r="A141" s="149"/>
      <c r="V141" s="2"/>
      <c r="W141" s="2"/>
      <c r="X141" s="2"/>
      <c r="Y141" s="2"/>
      <c r="AE141" s="2"/>
      <c r="AF141" s="2"/>
      <c r="AG141" s="2"/>
      <c r="AH141" s="2"/>
      <c r="AI141" s="2"/>
    </row>
    <row r="142" spans="1:35" ht="12.75" customHeight="1">
      <c r="A142" s="149"/>
      <c r="V142" s="2"/>
      <c r="W142" s="2"/>
      <c r="X142" s="2"/>
      <c r="Y142" s="2"/>
      <c r="AE142" s="2"/>
      <c r="AF142" s="2"/>
      <c r="AG142" s="2"/>
      <c r="AH142" s="2"/>
      <c r="AI142" s="2"/>
    </row>
    <row r="143" spans="1:35" ht="12.75" customHeight="1">
      <c r="A143" s="152"/>
      <c r="V143" s="2"/>
      <c r="W143" s="2"/>
      <c r="X143" s="2"/>
      <c r="Y143" s="2"/>
      <c r="AE143" s="2"/>
      <c r="AF143" s="2"/>
      <c r="AG143" s="2"/>
      <c r="AH143" s="2"/>
      <c r="AI143" s="2"/>
    </row>
    <row r="144" spans="1:35" ht="12.75" customHeight="1">
      <c r="A144" s="155"/>
      <c r="V144" s="2"/>
      <c r="W144" s="2"/>
      <c r="X144" s="2"/>
      <c r="Y144" s="2"/>
      <c r="AE144" s="2"/>
      <c r="AF144" s="2"/>
      <c r="AG144" s="2"/>
      <c r="AH144" s="2"/>
      <c r="AI144" s="2"/>
    </row>
    <row r="145" spans="1:35" ht="12.75" customHeight="1">
      <c r="A145" s="155"/>
      <c r="V145" s="2"/>
      <c r="W145" s="2"/>
      <c r="X145" s="2"/>
      <c r="Y145" s="2"/>
      <c r="AE145" s="2"/>
      <c r="AF145" s="2"/>
      <c r="AG145" s="2"/>
      <c r="AH145" s="2"/>
      <c r="AI145" s="2"/>
    </row>
    <row r="146" spans="1:35" ht="12.75" customHeight="1">
      <c r="A146" s="155"/>
      <c r="V146" s="2"/>
      <c r="W146" s="2"/>
      <c r="X146" s="2"/>
      <c r="Y146" s="2"/>
      <c r="AE146" s="2"/>
      <c r="AF146" s="2"/>
      <c r="AG146" s="2"/>
      <c r="AH146" s="2"/>
      <c r="AI146" s="2"/>
    </row>
    <row r="147" spans="1:35" ht="12.75" customHeight="1">
      <c r="A147" s="155"/>
      <c r="V147" s="2"/>
      <c r="W147" s="2"/>
      <c r="X147" s="2"/>
      <c r="Y147" s="2"/>
      <c r="AE147" s="2"/>
      <c r="AF147" s="2"/>
      <c r="AG147" s="2"/>
      <c r="AH147" s="2"/>
      <c r="AI147" s="2"/>
    </row>
    <row r="148" spans="1:35" ht="12.75" customHeight="1">
      <c r="A148" s="155"/>
      <c r="V148" s="2"/>
      <c r="W148" s="2"/>
      <c r="X148" s="2"/>
      <c r="Y148" s="2"/>
      <c r="AE148" s="2"/>
      <c r="AF148" s="2"/>
      <c r="AG148" s="2"/>
      <c r="AH148" s="2"/>
      <c r="AI148" s="2"/>
    </row>
    <row r="149" spans="1:35" ht="12.75" customHeight="1">
      <c r="A149" s="155"/>
      <c r="V149" s="2"/>
      <c r="W149" s="2"/>
      <c r="X149" s="2"/>
      <c r="Y149" s="2"/>
      <c r="AE149" s="2"/>
      <c r="AF149" s="2"/>
      <c r="AG149" s="2"/>
      <c r="AH149" s="2"/>
      <c r="AI149" s="2"/>
    </row>
    <row r="150" spans="1:35" ht="12.75" customHeight="1">
      <c r="A150" s="155"/>
      <c r="V150" s="2"/>
      <c r="W150" s="2"/>
      <c r="X150" s="2"/>
      <c r="Y150" s="2"/>
      <c r="AE150" s="2"/>
      <c r="AF150" s="2"/>
      <c r="AG150" s="2"/>
      <c r="AH150" s="2"/>
      <c r="AI150" s="2"/>
    </row>
    <row r="151" spans="1:35" ht="12.75" customHeight="1">
      <c r="A151" s="155"/>
      <c r="V151" s="2"/>
      <c r="W151" s="2"/>
      <c r="X151" s="2"/>
      <c r="Y151" s="2"/>
      <c r="AE151" s="2"/>
      <c r="AF151" s="2"/>
      <c r="AG151" s="2"/>
      <c r="AH151" s="2"/>
      <c r="AI151" s="2"/>
    </row>
    <row r="152" spans="1:35" ht="12.75" customHeight="1">
      <c r="A152" s="155"/>
      <c r="V152" s="2"/>
      <c r="W152" s="2"/>
      <c r="X152" s="2"/>
      <c r="Y152" s="2"/>
      <c r="AE152" s="2"/>
      <c r="AF152" s="2"/>
      <c r="AG152" s="2"/>
      <c r="AH152" s="2"/>
      <c r="AI152" s="2"/>
    </row>
    <row r="153" spans="1:35" ht="12.75" customHeight="1">
      <c r="A153" s="155"/>
      <c r="V153" s="2"/>
      <c r="W153" s="2"/>
      <c r="X153" s="2"/>
      <c r="Y153" s="2"/>
      <c r="AE153" s="2"/>
      <c r="AF153" s="2"/>
      <c r="AG153" s="2"/>
      <c r="AH153" s="2"/>
      <c r="AI153" s="2"/>
    </row>
    <row r="154" spans="1:35" ht="12.75" customHeight="1">
      <c r="A154" s="155"/>
      <c r="V154" s="2"/>
      <c r="W154" s="2"/>
      <c r="X154" s="2"/>
      <c r="Y154" s="2"/>
      <c r="AE154" s="2"/>
      <c r="AF154" s="2"/>
      <c r="AG154" s="2"/>
      <c r="AH154" s="2"/>
      <c r="AI154" s="2"/>
    </row>
    <row r="155" spans="1:35" ht="12.75" customHeight="1">
      <c r="A155" s="155"/>
      <c r="V155" s="2"/>
      <c r="W155" s="2"/>
      <c r="X155" s="2"/>
      <c r="Y155" s="2"/>
      <c r="AE155" s="2"/>
      <c r="AF155" s="2"/>
      <c r="AG155" s="2"/>
      <c r="AH155" s="2"/>
      <c r="AI155" s="2"/>
    </row>
    <row r="156" spans="1:35" ht="12.75" customHeight="1">
      <c r="A156" s="155"/>
      <c r="V156" s="2"/>
      <c r="W156" s="2"/>
      <c r="X156" s="2"/>
      <c r="Y156" s="2"/>
      <c r="AE156" s="2"/>
      <c r="AF156" s="2"/>
      <c r="AG156" s="2"/>
      <c r="AH156" s="2"/>
      <c r="AI156" s="2"/>
    </row>
    <row r="157" spans="1:35" ht="12.75" customHeight="1">
      <c r="A157" s="152"/>
      <c r="V157" s="2"/>
      <c r="W157" s="2"/>
      <c r="X157" s="2"/>
      <c r="Y157" s="2"/>
      <c r="AE157" s="2"/>
      <c r="AF157" s="2"/>
      <c r="AG157" s="2"/>
      <c r="AH157" s="2"/>
      <c r="AI157" s="2"/>
    </row>
    <row r="158" spans="1:35" ht="12.75" customHeight="1">
      <c r="A158" s="155"/>
      <c r="M158" s="147"/>
      <c r="N158" s="147"/>
      <c r="O158" s="147"/>
      <c r="P158" s="147"/>
      <c r="V158" s="2"/>
      <c r="W158" s="2"/>
      <c r="X158" s="2"/>
      <c r="Y158" s="2"/>
      <c r="AE158" s="2"/>
      <c r="AF158" s="2"/>
      <c r="AG158" s="2"/>
      <c r="AH158" s="2"/>
      <c r="AI158" s="2"/>
    </row>
    <row r="159" spans="1:35" ht="12.75" customHeight="1">
      <c r="A159" s="155"/>
      <c r="M159" s="147"/>
      <c r="N159" s="147"/>
      <c r="O159" s="147"/>
      <c r="P159" s="147"/>
      <c r="V159" s="2"/>
      <c r="W159" s="2"/>
      <c r="X159" s="2"/>
      <c r="Y159" s="2"/>
      <c r="AE159" s="2"/>
      <c r="AF159" s="2"/>
      <c r="AG159" s="2"/>
      <c r="AH159" s="2"/>
      <c r="AI159" s="2"/>
    </row>
    <row r="160" spans="1:35" ht="12.75" customHeight="1">
      <c r="A160" s="152"/>
      <c r="M160" s="147"/>
      <c r="N160" s="147"/>
      <c r="O160" s="147"/>
      <c r="P160" s="147"/>
      <c r="V160" s="2"/>
      <c r="W160" s="2"/>
      <c r="X160" s="2"/>
      <c r="Y160" s="2"/>
      <c r="AE160" s="2"/>
      <c r="AF160" s="2"/>
      <c r="AG160" s="2"/>
      <c r="AH160" s="2"/>
      <c r="AI160" s="2"/>
    </row>
    <row r="161" spans="1:35" ht="12.75" customHeight="1">
      <c r="A161" s="152"/>
      <c r="M161" s="147"/>
      <c r="N161" s="147"/>
      <c r="O161" s="147"/>
      <c r="P161" s="147"/>
      <c r="V161" s="2"/>
      <c r="W161" s="2"/>
      <c r="X161" s="2"/>
      <c r="Y161" s="2"/>
      <c r="AE161" s="2"/>
      <c r="AF161" s="2"/>
      <c r="AG161" s="2"/>
      <c r="AH161" s="2"/>
      <c r="AI161" s="2"/>
    </row>
    <row r="162" spans="1:35" ht="12.75" customHeight="1">
      <c r="A162" s="155"/>
      <c r="E162" s="148"/>
      <c r="F162" s="147"/>
      <c r="M162" s="150"/>
      <c r="N162" s="150"/>
      <c r="O162" s="150"/>
      <c r="P162" s="150"/>
      <c r="V162" s="2"/>
      <c r="W162" s="2"/>
      <c r="X162" s="2"/>
      <c r="Y162" s="2"/>
      <c r="AE162" s="2"/>
      <c r="AF162" s="2"/>
      <c r="AG162" s="2"/>
      <c r="AH162" s="2"/>
      <c r="AI162" s="2"/>
    </row>
    <row r="163" spans="1:35" ht="12.75" customHeight="1">
      <c r="A163" s="155"/>
      <c r="E163" s="148"/>
      <c r="F163" s="147"/>
      <c r="M163" s="150"/>
      <c r="N163" s="150"/>
      <c r="O163" s="150"/>
      <c r="P163" s="150"/>
      <c r="V163" s="2"/>
      <c r="W163" s="2"/>
      <c r="X163" s="2"/>
      <c r="Y163" s="2"/>
      <c r="AE163" s="2"/>
      <c r="AF163" s="2"/>
      <c r="AG163" s="2"/>
      <c r="AH163" s="2"/>
      <c r="AI163" s="2"/>
    </row>
    <row r="164" spans="1:35" ht="12.75" customHeight="1">
      <c r="A164" s="155"/>
      <c r="E164" s="148"/>
      <c r="F164" s="147"/>
      <c r="M164" s="154"/>
      <c r="N164" s="154"/>
      <c r="O164" s="154"/>
      <c r="P164" s="154"/>
      <c r="V164" s="2"/>
      <c r="W164" s="2"/>
      <c r="X164" s="2"/>
      <c r="Y164" s="2"/>
      <c r="AE164" s="2"/>
      <c r="AF164" s="2"/>
      <c r="AG164" s="2"/>
      <c r="AH164" s="2"/>
      <c r="AI164" s="2"/>
    </row>
    <row r="165" spans="1:35" ht="12.75" customHeight="1">
      <c r="A165" s="155"/>
      <c r="E165" s="148"/>
      <c r="F165" s="147"/>
      <c r="M165" s="156"/>
      <c r="N165" s="156"/>
      <c r="O165" s="156"/>
      <c r="P165" s="156"/>
      <c r="V165" s="2"/>
      <c r="W165" s="2"/>
      <c r="X165" s="2"/>
      <c r="Y165" s="2"/>
      <c r="AE165" s="2"/>
      <c r="AF165" s="2"/>
      <c r="AG165" s="2"/>
      <c r="AH165" s="2"/>
      <c r="AI165" s="2"/>
    </row>
    <row r="166" spans="1:35" ht="12.75" customHeight="1">
      <c r="A166" s="155"/>
      <c r="B166" s="147"/>
      <c r="C166" s="147"/>
      <c r="D166" s="147"/>
      <c r="E166" s="147"/>
      <c r="F166" s="150"/>
      <c r="M166" s="154"/>
      <c r="N166" s="154"/>
      <c r="O166" s="154"/>
      <c r="P166" s="154"/>
      <c r="V166" s="2"/>
      <c r="W166" s="2"/>
      <c r="X166" s="2"/>
      <c r="Y166" s="2"/>
      <c r="AE166" s="2"/>
      <c r="AF166" s="2"/>
      <c r="AG166" s="2"/>
      <c r="AH166" s="2"/>
      <c r="AI166" s="2"/>
    </row>
    <row r="167" spans="1:35" ht="12.75" customHeight="1">
      <c r="A167" s="155"/>
      <c r="B167" s="151"/>
      <c r="C167" s="151"/>
      <c r="D167" s="151"/>
      <c r="E167" s="151"/>
      <c r="F167" s="150"/>
      <c r="M167" s="157"/>
      <c r="N167" s="157"/>
      <c r="O167" s="157"/>
      <c r="P167" s="157"/>
      <c r="V167" s="2"/>
      <c r="W167" s="2"/>
      <c r="X167" s="2"/>
      <c r="Y167" s="2"/>
      <c r="AE167" s="2"/>
      <c r="AF167" s="2"/>
      <c r="AG167" s="2"/>
      <c r="AH167" s="2"/>
      <c r="AI167" s="2"/>
    </row>
    <row r="168" spans="1:35" ht="12.75" customHeight="1">
      <c r="A168" s="155"/>
      <c r="B168" s="153"/>
      <c r="C168" s="153"/>
      <c r="D168" s="153"/>
      <c r="E168" s="153"/>
      <c r="F168" s="154"/>
      <c r="M168" s="154"/>
      <c r="N168" s="154"/>
      <c r="O168" s="154"/>
      <c r="P168" s="154"/>
      <c r="V168" s="2"/>
      <c r="W168" s="2"/>
      <c r="X168" s="2"/>
      <c r="Y168" s="2"/>
      <c r="AE168" s="2"/>
      <c r="AF168" s="2"/>
      <c r="AG168" s="2"/>
      <c r="AH168" s="2"/>
      <c r="AI168" s="2"/>
    </row>
    <row r="169" spans="1:35" ht="12.75" customHeight="1">
      <c r="A169" s="155"/>
      <c r="B169" s="154"/>
      <c r="C169" s="154"/>
      <c r="D169" s="154"/>
      <c r="E169" s="154"/>
      <c r="F169" s="156"/>
      <c r="M169" s="158"/>
      <c r="N169" s="158"/>
      <c r="O169" s="158"/>
      <c r="P169" s="158"/>
      <c r="V169" s="2"/>
      <c r="W169" s="2"/>
      <c r="X169" s="2"/>
      <c r="Y169" s="2"/>
      <c r="AE169" s="2"/>
      <c r="AF169" s="2"/>
      <c r="AG169" s="2"/>
      <c r="AH169" s="2"/>
      <c r="AI169" s="2"/>
    </row>
    <row r="170" spans="1:35" ht="12.75" customHeight="1">
      <c r="A170" s="155"/>
      <c r="B170" s="154"/>
      <c r="C170" s="154"/>
      <c r="D170" s="154"/>
      <c r="E170" s="154"/>
      <c r="F170" s="154"/>
      <c r="M170" s="154"/>
      <c r="N170" s="154"/>
      <c r="O170" s="154"/>
      <c r="P170" s="154"/>
      <c r="V170" s="2"/>
      <c r="W170" s="2"/>
      <c r="X170" s="2"/>
      <c r="Y170" s="2"/>
      <c r="AE170" s="2"/>
      <c r="AF170" s="2"/>
      <c r="AG170" s="2"/>
      <c r="AH170" s="2"/>
      <c r="AI170" s="2"/>
    </row>
    <row r="171" spans="1:35" ht="12.75" customHeight="1">
      <c r="A171" s="155"/>
      <c r="B171" s="154"/>
      <c r="C171" s="154"/>
      <c r="D171" s="154"/>
      <c r="E171" s="154"/>
      <c r="F171" s="157"/>
      <c r="M171" s="159"/>
      <c r="N171" s="159"/>
      <c r="O171" s="159"/>
      <c r="P171" s="159"/>
      <c r="V171" s="2"/>
      <c r="W171" s="2"/>
      <c r="X171" s="2"/>
      <c r="Y171" s="2"/>
      <c r="AE171" s="2"/>
      <c r="AF171" s="2"/>
      <c r="AG171" s="2"/>
      <c r="AH171" s="2"/>
      <c r="AI171" s="2"/>
    </row>
    <row r="172" spans="1:35" ht="12.75" customHeight="1">
      <c r="A172" s="155"/>
      <c r="B172" s="154"/>
      <c r="C172" s="154"/>
      <c r="D172" s="154"/>
      <c r="E172" s="154"/>
      <c r="F172" s="154"/>
      <c r="G172" s="147"/>
      <c r="H172" s="147"/>
      <c r="I172" s="147"/>
      <c r="J172" s="147"/>
      <c r="K172" s="147"/>
      <c r="M172" s="154"/>
      <c r="N172" s="154"/>
      <c r="O172" s="154"/>
      <c r="P172" s="154"/>
      <c r="V172" s="2"/>
      <c r="W172" s="2"/>
      <c r="X172" s="2"/>
      <c r="Y172" s="2"/>
      <c r="AE172" s="2"/>
      <c r="AF172" s="2"/>
      <c r="AG172" s="2"/>
      <c r="AH172" s="2"/>
      <c r="AI172" s="2"/>
    </row>
    <row r="173" spans="1:35" ht="12.75" customHeight="1">
      <c r="A173" s="155"/>
      <c r="B173" s="154"/>
      <c r="C173" s="154"/>
      <c r="D173" s="154"/>
      <c r="E173" s="154"/>
      <c r="F173" s="158"/>
      <c r="G173" s="147"/>
      <c r="H173" s="147"/>
      <c r="I173" s="147"/>
      <c r="J173" s="147"/>
      <c r="K173" s="147"/>
      <c r="M173" s="154"/>
      <c r="N173" s="154"/>
      <c r="O173" s="154"/>
      <c r="P173" s="154"/>
      <c r="V173" s="2"/>
      <c r="W173" s="2"/>
      <c r="X173" s="2"/>
      <c r="Y173" s="2"/>
      <c r="AE173" s="2"/>
      <c r="AF173" s="2"/>
      <c r="AG173" s="2"/>
      <c r="AH173" s="2"/>
      <c r="AI173" s="2"/>
    </row>
    <row r="174" spans="1:35" ht="12.75" customHeight="1">
      <c r="A174" s="155"/>
      <c r="B174" s="154"/>
      <c r="C174" s="154"/>
      <c r="D174" s="154"/>
      <c r="E174" s="154"/>
      <c r="F174" s="154"/>
      <c r="G174" s="147"/>
      <c r="H174" s="147"/>
      <c r="I174" s="147"/>
      <c r="J174" s="147"/>
      <c r="K174" s="147"/>
      <c r="M174" s="157"/>
      <c r="N174" s="157"/>
      <c r="O174" s="157"/>
      <c r="P174" s="157"/>
      <c r="V174" s="2"/>
      <c r="W174" s="2"/>
      <c r="X174" s="2"/>
      <c r="Y174" s="2"/>
      <c r="AE174" s="2"/>
      <c r="AF174" s="2"/>
      <c r="AG174" s="2"/>
      <c r="AH174" s="2"/>
      <c r="AI174" s="2"/>
    </row>
    <row r="175" spans="1:35" ht="12.75" customHeight="1">
      <c r="A175" s="155"/>
      <c r="B175" s="154"/>
      <c r="C175" s="154"/>
      <c r="D175" s="154"/>
      <c r="E175" s="154"/>
      <c r="F175" s="159"/>
      <c r="G175" s="147"/>
      <c r="H175" s="147"/>
      <c r="I175" s="147"/>
      <c r="J175" s="147"/>
      <c r="K175" s="147"/>
      <c r="M175" s="161"/>
      <c r="N175" s="161"/>
      <c r="O175" s="161"/>
      <c r="P175" s="161"/>
      <c r="V175" s="2"/>
      <c r="W175" s="2"/>
      <c r="X175" s="2"/>
      <c r="Y175" s="2"/>
      <c r="AE175" s="2"/>
      <c r="AF175" s="2"/>
      <c r="AG175" s="2"/>
      <c r="AH175" s="2"/>
      <c r="AI175" s="2"/>
    </row>
    <row r="176" spans="1:35" ht="12.75" customHeight="1">
      <c r="A176" s="155"/>
      <c r="B176" s="154"/>
      <c r="C176" s="154"/>
      <c r="D176" s="154"/>
      <c r="E176" s="154"/>
      <c r="F176" s="154"/>
      <c r="G176" s="150"/>
      <c r="H176" s="150"/>
      <c r="I176" s="150"/>
      <c r="J176" s="150"/>
      <c r="K176" s="150"/>
      <c r="M176" s="162"/>
      <c r="N176" s="162"/>
      <c r="O176" s="162"/>
      <c r="P176" s="162"/>
      <c r="V176" s="2"/>
      <c r="W176" s="2"/>
      <c r="X176" s="2"/>
      <c r="Y176" s="2"/>
      <c r="AE176" s="2"/>
      <c r="AF176" s="2"/>
      <c r="AG176" s="2"/>
      <c r="AH176" s="2"/>
      <c r="AI176" s="2"/>
    </row>
    <row r="177" spans="1:35" ht="12.75" customHeight="1">
      <c r="A177" s="155"/>
      <c r="B177" s="154"/>
      <c r="C177" s="154"/>
      <c r="D177" s="154"/>
      <c r="E177" s="154"/>
      <c r="F177" s="154"/>
      <c r="G177" s="150"/>
      <c r="H177" s="150"/>
      <c r="I177" s="150"/>
      <c r="J177" s="150"/>
      <c r="K177" s="150"/>
      <c r="M177" s="161"/>
      <c r="N177" s="161"/>
      <c r="O177" s="161"/>
      <c r="P177" s="161"/>
      <c r="V177" s="2"/>
      <c r="W177" s="2"/>
      <c r="X177" s="2"/>
      <c r="Y177" s="2"/>
      <c r="AE177" s="2"/>
      <c r="AF177" s="2"/>
      <c r="AG177" s="2"/>
      <c r="AH177" s="2"/>
      <c r="AI177" s="2"/>
    </row>
    <row r="178" spans="1:35" ht="12.75" customHeight="1">
      <c r="A178" s="155"/>
      <c r="B178" s="154"/>
      <c r="C178" s="154"/>
      <c r="D178" s="154"/>
      <c r="E178" s="154"/>
      <c r="F178" s="157"/>
      <c r="G178" s="154"/>
      <c r="H178" s="154"/>
      <c r="I178" s="154"/>
      <c r="J178" s="154"/>
      <c r="K178" s="154"/>
      <c r="M178" s="161"/>
      <c r="N178" s="161"/>
      <c r="O178" s="161"/>
      <c r="P178" s="161"/>
      <c r="V178" s="2"/>
      <c r="W178" s="2"/>
      <c r="X178" s="2"/>
      <c r="Y178" s="2"/>
      <c r="AE178" s="2"/>
      <c r="AF178" s="2"/>
      <c r="AG178" s="2"/>
      <c r="AH178" s="2"/>
      <c r="AI178" s="2"/>
    </row>
    <row r="179" spans="1:35" ht="12.75" customHeight="1">
      <c r="A179" s="152"/>
      <c r="B179" s="160"/>
      <c r="C179" s="160"/>
      <c r="D179" s="160"/>
      <c r="E179" s="161"/>
      <c r="F179" s="161"/>
      <c r="G179" s="156"/>
      <c r="H179" s="156"/>
      <c r="I179" s="156"/>
      <c r="J179" s="156"/>
      <c r="K179" s="156"/>
      <c r="M179" s="163"/>
      <c r="N179" s="163"/>
      <c r="O179" s="163"/>
      <c r="P179" s="163"/>
      <c r="V179" s="2"/>
      <c r="W179" s="2"/>
      <c r="X179" s="2"/>
      <c r="Y179" s="2"/>
      <c r="AE179" s="2"/>
      <c r="AF179" s="2"/>
      <c r="AG179" s="2"/>
      <c r="AH179" s="2"/>
      <c r="AI179" s="2"/>
    </row>
    <row r="180" spans="1:35" ht="12.75" customHeight="1">
      <c r="A180" s="152"/>
      <c r="B180" s="160"/>
      <c r="C180" s="160"/>
      <c r="D180" s="160"/>
      <c r="E180" s="161"/>
      <c r="F180" s="162"/>
      <c r="G180" s="154"/>
      <c r="H180" s="154"/>
      <c r="I180" s="154"/>
      <c r="J180" s="154"/>
      <c r="K180" s="154"/>
      <c r="M180" s="164"/>
      <c r="N180" s="164"/>
      <c r="O180" s="164"/>
      <c r="P180" s="164"/>
      <c r="V180" s="2"/>
      <c r="W180" s="2"/>
      <c r="X180" s="2"/>
      <c r="Y180" s="2"/>
      <c r="AE180" s="2"/>
      <c r="AF180" s="2"/>
      <c r="AG180" s="2"/>
      <c r="AH180" s="2"/>
      <c r="AI180" s="2"/>
    </row>
    <row r="181" spans="1:35" ht="12.75" customHeight="1">
      <c r="A181" s="2"/>
      <c r="B181" s="160"/>
      <c r="C181" s="160"/>
      <c r="D181" s="160"/>
      <c r="E181" s="161"/>
      <c r="F181" s="161"/>
      <c r="G181" s="157"/>
      <c r="H181" s="157"/>
      <c r="I181" s="157"/>
      <c r="J181" s="157"/>
      <c r="K181" s="157"/>
      <c r="M181" s="154"/>
      <c r="N181" s="154"/>
      <c r="O181" s="154"/>
      <c r="P181" s="154"/>
      <c r="V181" s="2"/>
      <c r="W181" s="2"/>
      <c r="X181" s="2"/>
      <c r="Y181" s="2"/>
      <c r="AE181" s="2"/>
      <c r="AF181" s="2"/>
      <c r="AG181" s="2"/>
      <c r="AH181" s="2"/>
      <c r="AI181" s="2"/>
    </row>
    <row r="182" spans="1:35" ht="12.75" customHeight="1">
      <c r="A182" s="2"/>
      <c r="B182" s="160"/>
      <c r="C182" s="160"/>
      <c r="D182" s="160"/>
      <c r="E182" s="161"/>
      <c r="F182" s="161"/>
      <c r="G182" s="154"/>
      <c r="H182" s="154"/>
      <c r="I182" s="154"/>
      <c r="J182" s="154"/>
      <c r="K182" s="154"/>
      <c r="M182" s="154"/>
      <c r="N182" s="154"/>
      <c r="O182" s="154"/>
      <c r="P182" s="154"/>
      <c r="V182" s="2"/>
      <c r="W182" s="2"/>
      <c r="X182" s="2"/>
      <c r="Y182" s="2"/>
      <c r="AE182" s="2"/>
      <c r="AF182" s="2"/>
      <c r="AG182" s="2"/>
      <c r="AH182" s="2"/>
      <c r="AI182" s="2"/>
    </row>
    <row r="183" spans="1:35" ht="12.75" customHeight="1">
      <c r="A183" s="2"/>
      <c r="B183" s="161"/>
      <c r="C183" s="161"/>
      <c r="D183" s="161"/>
      <c r="E183" s="161"/>
      <c r="F183" s="163"/>
      <c r="G183" s="158"/>
      <c r="H183" s="158"/>
      <c r="I183" s="158"/>
      <c r="J183" s="158"/>
      <c r="K183" s="158"/>
      <c r="M183" s="156"/>
      <c r="N183" s="156"/>
      <c r="O183" s="156"/>
      <c r="P183" s="156"/>
      <c r="V183" s="2"/>
      <c r="W183" s="2"/>
      <c r="X183" s="2"/>
      <c r="Y183" s="2"/>
      <c r="AE183" s="2"/>
      <c r="AF183" s="2"/>
      <c r="AG183" s="2"/>
      <c r="AH183" s="2"/>
      <c r="AI183" s="2"/>
    </row>
    <row r="184" spans="1:35" ht="12.75" customHeight="1">
      <c r="A184" s="2"/>
      <c r="B184" s="154"/>
      <c r="C184" s="154"/>
      <c r="D184" s="154"/>
      <c r="E184" s="154"/>
      <c r="F184" s="164"/>
      <c r="G184" s="154"/>
      <c r="H184" s="154"/>
      <c r="I184" s="154"/>
      <c r="J184" s="154"/>
      <c r="K184" s="154"/>
      <c r="M184" s="154"/>
      <c r="N184" s="154"/>
      <c r="O184" s="154"/>
      <c r="P184" s="154"/>
      <c r="V184" s="2"/>
      <c r="W184" s="2"/>
      <c r="X184" s="2"/>
      <c r="Y184" s="2"/>
      <c r="AE184" s="2"/>
      <c r="AF184" s="2"/>
      <c r="AG184" s="2"/>
      <c r="AH184" s="2"/>
      <c r="AI184" s="2"/>
    </row>
    <row r="185" spans="1:35" ht="12.75" customHeight="1">
      <c r="A185" s="2"/>
      <c r="B185" s="153"/>
      <c r="C185" s="153"/>
      <c r="D185" s="153"/>
      <c r="E185" s="153"/>
      <c r="F185" s="154"/>
      <c r="G185" s="159"/>
      <c r="H185" s="159"/>
      <c r="I185" s="159"/>
      <c r="J185" s="159"/>
      <c r="K185" s="159"/>
      <c r="M185" s="157"/>
      <c r="N185" s="157"/>
      <c r="O185" s="157"/>
      <c r="P185" s="157"/>
      <c r="V185" s="2"/>
      <c r="W185" s="2"/>
      <c r="X185" s="2"/>
      <c r="Y185" s="2"/>
      <c r="AE185" s="2"/>
      <c r="AF185" s="2"/>
      <c r="AG185" s="2"/>
      <c r="AH185" s="2"/>
      <c r="AI185" s="2"/>
    </row>
    <row r="186" spans="1:35" ht="12.75" customHeight="1">
      <c r="A186" s="2"/>
      <c r="B186" s="153"/>
      <c r="C186" s="153"/>
      <c r="D186" s="153"/>
      <c r="E186" s="153"/>
      <c r="F186" s="154"/>
      <c r="G186" s="154"/>
      <c r="H186" s="154"/>
      <c r="I186" s="154"/>
      <c r="J186" s="154"/>
      <c r="K186" s="154"/>
      <c r="M186" s="154"/>
      <c r="N186" s="154"/>
      <c r="O186" s="154"/>
      <c r="P186" s="154"/>
      <c r="V186" s="2"/>
      <c r="W186" s="2"/>
      <c r="X186" s="2"/>
      <c r="Y186" s="2"/>
      <c r="AE186" s="2"/>
      <c r="AF186" s="2"/>
      <c r="AG186" s="2"/>
      <c r="AH186" s="2"/>
      <c r="AI186" s="2"/>
    </row>
    <row r="187" spans="1:35" ht="12.75" customHeight="1">
      <c r="A187" s="166"/>
      <c r="B187" s="154"/>
      <c r="C187" s="154"/>
      <c r="D187" s="154"/>
      <c r="E187" s="154"/>
      <c r="F187" s="156"/>
      <c r="G187" s="154"/>
      <c r="H187" s="154"/>
      <c r="I187" s="154"/>
      <c r="J187" s="154"/>
      <c r="K187" s="154"/>
      <c r="M187" s="158"/>
      <c r="N187" s="158"/>
      <c r="O187" s="158"/>
      <c r="P187" s="158"/>
      <c r="V187" s="2"/>
      <c r="W187" s="2"/>
      <c r="X187" s="2"/>
      <c r="Y187" s="2"/>
      <c r="AE187" s="2"/>
      <c r="AF187" s="2"/>
      <c r="AG187" s="2"/>
      <c r="AH187" s="2"/>
      <c r="AI187" s="2"/>
    </row>
    <row r="188" spans="1:35" ht="12.75" customHeight="1">
      <c r="A188" s="166"/>
      <c r="B188" s="154"/>
      <c r="C188" s="154"/>
      <c r="D188" s="154"/>
      <c r="E188" s="154"/>
      <c r="F188" s="154"/>
      <c r="G188" s="157"/>
      <c r="H188" s="157"/>
      <c r="I188" s="157"/>
      <c r="J188" s="157"/>
      <c r="K188" s="157"/>
      <c r="M188" s="154"/>
      <c r="N188" s="154"/>
      <c r="O188" s="154"/>
      <c r="P188" s="154"/>
      <c r="V188" s="2"/>
      <c r="W188" s="2"/>
      <c r="X188" s="2"/>
      <c r="Y188" s="2"/>
      <c r="AE188" s="2"/>
      <c r="AF188" s="2"/>
      <c r="AG188" s="2"/>
      <c r="AH188" s="2"/>
      <c r="AI188" s="2"/>
    </row>
    <row r="189" spans="1:35" ht="12.75" customHeight="1">
      <c r="A189" s="166"/>
      <c r="B189" s="154"/>
      <c r="C189" s="154"/>
      <c r="D189" s="154"/>
      <c r="E189" s="154"/>
      <c r="F189" s="157"/>
      <c r="G189" s="161"/>
      <c r="H189" s="161"/>
      <c r="I189" s="161"/>
      <c r="J189" s="161"/>
      <c r="K189" s="161"/>
      <c r="M189" s="159"/>
      <c r="N189" s="159"/>
      <c r="O189" s="159"/>
      <c r="P189" s="159"/>
      <c r="V189" s="2"/>
      <c r="W189" s="2"/>
      <c r="X189" s="2"/>
      <c r="Y189" s="2"/>
      <c r="AE189" s="2"/>
      <c r="AF189" s="2"/>
      <c r="AG189" s="2"/>
      <c r="AH189" s="2"/>
      <c r="AI189" s="2"/>
    </row>
    <row r="190" spans="1:35" ht="12.75" customHeight="1">
      <c r="A190" s="166"/>
      <c r="B190" s="154"/>
      <c r="C190" s="154"/>
      <c r="D190" s="154"/>
      <c r="E190" s="154"/>
      <c r="F190" s="154"/>
      <c r="G190" s="162"/>
      <c r="H190" s="162"/>
      <c r="I190" s="162"/>
      <c r="J190" s="162"/>
      <c r="K190" s="162"/>
      <c r="M190" s="154"/>
      <c r="N190" s="154"/>
      <c r="O190" s="154"/>
      <c r="P190" s="154"/>
      <c r="V190" s="2"/>
      <c r="W190" s="2"/>
      <c r="X190" s="2"/>
      <c r="Y190" s="2"/>
      <c r="AE190" s="2"/>
      <c r="AF190" s="2"/>
      <c r="AG190" s="2"/>
      <c r="AH190" s="2"/>
      <c r="AI190" s="2"/>
    </row>
    <row r="191" spans="1:35" ht="12.75" customHeight="1">
      <c r="A191" s="170"/>
      <c r="B191" s="154"/>
      <c r="C191" s="154"/>
      <c r="D191" s="154"/>
      <c r="E191" s="154"/>
      <c r="F191" s="158"/>
      <c r="G191" s="161"/>
      <c r="H191" s="161"/>
      <c r="I191" s="161"/>
      <c r="J191" s="161"/>
      <c r="K191" s="161"/>
      <c r="M191" s="154"/>
      <c r="N191" s="154"/>
      <c r="O191" s="154"/>
      <c r="P191" s="154"/>
      <c r="V191" s="2"/>
      <c r="W191" s="2"/>
      <c r="X191" s="2"/>
      <c r="Y191" s="2"/>
      <c r="AE191" s="2"/>
      <c r="AF191" s="2"/>
      <c r="AG191" s="2"/>
      <c r="AH191" s="2"/>
      <c r="AI191" s="2"/>
    </row>
    <row r="192" spans="1:35" ht="12.75" customHeight="1">
      <c r="A192" s="170"/>
      <c r="B192" s="154"/>
      <c r="C192" s="154"/>
      <c r="D192" s="154"/>
      <c r="E192" s="154"/>
      <c r="F192" s="154"/>
      <c r="G192" s="161"/>
      <c r="H192" s="161"/>
      <c r="I192" s="161"/>
      <c r="J192" s="161"/>
      <c r="K192" s="161"/>
      <c r="M192" s="157"/>
      <c r="N192" s="157"/>
      <c r="O192" s="157"/>
      <c r="P192" s="157"/>
      <c r="V192" s="2"/>
      <c r="W192" s="2"/>
      <c r="X192" s="2"/>
      <c r="Y192" s="2"/>
      <c r="AE192" s="2"/>
      <c r="AF192" s="2"/>
      <c r="AG192" s="2"/>
      <c r="AH192" s="2"/>
      <c r="AI192" s="2"/>
    </row>
    <row r="193" spans="1:35" ht="12.75" customHeight="1">
      <c r="A193" s="152"/>
      <c r="B193" s="154"/>
      <c r="C193" s="154"/>
      <c r="D193" s="154"/>
      <c r="E193" s="154"/>
      <c r="F193" s="159"/>
      <c r="G193" s="163"/>
      <c r="H193" s="163"/>
      <c r="I193" s="163"/>
      <c r="J193" s="163"/>
      <c r="K193" s="163"/>
      <c r="M193" s="154"/>
      <c r="N193" s="154"/>
      <c r="O193" s="154"/>
      <c r="P193" s="154"/>
      <c r="V193" s="2"/>
      <c r="W193" s="2"/>
      <c r="X193" s="2"/>
      <c r="Y193" s="2"/>
      <c r="AE193" s="2"/>
      <c r="AF193" s="2"/>
      <c r="AG193" s="2"/>
      <c r="AH193" s="2"/>
      <c r="AI193" s="2"/>
    </row>
    <row r="194" spans="1:35" ht="12.75" customHeight="1">
      <c r="A194" s="172"/>
      <c r="B194" s="154"/>
      <c r="C194" s="154"/>
      <c r="D194" s="154"/>
      <c r="E194" s="154"/>
      <c r="F194" s="154"/>
      <c r="G194" s="164"/>
      <c r="H194" s="164"/>
      <c r="I194" s="164"/>
      <c r="J194" s="164"/>
      <c r="K194" s="164"/>
      <c r="M194" s="156"/>
      <c r="N194" s="156"/>
      <c r="O194" s="156"/>
      <c r="P194" s="156"/>
      <c r="V194" s="2"/>
      <c r="W194" s="2"/>
      <c r="X194" s="2"/>
      <c r="Y194" s="2"/>
      <c r="AE194" s="2"/>
      <c r="AF194" s="2"/>
      <c r="AG194" s="2"/>
      <c r="AH194" s="2"/>
      <c r="AI194" s="2"/>
    </row>
    <row r="195" spans="1:35" ht="12.75" customHeight="1">
      <c r="A195" s="172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M195" s="154"/>
      <c r="N195" s="154"/>
      <c r="O195" s="154"/>
      <c r="P195" s="154"/>
      <c r="V195" s="2"/>
      <c r="W195" s="2"/>
      <c r="X195" s="2"/>
      <c r="Y195" s="2"/>
      <c r="AE195" s="2"/>
      <c r="AF195" s="2"/>
      <c r="AG195" s="2"/>
      <c r="AH195" s="2"/>
      <c r="AI195" s="2"/>
    </row>
    <row r="196" spans="1:35" ht="12.75" customHeight="1">
      <c r="A196" s="172"/>
      <c r="B196" s="154"/>
      <c r="C196" s="154"/>
      <c r="D196" s="154"/>
      <c r="E196" s="154"/>
      <c r="F196" s="157"/>
      <c r="G196" s="154"/>
      <c r="H196" s="154"/>
      <c r="I196" s="154"/>
      <c r="J196" s="154"/>
      <c r="K196" s="154"/>
      <c r="M196" s="154"/>
      <c r="N196" s="154"/>
      <c r="O196" s="154"/>
      <c r="P196" s="154"/>
      <c r="V196" s="2"/>
      <c r="W196" s="2"/>
      <c r="X196" s="2"/>
      <c r="Y196" s="2"/>
      <c r="AE196" s="2"/>
      <c r="AF196" s="2"/>
      <c r="AG196" s="2"/>
      <c r="AH196" s="2"/>
      <c r="AI196" s="2"/>
    </row>
    <row r="197" spans="1:35" ht="12.75" customHeight="1">
      <c r="A197" s="2"/>
      <c r="B197" s="154"/>
      <c r="C197" s="154"/>
      <c r="D197" s="154"/>
      <c r="E197" s="154"/>
      <c r="F197" s="154"/>
      <c r="G197" s="156"/>
      <c r="H197" s="156"/>
      <c r="I197" s="156"/>
      <c r="J197" s="156"/>
      <c r="K197" s="156"/>
      <c r="M197" s="164"/>
      <c r="N197" s="164"/>
      <c r="O197" s="164"/>
      <c r="P197" s="164"/>
      <c r="V197" s="2"/>
      <c r="W197" s="2"/>
      <c r="X197" s="2"/>
      <c r="Y197" s="2"/>
      <c r="AE197" s="2"/>
      <c r="AF197" s="2"/>
      <c r="AG197" s="2"/>
      <c r="AH197" s="2"/>
      <c r="AI197" s="2"/>
    </row>
    <row r="198" spans="1:35" ht="12.75" customHeight="1">
      <c r="A198" s="172"/>
      <c r="B198" s="154"/>
      <c r="C198" s="154"/>
      <c r="D198" s="154"/>
      <c r="E198" s="154"/>
      <c r="F198" s="156"/>
      <c r="G198" s="154"/>
      <c r="H198" s="154"/>
      <c r="I198" s="154"/>
      <c r="J198" s="154"/>
      <c r="K198" s="154"/>
      <c r="M198" s="154"/>
      <c r="N198" s="154"/>
      <c r="O198" s="154"/>
      <c r="P198" s="154"/>
      <c r="V198" s="2"/>
      <c r="W198" s="2"/>
      <c r="X198" s="2"/>
      <c r="Y198" s="2"/>
      <c r="AE198" s="2"/>
      <c r="AF198" s="2"/>
      <c r="AG198" s="2"/>
      <c r="AH198" s="2"/>
      <c r="AI198" s="2"/>
    </row>
    <row r="199" spans="1:35" ht="12.75" customHeight="1">
      <c r="A199" s="172"/>
      <c r="B199" s="154"/>
      <c r="C199" s="154"/>
      <c r="D199" s="154"/>
      <c r="E199" s="154"/>
      <c r="F199" s="154"/>
      <c r="G199" s="157"/>
      <c r="H199" s="157"/>
      <c r="I199" s="157"/>
      <c r="J199" s="157"/>
      <c r="K199" s="157"/>
      <c r="M199" s="164"/>
      <c r="N199" s="164"/>
      <c r="O199" s="164"/>
      <c r="P199" s="164"/>
      <c r="V199" s="2"/>
      <c r="W199" s="2"/>
      <c r="X199" s="2"/>
      <c r="Y199" s="2"/>
      <c r="AE199" s="2"/>
      <c r="AF199" s="2"/>
      <c r="AG199" s="2"/>
      <c r="AH199" s="2"/>
      <c r="AI199" s="2"/>
    </row>
    <row r="200" spans="1:35" ht="12.75" customHeight="1">
      <c r="A200" s="172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M200" s="154"/>
      <c r="N200" s="154"/>
      <c r="O200" s="154"/>
      <c r="P200" s="154"/>
      <c r="V200" s="2"/>
      <c r="W200" s="2"/>
      <c r="X200" s="2"/>
      <c r="Y200" s="2"/>
      <c r="AE200" s="2"/>
      <c r="AF200" s="2"/>
      <c r="AG200" s="2"/>
      <c r="AH200" s="2"/>
      <c r="AI200" s="2"/>
    </row>
    <row r="201" spans="1:35" ht="12.75" customHeight="1">
      <c r="A201" s="172"/>
      <c r="B201" s="154"/>
      <c r="C201" s="154"/>
      <c r="D201" s="154"/>
      <c r="E201" s="165"/>
      <c r="F201" s="164"/>
      <c r="G201" s="158"/>
      <c r="H201" s="158"/>
      <c r="I201" s="158"/>
      <c r="J201" s="158"/>
      <c r="K201" s="158"/>
      <c r="M201" s="154"/>
      <c r="N201" s="154"/>
      <c r="O201" s="154"/>
      <c r="P201" s="154"/>
      <c r="V201" s="2"/>
      <c r="W201" s="2"/>
      <c r="X201" s="2"/>
      <c r="Y201" s="2"/>
      <c r="AE201" s="2"/>
      <c r="AF201" s="2"/>
      <c r="AG201" s="2"/>
      <c r="AH201" s="2"/>
      <c r="AI201" s="2"/>
    </row>
    <row r="202" spans="1:35" ht="12.75" customHeight="1">
      <c r="A202" s="172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M202" s="2"/>
      <c r="N202" s="2"/>
      <c r="O202" s="2"/>
      <c r="P202" s="2"/>
      <c r="V202" s="2"/>
      <c r="W202" s="2"/>
      <c r="X202" s="2"/>
      <c r="Y202" s="2"/>
      <c r="AE202" s="2"/>
      <c r="AF202" s="2"/>
      <c r="AG202" s="2"/>
      <c r="AH202" s="2"/>
      <c r="AI202" s="2"/>
    </row>
    <row r="203" spans="1:35" ht="12.75" customHeight="1">
      <c r="A203" s="172"/>
      <c r="B203" s="154"/>
      <c r="C203" s="154"/>
      <c r="D203" s="154"/>
      <c r="E203" s="154"/>
      <c r="F203" s="164"/>
      <c r="G203" s="159"/>
      <c r="H203" s="159"/>
      <c r="I203" s="159"/>
      <c r="J203" s="159"/>
      <c r="K203" s="159"/>
      <c r="M203" s="2"/>
      <c r="N203" s="2"/>
      <c r="O203" s="2"/>
      <c r="P203" s="2"/>
      <c r="V203" s="2"/>
      <c r="W203" s="2"/>
      <c r="X203" s="2"/>
      <c r="Y203" s="2"/>
      <c r="AE203" s="2"/>
      <c r="AF203" s="2"/>
      <c r="AG203" s="2"/>
      <c r="AH203" s="2"/>
      <c r="AI203" s="2"/>
    </row>
    <row r="204" spans="1:35" ht="12.75" customHeight="1">
      <c r="A204" s="172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M204" s="2"/>
      <c r="N204" s="2"/>
      <c r="O204" s="2"/>
      <c r="P204" s="2"/>
      <c r="V204" s="2"/>
      <c r="W204" s="2"/>
      <c r="X204" s="2"/>
      <c r="Y204" s="2"/>
      <c r="AE204" s="2"/>
      <c r="AF204" s="2"/>
      <c r="AG204" s="2"/>
      <c r="AH204" s="2"/>
      <c r="AI204" s="2"/>
    </row>
    <row r="205" spans="1:35" ht="12.75" customHeight="1">
      <c r="A205" s="172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M205" s="2"/>
      <c r="N205" s="2"/>
      <c r="O205" s="2"/>
      <c r="P205" s="2"/>
      <c r="V205" s="2"/>
      <c r="W205" s="2"/>
      <c r="X205" s="2"/>
      <c r="Y205" s="2"/>
      <c r="AE205" s="2"/>
      <c r="AF205" s="2"/>
      <c r="AG205" s="2"/>
      <c r="AH205" s="2"/>
      <c r="AI205" s="2"/>
    </row>
    <row r="206" spans="1:35" ht="12.75" customHeight="1">
      <c r="A206" s="172"/>
      <c r="B206" s="2"/>
      <c r="C206" s="2"/>
      <c r="D206" s="2"/>
      <c r="E206" s="2"/>
      <c r="F206" s="2"/>
      <c r="G206" s="157"/>
      <c r="H206" s="157"/>
      <c r="I206" s="157"/>
      <c r="J206" s="157"/>
      <c r="K206" s="157"/>
      <c r="M206" s="2"/>
      <c r="N206" s="2"/>
      <c r="O206" s="2"/>
      <c r="P206" s="2"/>
      <c r="V206" s="2"/>
      <c r="W206" s="2"/>
      <c r="X206" s="2"/>
      <c r="Y206" s="2"/>
      <c r="AE206" s="2"/>
      <c r="AF206" s="2"/>
      <c r="AG206" s="2"/>
      <c r="AH206" s="2"/>
      <c r="AI206" s="2"/>
    </row>
    <row r="207" spans="1:35" ht="12.75" customHeight="1">
      <c r="A207" s="172"/>
      <c r="B207" s="2"/>
      <c r="C207" s="2"/>
      <c r="D207" s="2"/>
      <c r="E207" s="2"/>
      <c r="F207" s="2"/>
      <c r="G207" s="154"/>
      <c r="H207" s="154"/>
      <c r="I207" s="154"/>
      <c r="J207" s="154"/>
      <c r="K207" s="154"/>
      <c r="M207" s="2"/>
      <c r="N207" s="2"/>
      <c r="O207" s="2"/>
      <c r="P207" s="2"/>
      <c r="V207" s="2"/>
      <c r="W207" s="2"/>
      <c r="X207" s="2"/>
      <c r="Y207" s="2"/>
      <c r="AE207" s="2"/>
      <c r="AF207" s="2"/>
      <c r="AG207" s="2"/>
      <c r="AH207" s="2"/>
      <c r="AI207" s="2"/>
    </row>
    <row r="208" spans="1:35" ht="12.75" customHeight="1">
      <c r="A208" s="172"/>
      <c r="B208" s="2"/>
      <c r="C208" s="2"/>
      <c r="D208" s="2"/>
      <c r="E208" s="2"/>
      <c r="F208" s="2"/>
      <c r="G208" s="156"/>
      <c r="H208" s="156"/>
      <c r="I208" s="156"/>
      <c r="J208" s="156"/>
      <c r="K208" s="156"/>
      <c r="M208" s="168"/>
      <c r="N208" s="168"/>
      <c r="O208" s="168"/>
      <c r="P208" s="168"/>
      <c r="V208" s="2"/>
      <c r="W208" s="2"/>
      <c r="X208" s="2"/>
      <c r="Y208" s="2"/>
      <c r="AE208" s="2"/>
      <c r="AF208" s="2"/>
      <c r="AG208" s="2"/>
      <c r="AH208" s="2"/>
      <c r="AI208" s="2"/>
    </row>
    <row r="209" spans="1:35" ht="12.75" customHeight="1">
      <c r="A209" s="170"/>
      <c r="B209" s="2"/>
      <c r="C209" s="2"/>
      <c r="D209" s="2"/>
      <c r="E209" s="2"/>
      <c r="F209" s="2"/>
      <c r="G209" s="154"/>
      <c r="H209" s="154"/>
      <c r="I209" s="154"/>
      <c r="J209" s="154"/>
      <c r="K209" s="154"/>
      <c r="M209" s="168"/>
      <c r="N209" s="168"/>
      <c r="O209" s="168"/>
      <c r="P209" s="168"/>
      <c r="V209" s="2"/>
      <c r="W209" s="2"/>
      <c r="X209" s="2"/>
      <c r="Y209" s="2"/>
      <c r="AE209" s="2"/>
      <c r="AF209" s="2"/>
      <c r="AG209" s="2"/>
      <c r="AH209" s="2"/>
      <c r="AI209" s="2"/>
    </row>
    <row r="210" spans="1:35" ht="12.75" customHeight="1">
      <c r="A210" s="2"/>
      <c r="B210" s="2"/>
      <c r="C210" s="2"/>
      <c r="D210" s="2"/>
      <c r="E210" s="2"/>
      <c r="F210" s="2"/>
      <c r="G210" s="154"/>
      <c r="H210" s="154"/>
      <c r="I210" s="154"/>
      <c r="J210" s="154"/>
      <c r="K210" s="154"/>
      <c r="M210" s="168"/>
      <c r="N210" s="168"/>
      <c r="O210" s="168"/>
      <c r="P210" s="168"/>
      <c r="V210" s="2"/>
      <c r="W210" s="2"/>
      <c r="X210" s="2"/>
      <c r="Y210" s="2"/>
      <c r="AE210" s="2"/>
      <c r="AF210" s="2"/>
      <c r="AG210" s="2"/>
      <c r="AH210" s="2"/>
      <c r="AI210" s="2"/>
    </row>
    <row r="211" spans="1:35" ht="12.75" customHeight="1">
      <c r="A211" s="2"/>
      <c r="B211" s="2"/>
      <c r="C211" s="2"/>
      <c r="D211" s="2"/>
      <c r="E211" s="2"/>
      <c r="F211" s="2"/>
      <c r="G211" s="164"/>
      <c r="H211" s="164"/>
      <c r="I211" s="164"/>
      <c r="J211" s="164"/>
      <c r="K211" s="164"/>
      <c r="M211" s="168"/>
      <c r="N211" s="168"/>
      <c r="O211" s="168"/>
      <c r="P211" s="168"/>
      <c r="V211" s="2"/>
      <c r="W211" s="2"/>
      <c r="X211" s="2"/>
      <c r="Y211" s="2"/>
      <c r="AE211" s="2"/>
      <c r="AF211" s="2"/>
      <c r="AG211" s="2"/>
      <c r="AH211" s="2"/>
      <c r="AI211" s="2"/>
    </row>
    <row r="212" spans="1:35" ht="12.75" customHeight="1">
      <c r="A212" s="2"/>
      <c r="B212" s="167"/>
      <c r="C212" s="167"/>
      <c r="D212" s="167"/>
      <c r="E212" s="166"/>
      <c r="F212" s="168"/>
      <c r="G212" s="154"/>
      <c r="H212" s="154"/>
      <c r="I212" s="154"/>
      <c r="J212" s="154"/>
      <c r="K212" s="154"/>
      <c r="M212" s="2"/>
      <c r="N212" s="2"/>
      <c r="O212" s="2"/>
      <c r="P212" s="2"/>
      <c r="V212" s="2"/>
      <c r="W212" s="2"/>
      <c r="X212" s="2"/>
      <c r="Y212" s="2"/>
      <c r="AE212" s="2"/>
      <c r="AF212" s="2"/>
      <c r="AG212" s="2"/>
      <c r="AH212" s="2"/>
      <c r="AI212" s="2"/>
    </row>
    <row r="213" spans="1:35" ht="12.75" customHeight="1">
      <c r="A213" s="2"/>
      <c r="B213" s="167"/>
      <c r="C213" s="167"/>
      <c r="D213" s="167"/>
      <c r="E213" s="166"/>
      <c r="F213" s="168"/>
      <c r="G213" s="164"/>
      <c r="H213" s="164"/>
      <c r="I213" s="164"/>
      <c r="J213" s="164"/>
      <c r="K213" s="164"/>
      <c r="M213" s="2"/>
      <c r="N213" s="2"/>
      <c r="O213" s="2"/>
      <c r="P213" s="2"/>
      <c r="V213" s="2"/>
      <c r="W213" s="2"/>
      <c r="X213" s="2"/>
      <c r="Y213" s="2"/>
      <c r="AE213" s="2"/>
      <c r="AF213" s="2"/>
      <c r="AG213" s="2"/>
      <c r="AH213" s="2"/>
      <c r="AI213" s="2"/>
    </row>
    <row r="214" spans="1:35" ht="12.75" customHeight="1">
      <c r="A214" s="2"/>
      <c r="B214" s="169"/>
      <c r="C214" s="169"/>
      <c r="D214" s="169"/>
      <c r="E214" s="166"/>
      <c r="F214" s="168"/>
      <c r="G214" s="154"/>
      <c r="H214" s="154"/>
      <c r="I214" s="154"/>
      <c r="J214" s="154"/>
      <c r="K214" s="154"/>
      <c r="M214" s="2"/>
      <c r="N214" s="2"/>
      <c r="O214" s="2"/>
      <c r="P214" s="2"/>
      <c r="V214" s="2"/>
      <c r="W214" s="2"/>
      <c r="X214" s="2"/>
      <c r="Y214" s="2"/>
      <c r="AE214" s="2"/>
      <c r="AF214" s="2"/>
      <c r="AG214" s="2"/>
      <c r="AH214" s="2"/>
      <c r="AI214" s="2"/>
    </row>
    <row r="215" spans="1:35" ht="12.75" customHeight="1">
      <c r="A215" s="2"/>
      <c r="B215" s="169"/>
      <c r="C215" s="169"/>
      <c r="D215" s="169"/>
      <c r="E215" s="166"/>
      <c r="F215" s="168"/>
      <c r="G215" s="154"/>
      <c r="H215" s="154"/>
      <c r="I215" s="154"/>
      <c r="J215" s="154"/>
      <c r="K215" s="154"/>
      <c r="M215" s="2"/>
      <c r="N215" s="2"/>
      <c r="O215" s="2"/>
      <c r="P215" s="2"/>
      <c r="V215" s="2"/>
      <c r="W215" s="2"/>
      <c r="X215" s="2"/>
      <c r="Y215" s="2"/>
      <c r="AE215" s="2"/>
      <c r="AF215" s="2"/>
      <c r="AG215" s="2"/>
      <c r="AH215" s="2"/>
      <c r="AI215" s="2"/>
    </row>
    <row r="216" spans="1:35" ht="12.75" customHeight="1">
      <c r="A216" s="2"/>
      <c r="B216" s="171"/>
      <c r="C216" s="171"/>
      <c r="D216" s="171"/>
      <c r="E216" s="171"/>
      <c r="F216" s="2"/>
      <c r="G216" s="2"/>
      <c r="H216" s="2"/>
      <c r="I216" s="2"/>
      <c r="J216" s="2"/>
      <c r="K216" s="2"/>
      <c r="M216" s="2"/>
      <c r="N216" s="2"/>
      <c r="O216" s="2"/>
      <c r="P216" s="2"/>
      <c r="V216" s="2"/>
      <c r="W216" s="2"/>
      <c r="X216" s="2"/>
      <c r="Y216" s="2"/>
      <c r="AE216" s="2"/>
      <c r="AF216" s="2"/>
      <c r="AG216" s="2"/>
      <c r="AH216" s="2"/>
      <c r="AI216" s="2"/>
    </row>
    <row r="217" spans="1:35" ht="12.75" customHeight="1">
      <c r="A217" s="2"/>
      <c r="B217" s="153"/>
      <c r="C217" s="153"/>
      <c r="D217" s="153"/>
      <c r="E217" s="171"/>
      <c r="F217" s="2"/>
      <c r="G217" s="2"/>
      <c r="H217" s="2"/>
      <c r="I217" s="2"/>
      <c r="J217" s="2"/>
      <c r="K217" s="2"/>
      <c r="M217" s="2"/>
      <c r="N217" s="2"/>
      <c r="O217" s="2"/>
      <c r="P217" s="2"/>
      <c r="V217" s="2"/>
      <c r="W217" s="2"/>
      <c r="X217" s="2"/>
      <c r="Y217" s="2"/>
      <c r="AE217" s="2"/>
      <c r="AF217" s="2"/>
      <c r="AG217" s="2"/>
      <c r="AH217" s="2"/>
      <c r="AI217" s="2"/>
    </row>
    <row r="218" spans="1:35" ht="12.75" customHeight="1">
      <c r="A218" s="2"/>
      <c r="B218" s="153"/>
      <c r="C218" s="153"/>
      <c r="D218" s="153"/>
      <c r="E218" s="153"/>
      <c r="F218" s="2"/>
      <c r="G218" s="2"/>
      <c r="H218" s="2"/>
      <c r="I218" s="2"/>
      <c r="J218" s="2"/>
      <c r="K218" s="2"/>
      <c r="M218" s="2"/>
      <c r="N218" s="2"/>
      <c r="O218" s="2"/>
      <c r="P218" s="2"/>
      <c r="V218" s="2"/>
      <c r="W218" s="2"/>
      <c r="X218" s="2"/>
      <c r="Y218" s="2"/>
      <c r="AE218" s="2"/>
      <c r="AF218" s="2"/>
      <c r="AG218" s="2"/>
      <c r="AH218" s="2"/>
      <c r="AI218" s="2"/>
    </row>
    <row r="219" spans="1:35" ht="12.75" customHeight="1">
      <c r="A219" s="2"/>
      <c r="B219" s="171"/>
      <c r="C219" s="171"/>
      <c r="D219" s="171"/>
      <c r="E219" s="173"/>
      <c r="F219" s="2"/>
      <c r="G219" s="2"/>
      <c r="H219" s="2"/>
      <c r="I219" s="2"/>
      <c r="J219" s="2"/>
      <c r="K219" s="2"/>
      <c r="M219" s="2"/>
      <c r="N219" s="2"/>
      <c r="O219" s="2"/>
      <c r="P219" s="2"/>
      <c r="V219" s="2"/>
      <c r="W219" s="2"/>
      <c r="X219" s="2"/>
      <c r="Y219" s="2"/>
      <c r="AE219" s="2"/>
      <c r="AF219" s="2"/>
      <c r="AG219" s="2"/>
      <c r="AH219" s="2"/>
      <c r="AI219" s="2"/>
    </row>
    <row r="220" spans="1:35" ht="12.75" customHeight="1">
      <c r="A220" s="2"/>
      <c r="B220" s="171"/>
      <c r="C220" s="171"/>
      <c r="D220" s="171"/>
      <c r="E220" s="171"/>
      <c r="F220" s="2"/>
      <c r="G220" s="2"/>
      <c r="H220" s="2"/>
      <c r="I220" s="2"/>
      <c r="J220" s="2"/>
      <c r="K220" s="2"/>
      <c r="M220" s="2"/>
      <c r="N220" s="2"/>
      <c r="O220" s="2"/>
      <c r="P220" s="2"/>
      <c r="V220" s="2"/>
      <c r="W220" s="2"/>
      <c r="X220" s="2"/>
      <c r="Y220" s="2"/>
      <c r="AE220" s="2"/>
      <c r="AF220" s="2"/>
      <c r="AG220" s="2"/>
      <c r="AH220" s="2"/>
      <c r="AI220" s="2"/>
    </row>
    <row r="221" spans="1:35" ht="12.75" customHeight="1">
      <c r="A221" s="2"/>
      <c r="B221" s="171"/>
      <c r="C221" s="171"/>
      <c r="D221" s="171"/>
      <c r="E221" s="174"/>
      <c r="F221" s="2"/>
      <c r="G221" s="2"/>
      <c r="H221" s="2"/>
      <c r="I221" s="2"/>
      <c r="J221" s="2"/>
      <c r="K221" s="2"/>
      <c r="M221" s="2"/>
      <c r="N221" s="2"/>
      <c r="O221" s="2"/>
      <c r="P221" s="2"/>
      <c r="V221" s="2"/>
      <c r="W221" s="2"/>
      <c r="X221" s="2"/>
      <c r="Y221" s="2"/>
      <c r="AE221" s="2"/>
      <c r="AF221" s="2"/>
      <c r="AG221" s="2"/>
      <c r="AH221" s="2"/>
      <c r="AI221" s="2"/>
    </row>
    <row r="222" spans="1:35" ht="12.75" customHeight="1">
      <c r="A222" s="2"/>
      <c r="B222" s="171"/>
      <c r="C222" s="171"/>
      <c r="D222" s="171"/>
      <c r="E222" s="171"/>
      <c r="F222" s="2"/>
      <c r="G222" s="168"/>
      <c r="H222" s="168"/>
      <c r="I222" s="168"/>
      <c r="J222" s="168"/>
      <c r="K222" s="168"/>
      <c r="M222" s="2"/>
      <c r="N222" s="2"/>
      <c r="O222" s="2"/>
      <c r="P222" s="2"/>
      <c r="V222" s="2"/>
      <c r="W222" s="2"/>
      <c r="X222" s="2"/>
      <c r="Y222" s="2"/>
      <c r="AE222" s="2"/>
      <c r="AF222" s="2"/>
      <c r="AG222" s="2"/>
      <c r="AH222" s="2"/>
      <c r="AI222" s="2"/>
    </row>
    <row r="223" spans="1:35" ht="12.75" customHeight="1">
      <c r="A223" s="2"/>
      <c r="B223" s="171"/>
      <c r="C223" s="171"/>
      <c r="D223" s="171"/>
      <c r="E223" s="174"/>
      <c r="F223" s="2"/>
      <c r="G223" s="168"/>
      <c r="H223" s="168"/>
      <c r="I223" s="168"/>
      <c r="J223" s="168"/>
      <c r="K223" s="168"/>
      <c r="M223" s="2"/>
      <c r="N223" s="2"/>
      <c r="O223" s="2"/>
      <c r="P223" s="2"/>
      <c r="V223" s="2"/>
      <c r="W223" s="2"/>
      <c r="X223" s="2"/>
      <c r="Y223" s="2"/>
      <c r="AE223" s="2"/>
      <c r="AF223" s="2"/>
      <c r="AG223" s="2"/>
      <c r="AH223" s="2"/>
      <c r="AI223" s="2"/>
    </row>
    <row r="224" spans="1:35" ht="12.75" customHeight="1">
      <c r="A224" s="2"/>
      <c r="B224" s="171"/>
      <c r="C224" s="171"/>
      <c r="D224" s="171"/>
      <c r="E224" s="174"/>
      <c r="F224" s="2"/>
      <c r="G224" s="168"/>
      <c r="H224" s="168"/>
      <c r="I224" s="168"/>
      <c r="J224" s="168"/>
      <c r="K224" s="168"/>
      <c r="M224" s="2"/>
      <c r="N224" s="2"/>
      <c r="O224" s="2"/>
      <c r="P224" s="2"/>
      <c r="V224" s="2"/>
      <c r="W224" s="2"/>
      <c r="X224" s="2"/>
      <c r="Y224" s="2"/>
      <c r="AE224" s="2"/>
      <c r="AF224" s="2"/>
      <c r="AG224" s="2"/>
      <c r="AH224" s="2"/>
      <c r="AI224" s="2"/>
    </row>
    <row r="225" spans="1:35" ht="12.75" customHeight="1">
      <c r="A225" s="2"/>
      <c r="B225" s="171"/>
      <c r="C225" s="171"/>
      <c r="D225" s="171"/>
      <c r="E225" s="174"/>
      <c r="F225" s="2"/>
      <c r="G225" s="168"/>
      <c r="H225" s="168"/>
      <c r="I225" s="168"/>
      <c r="J225" s="168"/>
      <c r="K225" s="168"/>
      <c r="M225" s="2"/>
      <c r="N225" s="2"/>
      <c r="O225" s="2"/>
      <c r="P225" s="2"/>
      <c r="V225" s="2"/>
      <c r="W225" s="2"/>
      <c r="X225" s="2"/>
      <c r="Y225" s="2"/>
      <c r="AE225" s="2"/>
      <c r="AF225" s="2"/>
      <c r="AG225" s="2"/>
      <c r="AH225" s="2"/>
      <c r="AI225" s="2"/>
    </row>
    <row r="226" spans="1:35" ht="12.75" customHeight="1">
      <c r="A226" s="2"/>
      <c r="B226" s="171"/>
      <c r="C226" s="171"/>
      <c r="D226" s="171"/>
      <c r="E226" s="171"/>
      <c r="F226" s="2"/>
      <c r="G226" s="2"/>
      <c r="H226" s="2"/>
      <c r="I226" s="2"/>
      <c r="J226" s="2"/>
      <c r="K226" s="2"/>
      <c r="M226" s="2"/>
      <c r="N226" s="2"/>
      <c r="O226" s="2"/>
      <c r="P226" s="2"/>
      <c r="V226" s="2"/>
      <c r="W226" s="2"/>
      <c r="X226" s="2"/>
      <c r="Y226" s="2"/>
      <c r="AE226" s="2"/>
      <c r="AF226" s="2"/>
      <c r="AG226" s="2"/>
      <c r="AH226" s="2"/>
      <c r="AI226" s="2"/>
    </row>
    <row r="227" spans="1:35" ht="12.75" customHeight="1">
      <c r="A227" s="2"/>
      <c r="B227" s="171"/>
      <c r="C227" s="171"/>
      <c r="D227" s="171"/>
      <c r="E227" s="173"/>
      <c r="F227" s="2"/>
      <c r="G227" s="2"/>
      <c r="H227" s="2"/>
      <c r="I227" s="2"/>
      <c r="J227" s="2"/>
      <c r="K227" s="2"/>
      <c r="M227" s="2"/>
      <c r="N227" s="2"/>
      <c r="O227" s="2"/>
      <c r="P227" s="2"/>
      <c r="V227" s="2"/>
      <c r="W227" s="2"/>
      <c r="X227" s="2"/>
      <c r="Y227" s="2"/>
      <c r="AE227" s="2"/>
      <c r="AF227" s="2"/>
      <c r="AG227" s="2"/>
      <c r="AH227" s="2"/>
      <c r="AI227" s="2"/>
    </row>
    <row r="228" spans="1:35" ht="12.75" customHeight="1">
      <c r="A228" s="2"/>
      <c r="B228" s="171"/>
      <c r="C228" s="171"/>
      <c r="D228" s="171"/>
      <c r="E228" s="171"/>
      <c r="F228" s="2"/>
      <c r="G228" s="2"/>
      <c r="H228" s="2"/>
      <c r="I228" s="2"/>
      <c r="J228" s="2"/>
      <c r="K228" s="2"/>
      <c r="M228" s="2"/>
      <c r="N228" s="2"/>
      <c r="O228" s="2"/>
      <c r="P228" s="2"/>
      <c r="V228" s="2"/>
      <c r="W228" s="2"/>
      <c r="X228" s="2"/>
      <c r="Y228" s="2"/>
      <c r="AE228" s="2"/>
      <c r="AF228" s="2"/>
      <c r="AG228" s="2"/>
      <c r="AH228" s="2"/>
      <c r="AI228" s="2"/>
    </row>
    <row r="229" spans="1:35" ht="12.75" customHeight="1">
      <c r="A229" s="2"/>
      <c r="B229" s="171"/>
      <c r="C229" s="171"/>
      <c r="D229" s="171"/>
      <c r="E229" s="175"/>
      <c r="F229" s="2"/>
      <c r="G229" s="2"/>
      <c r="H229" s="2"/>
      <c r="I229" s="2"/>
      <c r="J229" s="2"/>
      <c r="K229" s="2"/>
      <c r="M229" s="2"/>
      <c r="N229" s="2"/>
      <c r="O229" s="2"/>
      <c r="P229" s="2"/>
      <c r="V229" s="2"/>
      <c r="W229" s="2"/>
      <c r="X229" s="2"/>
      <c r="Y229" s="2"/>
      <c r="AE229" s="2"/>
      <c r="AF229" s="2"/>
      <c r="AG229" s="2"/>
      <c r="AH229" s="2"/>
      <c r="AI229" s="2"/>
    </row>
    <row r="230" spans="1:35" ht="12.75" customHeight="1">
      <c r="A230" s="2"/>
      <c r="B230" s="171"/>
      <c r="C230" s="171"/>
      <c r="D230" s="171"/>
      <c r="E230" s="171"/>
      <c r="F230" s="2"/>
      <c r="G230" s="2"/>
      <c r="H230" s="2"/>
      <c r="I230" s="2"/>
      <c r="J230" s="2"/>
      <c r="K230" s="2"/>
      <c r="M230" s="2"/>
      <c r="N230" s="2"/>
      <c r="O230" s="2"/>
      <c r="P230" s="2"/>
      <c r="V230" s="2"/>
      <c r="W230" s="2"/>
      <c r="X230" s="2"/>
      <c r="Y230" s="2"/>
      <c r="AE230" s="2"/>
      <c r="AF230" s="2"/>
      <c r="AG230" s="2"/>
      <c r="AH230" s="2"/>
      <c r="AI230" s="2"/>
    </row>
    <row r="231" spans="1:35" ht="12.75" customHeight="1">
      <c r="A231" s="2"/>
      <c r="B231" s="171"/>
      <c r="C231" s="171"/>
      <c r="D231" s="171"/>
      <c r="E231" s="173"/>
      <c r="F231" s="2"/>
      <c r="G231" s="2"/>
      <c r="H231" s="2"/>
      <c r="I231" s="2"/>
      <c r="J231" s="2"/>
      <c r="K231" s="2"/>
      <c r="M231" s="2"/>
      <c r="N231" s="2"/>
      <c r="O231" s="2"/>
      <c r="P231" s="2"/>
      <c r="V231" s="2"/>
      <c r="W231" s="2"/>
      <c r="X231" s="2"/>
      <c r="Y231" s="2"/>
      <c r="AE231" s="2"/>
      <c r="AF231" s="2"/>
      <c r="AG231" s="2"/>
      <c r="AH231" s="2"/>
      <c r="AI231" s="2"/>
    </row>
    <row r="232" spans="1:35" ht="12.75" customHeight="1">
      <c r="A232" s="2"/>
      <c r="B232" s="171"/>
      <c r="C232" s="171"/>
      <c r="D232" s="171"/>
      <c r="E232" s="171"/>
      <c r="F232" s="2"/>
      <c r="G232" s="2"/>
      <c r="H232" s="2"/>
      <c r="I232" s="2"/>
      <c r="J232" s="2"/>
      <c r="K232" s="2"/>
      <c r="M232" s="2"/>
      <c r="N232" s="2"/>
      <c r="O232" s="2"/>
      <c r="P232" s="2"/>
      <c r="V232" s="2"/>
      <c r="W232" s="2"/>
      <c r="X232" s="2"/>
      <c r="Y232" s="2"/>
      <c r="AE232" s="2"/>
      <c r="AF232" s="2"/>
      <c r="AG232" s="2"/>
      <c r="AH232" s="2"/>
      <c r="AI232" s="2"/>
    </row>
    <row r="233" spans="1:35" ht="12.75" customHeight="1">
      <c r="A233" s="2"/>
      <c r="B233" s="171"/>
      <c r="C233" s="171"/>
      <c r="D233" s="171"/>
      <c r="E233" s="176"/>
      <c r="F233" s="2"/>
      <c r="G233" s="2"/>
      <c r="H233" s="2"/>
      <c r="I233" s="2"/>
      <c r="J233" s="2"/>
      <c r="K233" s="2"/>
      <c r="M233" s="2"/>
      <c r="N233" s="2"/>
      <c r="O233" s="2"/>
      <c r="P233" s="2"/>
      <c r="V233" s="2"/>
      <c r="W233" s="2"/>
      <c r="X233" s="2"/>
      <c r="Y233" s="2"/>
      <c r="AE233" s="2"/>
      <c r="AF233" s="2"/>
      <c r="AG233" s="2"/>
      <c r="AH233" s="2"/>
      <c r="AI233" s="2"/>
    </row>
    <row r="234" spans="1:35" ht="12.75" customHeight="1">
      <c r="A234" s="2"/>
      <c r="B234" s="171"/>
      <c r="C234" s="171"/>
      <c r="D234" s="171"/>
      <c r="E234" s="171"/>
      <c r="F234" s="2"/>
      <c r="G234" s="2"/>
      <c r="H234" s="2"/>
      <c r="I234" s="2"/>
      <c r="J234" s="2"/>
      <c r="K234" s="2"/>
      <c r="M234" s="2"/>
      <c r="N234" s="2"/>
      <c r="O234" s="2"/>
      <c r="P234" s="2"/>
      <c r="V234" s="2"/>
      <c r="W234" s="2"/>
      <c r="X234" s="2"/>
      <c r="Y234" s="2"/>
      <c r="AE234" s="2"/>
      <c r="AF234" s="2"/>
      <c r="AG234" s="2"/>
      <c r="AH234" s="2"/>
      <c r="AI234" s="2"/>
    </row>
    <row r="235" spans="1: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2"/>
      <c r="N235" s="2"/>
      <c r="O235" s="2"/>
      <c r="P235" s="2"/>
      <c r="V235" s="2"/>
      <c r="W235" s="2"/>
      <c r="X235" s="2"/>
      <c r="Y235" s="2"/>
      <c r="AE235" s="2"/>
      <c r="AF235" s="2"/>
      <c r="AG235" s="2"/>
      <c r="AH235" s="2"/>
      <c r="AI235" s="2"/>
    </row>
    <row r="236" spans="1:35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2"/>
      <c r="N236" s="2"/>
      <c r="O236" s="2"/>
      <c r="P236" s="2"/>
      <c r="V236" s="2"/>
      <c r="W236" s="2"/>
      <c r="X236" s="2"/>
      <c r="Y236" s="2"/>
      <c r="AE236" s="2"/>
      <c r="AF236" s="2"/>
      <c r="AG236" s="2"/>
      <c r="AH236" s="2"/>
      <c r="AI236" s="2"/>
    </row>
    <row r="237" spans="1:35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2"/>
      <c r="N237" s="2"/>
      <c r="O237" s="2"/>
      <c r="P237" s="2"/>
      <c r="V237" s="2"/>
      <c r="W237" s="2"/>
      <c r="X237" s="2"/>
      <c r="Y237" s="2"/>
      <c r="AE237" s="2"/>
      <c r="AF237" s="2"/>
      <c r="AG237" s="2"/>
      <c r="AH237" s="2"/>
      <c r="AI237" s="2"/>
    </row>
    <row r="238" spans="1:35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2"/>
      <c r="N238" s="2"/>
      <c r="O238" s="2"/>
      <c r="P238" s="2"/>
      <c r="V238" s="2"/>
      <c r="W238" s="2"/>
      <c r="X238" s="2"/>
      <c r="Y238" s="2"/>
      <c r="AE238" s="2"/>
      <c r="AF238" s="2"/>
      <c r="AG238" s="2"/>
      <c r="AH238" s="2"/>
      <c r="AI238" s="2"/>
    </row>
    <row r="239" spans="1:35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2"/>
      <c r="N239" s="2"/>
      <c r="O239" s="2"/>
      <c r="P239" s="2"/>
      <c r="V239" s="2"/>
      <c r="W239" s="2"/>
      <c r="X239" s="2"/>
      <c r="Y239" s="2"/>
      <c r="AE239" s="2"/>
      <c r="AF239" s="2"/>
      <c r="AG239" s="2"/>
      <c r="AH239" s="2"/>
      <c r="AI239" s="2"/>
    </row>
    <row r="240" spans="1:35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2"/>
      <c r="N240" s="2"/>
      <c r="O240" s="2"/>
      <c r="P240" s="2"/>
      <c r="V240" s="2"/>
      <c r="W240" s="2"/>
      <c r="X240" s="2"/>
      <c r="Y240" s="2"/>
      <c r="AE240" s="2"/>
      <c r="AF240" s="2"/>
      <c r="AG240" s="2"/>
      <c r="AH240" s="2"/>
      <c r="AI240" s="2"/>
    </row>
    <row r="241" spans="1:35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2"/>
      <c r="N241" s="2"/>
      <c r="O241" s="2"/>
      <c r="P241" s="2"/>
      <c r="V241" s="2"/>
      <c r="W241" s="2"/>
      <c r="X241" s="2"/>
      <c r="Y241" s="2"/>
      <c r="AE241" s="2"/>
      <c r="AF241" s="2"/>
      <c r="AG241" s="2"/>
      <c r="AH241" s="2"/>
      <c r="AI241" s="2"/>
    </row>
    <row r="242" spans="1:35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2"/>
      <c r="N242" s="2"/>
      <c r="O242" s="2"/>
      <c r="P242" s="2"/>
      <c r="V242" s="2"/>
      <c r="W242" s="2"/>
      <c r="X242" s="2"/>
      <c r="Y242" s="2"/>
      <c r="AE242" s="2"/>
      <c r="AF242" s="2"/>
      <c r="AG242" s="2"/>
      <c r="AH242" s="2"/>
      <c r="AI242" s="2"/>
    </row>
    <row r="243" spans="1:35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2"/>
      <c r="N243" s="2"/>
      <c r="O243" s="2"/>
      <c r="P243" s="2"/>
      <c r="V243" s="2"/>
      <c r="W243" s="2"/>
      <c r="X243" s="2"/>
      <c r="Y243" s="2"/>
      <c r="AE243" s="2"/>
      <c r="AF243" s="2"/>
      <c r="AG243" s="2"/>
      <c r="AH243" s="2"/>
      <c r="AI243" s="2"/>
    </row>
    <row r="244" spans="2:35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2"/>
      <c r="N244" s="2"/>
      <c r="O244" s="2"/>
      <c r="P244" s="2"/>
      <c r="V244" s="2"/>
      <c r="W244" s="2"/>
      <c r="X244" s="2"/>
      <c r="Y244" s="2"/>
      <c r="AE244" s="2"/>
      <c r="AF244" s="2"/>
      <c r="AG244" s="2"/>
      <c r="AH244" s="2"/>
      <c r="AI244" s="2"/>
    </row>
    <row r="245" spans="2:35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2"/>
      <c r="N245" s="2"/>
      <c r="O245" s="2"/>
      <c r="P245" s="2"/>
      <c r="V245" s="2"/>
      <c r="W245" s="2"/>
      <c r="X245" s="2"/>
      <c r="Y245" s="2"/>
      <c r="AE245" s="2"/>
      <c r="AF245" s="2"/>
      <c r="AG245" s="2"/>
      <c r="AH245" s="2"/>
      <c r="AI245" s="2"/>
    </row>
    <row r="246" spans="2:35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2"/>
      <c r="N246" s="2"/>
      <c r="O246" s="2"/>
      <c r="P246" s="2"/>
      <c r="V246" s="2"/>
      <c r="W246" s="2"/>
      <c r="X246" s="2"/>
      <c r="Y246" s="2"/>
      <c r="AE246" s="2"/>
      <c r="AF246" s="2"/>
      <c r="AG246" s="2"/>
      <c r="AH246" s="2"/>
      <c r="AI246" s="2"/>
    </row>
    <row r="247" spans="2:35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2"/>
      <c r="N247" s="2"/>
      <c r="O247" s="2"/>
      <c r="P247" s="2"/>
      <c r="V247" s="2"/>
      <c r="W247" s="2"/>
      <c r="X247" s="2"/>
      <c r="Y247" s="2"/>
      <c r="AE247" s="2"/>
      <c r="AF247" s="2"/>
      <c r="AG247" s="2"/>
      <c r="AH247" s="2"/>
      <c r="AI247" s="2"/>
    </row>
    <row r="248" spans="2:35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2"/>
      <c r="N248" s="2"/>
      <c r="O248" s="2"/>
      <c r="P248" s="2"/>
      <c r="V248" s="2"/>
      <c r="W248" s="2"/>
      <c r="X248" s="2"/>
      <c r="Y248" s="2"/>
      <c r="AE248" s="2"/>
      <c r="AF248" s="2"/>
      <c r="AG248" s="2"/>
      <c r="AH248" s="2"/>
      <c r="AI248" s="2"/>
    </row>
    <row r="249" spans="2:35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2"/>
      <c r="N249" s="2"/>
      <c r="O249" s="2"/>
      <c r="P249" s="2"/>
      <c r="V249" s="2"/>
      <c r="W249" s="2"/>
      <c r="X249" s="2"/>
      <c r="Y249" s="2"/>
      <c r="AE249" s="2"/>
      <c r="AF249" s="2"/>
      <c r="AG249" s="2"/>
      <c r="AH249" s="2"/>
      <c r="AI249" s="2"/>
    </row>
    <row r="250" spans="2:35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2"/>
      <c r="N250" s="2"/>
      <c r="O250" s="2"/>
      <c r="P250" s="2"/>
      <c r="V250" s="2"/>
      <c r="W250" s="2"/>
      <c r="X250" s="2"/>
      <c r="Y250" s="2"/>
      <c r="AE250" s="2"/>
      <c r="AF250" s="2"/>
      <c r="AG250" s="2"/>
      <c r="AH250" s="2"/>
      <c r="AI250" s="2"/>
    </row>
    <row r="251" spans="2:35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2"/>
      <c r="N251" s="2"/>
      <c r="O251" s="2"/>
      <c r="P251" s="2"/>
      <c r="V251" s="2"/>
      <c r="W251" s="2"/>
      <c r="X251" s="2"/>
      <c r="Y251" s="2"/>
      <c r="AE251" s="2"/>
      <c r="AF251" s="2"/>
      <c r="AG251" s="2"/>
      <c r="AH251" s="2"/>
      <c r="AI251" s="2"/>
    </row>
    <row r="252" spans="2:35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2"/>
      <c r="N252" s="2"/>
      <c r="O252" s="2"/>
      <c r="P252" s="2"/>
      <c r="V252" s="2"/>
      <c r="W252" s="2"/>
      <c r="X252" s="2"/>
      <c r="Y252" s="2"/>
      <c r="AE252" s="2"/>
      <c r="AF252" s="2"/>
      <c r="AG252" s="2"/>
      <c r="AH252" s="2"/>
      <c r="AI252" s="2"/>
    </row>
    <row r="253" spans="2:35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2"/>
      <c r="N253" s="2"/>
      <c r="O253" s="2"/>
      <c r="P253" s="2"/>
      <c r="V253" s="2"/>
      <c r="W253" s="2"/>
      <c r="X253" s="2"/>
      <c r="Y253" s="2"/>
      <c r="AE253" s="2"/>
      <c r="AF253" s="2"/>
      <c r="AG253" s="2"/>
      <c r="AH253" s="2"/>
      <c r="AI253" s="2"/>
    </row>
    <row r="254" spans="2:35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2"/>
      <c r="N254" s="2"/>
      <c r="O254" s="2"/>
      <c r="P254" s="2"/>
      <c r="V254" s="2"/>
      <c r="W254" s="2"/>
      <c r="X254" s="2"/>
      <c r="Y254" s="2"/>
      <c r="AE254" s="2"/>
      <c r="AF254" s="2"/>
      <c r="AG254" s="2"/>
      <c r="AH254" s="2"/>
      <c r="AI254" s="2"/>
    </row>
    <row r="255" spans="2:35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2"/>
      <c r="N255" s="2"/>
      <c r="O255" s="2"/>
      <c r="P255" s="2"/>
      <c r="V255" s="2"/>
      <c r="W255" s="2"/>
      <c r="X255" s="2"/>
      <c r="Y255" s="2"/>
      <c r="AE255" s="2"/>
      <c r="AF255" s="2"/>
      <c r="AG255" s="2"/>
      <c r="AH255" s="2"/>
      <c r="AI255" s="2"/>
    </row>
    <row r="256" spans="2:35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2"/>
      <c r="N256" s="2"/>
      <c r="O256" s="2"/>
      <c r="P256" s="2"/>
      <c r="V256" s="2"/>
      <c r="W256" s="2"/>
      <c r="X256" s="2"/>
      <c r="Y256" s="2"/>
      <c r="AE256" s="2"/>
      <c r="AF256" s="2"/>
      <c r="AG256" s="2"/>
      <c r="AH256" s="2"/>
      <c r="AI256" s="2"/>
    </row>
    <row r="257" spans="2:35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2"/>
      <c r="N257" s="2"/>
      <c r="O257" s="2"/>
      <c r="P257" s="2"/>
      <c r="V257" s="2"/>
      <c r="W257" s="2"/>
      <c r="X257" s="2"/>
      <c r="Y257" s="2"/>
      <c r="AE257" s="2"/>
      <c r="AF257" s="2"/>
      <c r="AG257" s="2"/>
      <c r="AH257" s="2"/>
      <c r="AI257" s="2"/>
    </row>
    <row r="258" spans="2:35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2"/>
      <c r="N258" s="2"/>
      <c r="O258" s="2"/>
      <c r="P258" s="2"/>
      <c r="V258" s="2"/>
      <c r="W258" s="2"/>
      <c r="X258" s="2"/>
      <c r="Y258" s="2"/>
      <c r="AE258" s="2"/>
      <c r="AF258" s="2"/>
      <c r="AG258" s="2"/>
      <c r="AH258" s="2"/>
      <c r="AI258" s="2"/>
    </row>
    <row r="259" spans="2:35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2"/>
      <c r="N259" s="2"/>
      <c r="O259" s="2"/>
      <c r="P259" s="2"/>
      <c r="V259" s="2"/>
      <c r="W259" s="2"/>
      <c r="X259" s="2"/>
      <c r="Y259" s="2"/>
      <c r="AE259" s="2"/>
      <c r="AF259" s="2"/>
      <c r="AG259" s="2"/>
      <c r="AH259" s="2"/>
      <c r="AI259" s="2"/>
    </row>
    <row r="260" spans="2:35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2"/>
      <c r="N260" s="2"/>
      <c r="O260" s="2"/>
      <c r="P260" s="2"/>
      <c r="V260" s="2"/>
      <c r="W260" s="2"/>
      <c r="X260" s="2"/>
      <c r="Y260" s="2"/>
      <c r="AE260" s="2"/>
      <c r="AF260" s="2"/>
      <c r="AG260" s="2"/>
      <c r="AH260" s="2"/>
      <c r="AI260" s="2"/>
    </row>
    <row r="261" spans="2:35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2"/>
      <c r="N261" s="2"/>
      <c r="O261" s="2"/>
      <c r="P261" s="2"/>
      <c r="V261" s="2"/>
      <c r="W261" s="2"/>
      <c r="X261" s="2"/>
      <c r="Y261" s="2"/>
      <c r="AE261" s="2"/>
      <c r="AF261" s="2"/>
      <c r="AG261" s="2"/>
      <c r="AH261" s="2"/>
      <c r="AI261" s="2"/>
    </row>
    <row r="262" spans="2:35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2"/>
      <c r="N262" s="2"/>
      <c r="O262" s="2"/>
      <c r="P262" s="2"/>
      <c r="V262" s="2"/>
      <c r="W262" s="2"/>
      <c r="X262" s="2"/>
      <c r="Y262" s="2"/>
      <c r="AE262" s="2"/>
      <c r="AF262" s="2"/>
      <c r="AG262" s="2"/>
      <c r="AH262" s="2"/>
      <c r="AI262" s="2"/>
    </row>
    <row r="263" spans="2:35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2"/>
      <c r="N263" s="2"/>
      <c r="O263" s="2"/>
      <c r="P263" s="2"/>
      <c r="V263" s="2"/>
      <c r="W263" s="2"/>
      <c r="X263" s="2"/>
      <c r="Y263" s="2"/>
      <c r="AE263" s="2"/>
      <c r="AF263" s="2"/>
      <c r="AG263" s="2"/>
      <c r="AH263" s="2"/>
      <c r="AI263" s="2"/>
    </row>
    <row r="264" spans="2:35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2"/>
      <c r="N264" s="2"/>
      <c r="O264" s="2"/>
      <c r="P264" s="2"/>
      <c r="V264" s="2"/>
      <c r="W264" s="2"/>
      <c r="X264" s="2"/>
      <c r="Y264" s="2"/>
      <c r="AE264" s="2"/>
      <c r="AF264" s="2"/>
      <c r="AG264" s="2"/>
      <c r="AH264" s="2"/>
      <c r="AI264" s="2"/>
    </row>
    <row r="265" spans="2:35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V265" s="2"/>
      <c r="W265" s="2"/>
      <c r="X265" s="2"/>
      <c r="Y265" s="2"/>
      <c r="AE265" s="2"/>
      <c r="AF265" s="2"/>
      <c r="AG265" s="2"/>
      <c r="AH265" s="2"/>
      <c r="AI265" s="2"/>
    </row>
    <row r="266" spans="2:35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V266" s="2"/>
      <c r="W266" s="2"/>
      <c r="X266" s="2"/>
      <c r="Y266" s="2"/>
      <c r="AE266" s="2"/>
      <c r="AF266" s="2"/>
      <c r="AG266" s="2"/>
      <c r="AH266" s="2"/>
      <c r="AI266" s="2"/>
    </row>
    <row r="267" spans="2:35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V267" s="2"/>
      <c r="W267" s="2"/>
      <c r="X267" s="2"/>
      <c r="Y267" s="2"/>
      <c r="AE267" s="2"/>
      <c r="AF267" s="2"/>
      <c r="AG267" s="2"/>
      <c r="AH267" s="2"/>
      <c r="AI267" s="2"/>
    </row>
    <row r="268" spans="2:35" ht="12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V268" s="2"/>
      <c r="W268" s="2"/>
      <c r="X268" s="2"/>
      <c r="Y268" s="2"/>
      <c r="AE268" s="2"/>
      <c r="AF268" s="2"/>
      <c r="AG268" s="2"/>
      <c r="AH268" s="2"/>
      <c r="AI268" s="2"/>
    </row>
    <row r="269" spans="7:35" ht="12.75" customHeight="1">
      <c r="G269" s="2"/>
      <c r="H269" s="2"/>
      <c r="I269" s="2"/>
      <c r="J269" s="2"/>
      <c r="K269" s="2"/>
      <c r="V269" s="2"/>
      <c r="W269" s="2"/>
      <c r="X269" s="2"/>
      <c r="Y269" s="2"/>
      <c r="AE269" s="2"/>
      <c r="AF269" s="2"/>
      <c r="AG269" s="2"/>
      <c r="AH269" s="2"/>
      <c r="AI269" s="2"/>
    </row>
    <row r="270" spans="7:35" ht="12.75" customHeight="1">
      <c r="G270" s="2"/>
      <c r="H270" s="2"/>
      <c r="I270" s="2"/>
      <c r="J270" s="2"/>
      <c r="K270" s="2"/>
      <c r="V270" s="2"/>
      <c r="W270" s="2"/>
      <c r="X270" s="2"/>
      <c r="Y270" s="2"/>
      <c r="AE270" s="2"/>
      <c r="AF270" s="2"/>
      <c r="AG270" s="2"/>
      <c r="AH270" s="2"/>
      <c r="AI270" s="2"/>
    </row>
    <row r="271" spans="7:35" ht="12.75" customHeight="1">
      <c r="G271" s="2"/>
      <c r="H271" s="2"/>
      <c r="I271" s="2"/>
      <c r="J271" s="2"/>
      <c r="K271" s="2"/>
      <c r="V271" s="2"/>
      <c r="W271" s="2"/>
      <c r="X271" s="2"/>
      <c r="Y271" s="2"/>
      <c r="AE271" s="2"/>
      <c r="AF271" s="2"/>
      <c r="AG271" s="2"/>
      <c r="AH271" s="2"/>
      <c r="AI271" s="2"/>
    </row>
    <row r="272" spans="7:35" ht="12.75" customHeight="1">
      <c r="G272" s="2"/>
      <c r="H272" s="2"/>
      <c r="I272" s="2"/>
      <c r="J272" s="2"/>
      <c r="K272" s="2"/>
      <c r="V272" s="2"/>
      <c r="W272" s="2"/>
      <c r="X272" s="2"/>
      <c r="Y272" s="2"/>
      <c r="AE272" s="2"/>
      <c r="AF272" s="2"/>
      <c r="AG272" s="2"/>
      <c r="AH272" s="2"/>
      <c r="AI272" s="2"/>
    </row>
    <row r="273" spans="7:35" ht="12.75" customHeight="1">
      <c r="G273" s="2"/>
      <c r="H273" s="2"/>
      <c r="I273" s="2"/>
      <c r="J273" s="2"/>
      <c r="K273" s="2"/>
      <c r="V273" s="2"/>
      <c r="W273" s="2"/>
      <c r="X273" s="2"/>
      <c r="Y273" s="2"/>
      <c r="AE273" s="2"/>
      <c r="AF273" s="2"/>
      <c r="AG273" s="2"/>
      <c r="AH273" s="2"/>
      <c r="AI273" s="2"/>
    </row>
    <row r="274" spans="7:35" ht="12.75" customHeight="1">
      <c r="G274" s="2"/>
      <c r="H274" s="2"/>
      <c r="I274" s="2"/>
      <c r="J274" s="2"/>
      <c r="K274" s="2"/>
      <c r="V274" s="2"/>
      <c r="W274" s="2"/>
      <c r="X274" s="2"/>
      <c r="Y274" s="2"/>
      <c r="AE274" s="2"/>
      <c r="AF274" s="2"/>
      <c r="AG274" s="2"/>
      <c r="AH274" s="2"/>
      <c r="AI274" s="2"/>
    </row>
    <row r="275" spans="7:35" ht="12.75" customHeight="1">
      <c r="G275" s="2"/>
      <c r="H275" s="2"/>
      <c r="I275" s="2"/>
      <c r="J275" s="2"/>
      <c r="K275" s="2"/>
      <c r="V275" s="2"/>
      <c r="W275" s="2"/>
      <c r="X275" s="2"/>
      <c r="Y275" s="2"/>
      <c r="AE275" s="2"/>
      <c r="AF275" s="2"/>
      <c r="AG275" s="2"/>
      <c r="AH275" s="2"/>
      <c r="AI275" s="2"/>
    </row>
    <row r="276" spans="7:35" ht="12.75" customHeight="1">
      <c r="G276" s="2"/>
      <c r="H276" s="2"/>
      <c r="I276" s="2"/>
      <c r="J276" s="2"/>
      <c r="K276" s="2"/>
      <c r="V276" s="2"/>
      <c r="W276" s="2"/>
      <c r="X276" s="2"/>
      <c r="Y276" s="2"/>
      <c r="AE276" s="2"/>
      <c r="AF276" s="2"/>
      <c r="AG276" s="2"/>
      <c r="AH276" s="2"/>
      <c r="AI276" s="2"/>
    </row>
    <row r="277" spans="7:35" ht="12.75" customHeight="1">
      <c r="G277" s="2"/>
      <c r="H277" s="2"/>
      <c r="I277" s="2"/>
      <c r="J277" s="2"/>
      <c r="K277" s="2"/>
      <c r="V277" s="2"/>
      <c r="W277" s="2"/>
      <c r="X277" s="2"/>
      <c r="Y277" s="2"/>
      <c r="AE277" s="2"/>
      <c r="AF277" s="2"/>
      <c r="AG277" s="2"/>
      <c r="AH277" s="2"/>
      <c r="AI277" s="2"/>
    </row>
    <row r="278" spans="7:35" ht="12.75" customHeight="1">
      <c r="G278" s="2"/>
      <c r="H278" s="2"/>
      <c r="I278" s="2"/>
      <c r="J278" s="2"/>
      <c r="K278" s="2"/>
      <c r="V278" s="2"/>
      <c r="W278" s="2"/>
      <c r="X278" s="2"/>
      <c r="Y278" s="2"/>
      <c r="AE278" s="2"/>
      <c r="AF278" s="2"/>
      <c r="AG278" s="2"/>
      <c r="AH278" s="2"/>
      <c r="AI278" s="2"/>
    </row>
    <row r="279" spans="22:35" ht="12.75" customHeight="1">
      <c r="V279" s="2"/>
      <c r="W279" s="2"/>
      <c r="X279" s="2"/>
      <c r="Y279" s="2"/>
      <c r="AE279" s="2"/>
      <c r="AF279" s="2"/>
      <c r="AG279" s="2"/>
      <c r="AH279" s="2"/>
      <c r="AI279" s="2"/>
    </row>
    <row r="280" spans="22:35" ht="12.75" customHeight="1">
      <c r="V280" s="2"/>
      <c r="W280" s="2"/>
      <c r="X280" s="2"/>
      <c r="Y280" s="2"/>
      <c r="AE280" s="2"/>
      <c r="AF280" s="2"/>
      <c r="AG280" s="2"/>
      <c r="AH280" s="2"/>
      <c r="AI280" s="2"/>
    </row>
    <row r="281" spans="22:35" ht="12.75" customHeight="1">
      <c r="V281" s="2"/>
      <c r="W281" s="2"/>
      <c r="X281" s="2"/>
      <c r="Y281" s="2"/>
      <c r="AE281" s="2"/>
      <c r="AF281" s="2"/>
      <c r="AG281" s="2"/>
      <c r="AH281" s="2"/>
      <c r="AI281" s="2"/>
    </row>
    <row r="282" spans="22:35" ht="12.75" customHeight="1">
      <c r="V282" s="2"/>
      <c r="W282" s="2"/>
      <c r="X282" s="2"/>
      <c r="Y282" s="2"/>
      <c r="AE282" s="2"/>
      <c r="AF282" s="2"/>
      <c r="AG282" s="2"/>
      <c r="AH282" s="2"/>
      <c r="AI282" s="2"/>
    </row>
    <row r="283" spans="22:35" ht="12.75" customHeight="1">
      <c r="V283" s="2"/>
      <c r="W283" s="2"/>
      <c r="X283" s="2"/>
      <c r="Y283" s="2"/>
      <c r="AE283" s="2"/>
      <c r="AF283" s="2"/>
      <c r="AG283" s="2"/>
      <c r="AH283" s="2"/>
      <c r="AI283" s="2"/>
    </row>
    <row r="284" spans="22:35" ht="12.75" customHeight="1">
      <c r="V284" s="2"/>
      <c r="W284" s="2"/>
      <c r="X284" s="2"/>
      <c r="Y284" s="2"/>
      <c r="AE284" s="2"/>
      <c r="AF284" s="2"/>
      <c r="AG284" s="2"/>
      <c r="AH284" s="2"/>
      <c r="AI284" s="2"/>
    </row>
    <row r="285" spans="22:35" ht="12.75" customHeight="1">
      <c r="V285" s="2"/>
      <c r="W285" s="2"/>
      <c r="X285" s="2"/>
      <c r="Y285" s="2"/>
      <c r="AE285" s="2"/>
      <c r="AF285" s="2"/>
      <c r="AG285" s="2"/>
      <c r="AH285" s="2"/>
      <c r="AI285" s="2"/>
    </row>
    <row r="286" spans="22:35" ht="12.75" customHeight="1">
      <c r="V286" s="2"/>
      <c r="W286" s="2"/>
      <c r="X286" s="2"/>
      <c r="Y286" s="2"/>
      <c r="AE286" s="2"/>
      <c r="AF286" s="2"/>
      <c r="AG286" s="2"/>
      <c r="AH286" s="2"/>
      <c r="AI286" s="2"/>
    </row>
    <row r="287" spans="22:35" ht="12.75" customHeight="1">
      <c r="V287" s="2"/>
      <c r="W287" s="2"/>
      <c r="X287" s="2"/>
      <c r="Y287" s="2"/>
      <c r="AE287" s="2"/>
      <c r="AF287" s="2"/>
      <c r="AG287" s="2"/>
      <c r="AH287" s="2"/>
      <c r="AI287" s="2"/>
    </row>
    <row r="288" spans="22:35" ht="12.75" customHeight="1">
      <c r="V288" s="2"/>
      <c r="W288" s="2"/>
      <c r="X288" s="2"/>
      <c r="Y288" s="2"/>
      <c r="AE288" s="2"/>
      <c r="AF288" s="2"/>
      <c r="AG288" s="2"/>
      <c r="AH288" s="2"/>
      <c r="AI288" s="2"/>
    </row>
    <row r="289" spans="22:35" ht="12.75" customHeight="1">
      <c r="V289" s="2"/>
      <c r="W289" s="2"/>
      <c r="X289" s="2"/>
      <c r="Y289" s="2"/>
      <c r="AE289" s="2"/>
      <c r="AF289" s="2"/>
      <c r="AG289" s="2"/>
      <c r="AH289" s="2"/>
      <c r="AI289" s="2"/>
    </row>
    <row r="290" spans="22:35" ht="12.75" customHeight="1">
      <c r="V290" s="2"/>
      <c r="W290" s="2"/>
      <c r="X290" s="2"/>
      <c r="Y290" s="2"/>
      <c r="AE290" s="2"/>
      <c r="AF290" s="2"/>
      <c r="AG290" s="2"/>
      <c r="AH290" s="2"/>
      <c r="AI290" s="2"/>
    </row>
    <row r="291" spans="22:35" ht="12.75" customHeight="1">
      <c r="V291" s="2"/>
      <c r="W291" s="2"/>
      <c r="X291" s="2"/>
      <c r="Y291" s="2"/>
      <c r="AE291" s="2"/>
      <c r="AF291" s="2"/>
      <c r="AG291" s="2"/>
      <c r="AH291" s="2"/>
      <c r="AI291" s="2"/>
    </row>
    <row r="292" spans="22:35" ht="12.75" customHeight="1">
      <c r="V292" s="2"/>
      <c r="W292" s="2"/>
      <c r="X292" s="2"/>
      <c r="Y292" s="2"/>
      <c r="AE292" s="2"/>
      <c r="AF292" s="2"/>
      <c r="AG292" s="2"/>
      <c r="AH292" s="2"/>
      <c r="AI292" s="2"/>
    </row>
    <row r="293" spans="22:35" ht="12.75" customHeight="1">
      <c r="V293" s="2"/>
      <c r="W293" s="2"/>
      <c r="X293" s="2"/>
      <c r="Y293" s="2"/>
      <c r="AE293" s="2"/>
      <c r="AF293" s="2"/>
      <c r="AG293" s="2"/>
      <c r="AH293" s="2"/>
      <c r="AI293" s="2"/>
    </row>
    <row r="294" spans="22:35" ht="12.75" customHeight="1">
      <c r="V294" s="2"/>
      <c r="W294" s="2"/>
      <c r="X294" s="2"/>
      <c r="Y294" s="2"/>
      <c r="AE294" s="2"/>
      <c r="AF294" s="2"/>
      <c r="AG294" s="2"/>
      <c r="AH294" s="2"/>
      <c r="AI294" s="2"/>
    </row>
    <row r="295" spans="22:35" ht="12.75" customHeight="1">
      <c r="V295" s="2"/>
      <c r="W295" s="2"/>
      <c r="X295" s="2"/>
      <c r="Y295" s="2"/>
      <c r="AE295" s="2"/>
      <c r="AF295" s="2"/>
      <c r="AG295" s="2"/>
      <c r="AH295" s="2"/>
      <c r="AI295" s="2"/>
    </row>
    <row r="296" spans="22:35" ht="12.75" customHeight="1">
      <c r="V296" s="2"/>
      <c r="W296" s="2"/>
      <c r="X296" s="2"/>
      <c r="Y296" s="2"/>
      <c r="AE296" s="2"/>
      <c r="AF296" s="2"/>
      <c r="AG296" s="2"/>
      <c r="AH296" s="2"/>
      <c r="AI296" s="2"/>
    </row>
    <row r="297" spans="22:35" ht="12.75" customHeight="1">
      <c r="V297" s="2"/>
      <c r="W297" s="2"/>
      <c r="X297" s="2"/>
      <c r="Y297" s="2"/>
      <c r="AE297" s="2"/>
      <c r="AF297" s="2"/>
      <c r="AG297" s="2"/>
      <c r="AH297" s="2"/>
      <c r="AI297" s="2"/>
    </row>
    <row r="298" spans="22:35" ht="12.75" customHeight="1">
      <c r="V298" s="2"/>
      <c r="W298" s="2"/>
      <c r="X298" s="2"/>
      <c r="Y298" s="2"/>
      <c r="AE298" s="2"/>
      <c r="AF298" s="2"/>
      <c r="AG298" s="2"/>
      <c r="AH298" s="2"/>
      <c r="AI298" s="2"/>
    </row>
    <row r="299" spans="22:35" ht="12.75" customHeight="1">
      <c r="V299" s="2"/>
      <c r="W299" s="2"/>
      <c r="X299" s="2"/>
      <c r="Y299" s="2"/>
      <c r="AE299" s="2"/>
      <c r="AF299" s="2"/>
      <c r="AG299" s="2"/>
      <c r="AH299" s="2"/>
      <c r="AI299" s="2"/>
    </row>
    <row r="300" spans="22:35" ht="12.75" customHeight="1">
      <c r="V300" s="2"/>
      <c r="W300" s="2"/>
      <c r="X300" s="2"/>
      <c r="Y300" s="2"/>
      <c r="AE300" s="2"/>
      <c r="AF300" s="2"/>
      <c r="AG300" s="2"/>
      <c r="AH300" s="2"/>
      <c r="AI300" s="2"/>
    </row>
    <row r="301" spans="22:35" ht="12.75" customHeight="1">
      <c r="V301" s="2"/>
      <c r="W301" s="2"/>
      <c r="X301" s="2"/>
      <c r="Y301" s="2"/>
      <c r="AE301" s="2"/>
      <c r="AF301" s="2"/>
      <c r="AG301" s="2"/>
      <c r="AH301" s="2"/>
      <c r="AI301" s="2"/>
    </row>
    <row r="302" spans="22:35" ht="12.75" customHeight="1">
      <c r="V302" s="2"/>
      <c r="W302" s="2"/>
      <c r="X302" s="2"/>
      <c r="Y302" s="2"/>
      <c r="AE302" s="2"/>
      <c r="AF302" s="2"/>
      <c r="AG302" s="2"/>
      <c r="AH302" s="2"/>
      <c r="AI302" s="2"/>
    </row>
    <row r="303" spans="22:35" ht="12.75" customHeight="1">
      <c r="V303" s="2"/>
      <c r="W303" s="2"/>
      <c r="X303" s="2"/>
      <c r="Y303" s="2"/>
      <c r="AE303" s="2"/>
      <c r="AF303" s="2"/>
      <c r="AG303" s="2"/>
      <c r="AH303" s="2"/>
      <c r="AI303" s="2"/>
    </row>
    <row r="304" spans="22:35" ht="12.75" customHeight="1">
      <c r="V304" s="2"/>
      <c r="W304" s="2"/>
      <c r="X304" s="2"/>
      <c r="Y304" s="2"/>
      <c r="AE304" s="2"/>
      <c r="AF304" s="2"/>
      <c r="AG304" s="2"/>
      <c r="AH304" s="2"/>
      <c r="AI304" s="2"/>
    </row>
    <row r="305" spans="22:35" ht="12.75" customHeight="1">
      <c r="V305" s="2"/>
      <c r="W305" s="2"/>
      <c r="X305" s="2"/>
      <c r="Y305" s="2"/>
      <c r="AE305" s="2"/>
      <c r="AF305" s="2"/>
      <c r="AG305" s="2"/>
      <c r="AH305" s="2"/>
      <c r="AI305" s="2"/>
    </row>
    <row r="306" spans="22:35" ht="12.75" customHeight="1">
      <c r="V306" s="2"/>
      <c r="W306" s="2"/>
      <c r="X306" s="2"/>
      <c r="Y306" s="2"/>
      <c r="AE306" s="2"/>
      <c r="AF306" s="2"/>
      <c r="AG306" s="2"/>
      <c r="AH306" s="2"/>
      <c r="AI306" s="2"/>
    </row>
    <row r="307" spans="22:35" ht="12.75" customHeight="1">
      <c r="V307" s="2"/>
      <c r="W307" s="2"/>
      <c r="X307" s="2"/>
      <c r="Y307" s="2"/>
      <c r="AE307" s="2"/>
      <c r="AF307" s="2"/>
      <c r="AG307" s="2"/>
      <c r="AH307" s="2"/>
      <c r="AI307" s="2"/>
    </row>
    <row r="308" spans="22:35" ht="12.75" customHeight="1">
      <c r="V308" s="2"/>
      <c r="W308" s="2"/>
      <c r="X308" s="2"/>
      <c r="Y308" s="2"/>
      <c r="AE308" s="2"/>
      <c r="AF308" s="2"/>
      <c r="AG308" s="2"/>
      <c r="AH308" s="2"/>
      <c r="AI308" s="2"/>
    </row>
    <row r="309" spans="22:35" ht="12.75" customHeight="1">
      <c r="V309" s="2"/>
      <c r="W309" s="2"/>
      <c r="X309" s="2"/>
      <c r="Y309" s="2"/>
      <c r="AE309" s="2"/>
      <c r="AF309" s="2"/>
      <c r="AG309" s="2"/>
      <c r="AH309" s="2"/>
      <c r="AI309" s="2"/>
    </row>
    <row r="310" spans="22:35" ht="12.75" customHeight="1">
      <c r="V310" s="2"/>
      <c r="W310" s="2"/>
      <c r="X310" s="2"/>
      <c r="Y310" s="2"/>
      <c r="AE310" s="2"/>
      <c r="AF310" s="2"/>
      <c r="AG310" s="2"/>
      <c r="AH310" s="2"/>
      <c r="AI310" s="2"/>
    </row>
    <row r="311" spans="22:35" ht="12.75" customHeight="1">
      <c r="V311" s="2"/>
      <c r="W311" s="2"/>
      <c r="X311" s="2"/>
      <c r="Y311" s="2"/>
      <c r="AE311" s="2"/>
      <c r="AF311" s="2"/>
      <c r="AG311" s="2"/>
      <c r="AH311" s="2"/>
      <c r="AI311" s="2"/>
    </row>
    <row r="312" spans="22:35" ht="12.75" customHeight="1">
      <c r="V312" s="2"/>
      <c r="W312" s="2"/>
      <c r="X312" s="2"/>
      <c r="Y312" s="2"/>
      <c r="AE312" s="2"/>
      <c r="AF312" s="2"/>
      <c r="AG312" s="2"/>
      <c r="AH312" s="2"/>
      <c r="AI312" s="2"/>
    </row>
    <row r="313" spans="22:35" ht="12.75" customHeight="1">
      <c r="V313" s="2"/>
      <c r="W313" s="2"/>
      <c r="X313" s="2"/>
      <c r="Y313" s="2"/>
      <c r="AE313" s="2"/>
      <c r="AF313" s="2"/>
      <c r="AG313" s="2"/>
      <c r="AH313" s="2"/>
      <c r="AI313" s="2"/>
    </row>
    <row r="314" spans="22:35" ht="12.75" customHeight="1">
      <c r="V314" s="2"/>
      <c r="W314" s="2"/>
      <c r="X314" s="2"/>
      <c r="Y314" s="2"/>
      <c r="AE314" s="2"/>
      <c r="AF314" s="2"/>
      <c r="AG314" s="2"/>
      <c r="AH314" s="2"/>
      <c r="AI314" s="2"/>
    </row>
    <row r="315" spans="22:35" ht="12.75" customHeight="1">
      <c r="V315" s="2"/>
      <c r="W315" s="2"/>
      <c r="X315" s="2"/>
      <c r="Y315" s="2"/>
      <c r="AE315" s="2"/>
      <c r="AF315" s="2"/>
      <c r="AG315" s="2"/>
      <c r="AH315" s="2"/>
      <c r="AI315" s="2"/>
    </row>
    <row r="316" spans="22:35" ht="12.75" customHeight="1">
      <c r="V316" s="2"/>
      <c r="W316" s="2"/>
      <c r="X316" s="2"/>
      <c r="Y316" s="2"/>
      <c r="AE316" s="2"/>
      <c r="AF316" s="2"/>
      <c r="AG316" s="2"/>
      <c r="AH316" s="2"/>
      <c r="AI316" s="2"/>
    </row>
    <row r="317" spans="22:35" ht="12.75" customHeight="1">
      <c r="V317" s="2"/>
      <c r="W317" s="2"/>
      <c r="X317" s="2"/>
      <c r="Y317" s="2"/>
      <c r="AE317" s="2"/>
      <c r="AF317" s="2"/>
      <c r="AG317" s="2"/>
      <c r="AH317" s="2"/>
      <c r="AI317" s="2"/>
    </row>
    <row r="318" spans="22:35" ht="12.75" customHeight="1">
      <c r="V318" s="2"/>
      <c r="W318" s="2"/>
      <c r="X318" s="2"/>
      <c r="Y318" s="2"/>
      <c r="AE318" s="2"/>
      <c r="AF318" s="2"/>
      <c r="AG318" s="2"/>
      <c r="AH318" s="2"/>
      <c r="AI318" s="2"/>
    </row>
    <row r="319" spans="22:35" ht="12.75" customHeight="1">
      <c r="V319" s="2"/>
      <c r="W319" s="2"/>
      <c r="X319" s="2"/>
      <c r="Y319" s="2"/>
      <c r="AE319" s="2"/>
      <c r="AF319" s="2"/>
      <c r="AG319" s="2"/>
      <c r="AH319" s="2"/>
      <c r="AI319" s="2"/>
    </row>
    <row r="320" spans="22:35" ht="12.75" customHeight="1">
      <c r="V320" s="2"/>
      <c r="W320" s="2"/>
      <c r="X320" s="2"/>
      <c r="Y320" s="2"/>
      <c r="AE320" s="2"/>
      <c r="AF320" s="2"/>
      <c r="AG320" s="2"/>
      <c r="AH320" s="2"/>
      <c r="AI320" s="2"/>
    </row>
    <row r="321" spans="22:35" ht="12.75" customHeight="1">
      <c r="V321" s="2"/>
      <c r="W321" s="2"/>
      <c r="X321" s="2"/>
      <c r="Y321" s="2"/>
      <c r="AE321" s="2"/>
      <c r="AF321" s="2"/>
      <c r="AG321" s="2"/>
      <c r="AH321" s="2"/>
      <c r="AI321" s="2"/>
    </row>
    <row r="322" spans="22:35" ht="12.75" customHeight="1">
      <c r="V322" s="2"/>
      <c r="W322" s="2"/>
      <c r="X322" s="2"/>
      <c r="Y322" s="2"/>
      <c r="AE322" s="2"/>
      <c r="AF322" s="2"/>
      <c r="AG322" s="2"/>
      <c r="AH322" s="2"/>
      <c r="AI322" s="2"/>
    </row>
    <row r="323" spans="22:35" ht="12.75" customHeight="1">
      <c r="V323" s="2"/>
      <c r="W323" s="2"/>
      <c r="X323" s="2"/>
      <c r="Y323" s="2"/>
      <c r="AE323" s="2"/>
      <c r="AF323" s="2"/>
      <c r="AG323" s="2"/>
      <c r="AH323" s="2"/>
      <c r="AI323" s="2"/>
    </row>
    <row r="324" spans="22:35" ht="12.75" customHeight="1">
      <c r="V324" s="2"/>
      <c r="W324" s="2"/>
      <c r="X324" s="2"/>
      <c r="Y324" s="2"/>
      <c r="AE324" s="2"/>
      <c r="AF324" s="2"/>
      <c r="AG324" s="2"/>
      <c r="AH324" s="2"/>
      <c r="AI324" s="2"/>
    </row>
    <row r="325" spans="22:35" ht="12.75" customHeight="1">
      <c r="V325" s="2"/>
      <c r="W325" s="2"/>
      <c r="X325" s="2"/>
      <c r="Y325" s="2"/>
      <c r="AE325" s="2"/>
      <c r="AF325" s="2"/>
      <c r="AG325" s="2"/>
      <c r="AH325" s="2"/>
      <c r="AI325" s="2"/>
    </row>
    <row r="326" spans="22:35" ht="12.75" customHeight="1">
      <c r="V326" s="2"/>
      <c r="W326" s="2"/>
      <c r="X326" s="2"/>
      <c r="Y326" s="2"/>
      <c r="AE326" s="2"/>
      <c r="AF326" s="2"/>
      <c r="AG326" s="2"/>
      <c r="AH326" s="2"/>
      <c r="AI326" s="2"/>
    </row>
    <row r="327" spans="22:35" ht="12.75" customHeight="1">
      <c r="V327" s="2"/>
      <c r="W327" s="2"/>
      <c r="X327" s="2"/>
      <c r="Y327" s="2"/>
      <c r="AE327" s="2"/>
      <c r="AF327" s="2"/>
      <c r="AG327" s="2"/>
      <c r="AH327" s="2"/>
      <c r="AI327" s="2"/>
    </row>
    <row r="328" spans="22:25" ht="12.75" customHeight="1">
      <c r="V328" s="2"/>
      <c r="W328" s="2"/>
      <c r="X328" s="2"/>
      <c r="Y328" s="2"/>
    </row>
  </sheetData>
  <sheetProtection/>
  <conditionalFormatting sqref="DQ62:DV62 EH62:EM62 DX62:EE62 EP62:EV62">
    <cfRule type="cellIs" priority="1" dxfId="2" operator="equal" stopIfTrue="1">
      <formula>"OK"</formula>
    </cfRule>
    <cfRule type="cellIs" priority="2" dxfId="1" operator="equal" stopIfTrue="1">
      <formula>"ERROR"</formula>
    </cfRule>
  </conditionalFormatting>
  <conditionalFormatting sqref="A1:FE1">
    <cfRule type="cellIs" priority="3" dxfId="3" operator="notEqual" stopIfTrue="1">
      <formula>0</formula>
    </cfRule>
  </conditionalFormatting>
  <printOptions horizontalCentered="1"/>
  <pageMargins left="0.5" right="0.5" top="0.5" bottom="0.5" header="0.25" footer="0.25"/>
  <pageSetup fitToWidth="40" horizontalDpi="1200" verticalDpi="1200" orientation="portrait" scale="81" r:id="rId2"/>
  <colBreaks count="22" manualBreakCount="22">
    <brk id="6" min="5" max="59" man="1"/>
    <brk id="11" min="5" max="59" man="1"/>
    <brk id="16" min="5" max="59" man="1"/>
    <brk id="21" min="5" max="59" man="1"/>
    <brk id="25" min="5" max="59" man="1"/>
    <brk id="30" min="5" max="59" man="1"/>
    <brk id="35" min="5" max="59" man="1"/>
    <brk id="40" min="5" max="59" man="1"/>
    <brk id="45" min="5" max="59" man="1"/>
    <brk id="50" min="5" max="59" man="1"/>
    <brk id="54" min="5" max="59" man="1"/>
    <brk id="59" min="5" max="59" man="1"/>
    <brk id="64" min="5" max="59" man="1"/>
    <brk id="68" min="5" max="59" man="1"/>
    <brk id="71" min="5" max="59" man="1"/>
    <brk id="76" min="5" max="59" man="1"/>
    <brk id="81" min="5" max="59" man="1"/>
    <brk id="88" min="5" max="59" man="1"/>
    <brk id="93" min="5" max="59" man="1"/>
    <brk id="97" min="5" max="59" man="1"/>
    <brk id="102" min="5" max="59" man="1"/>
    <brk id="107" min="5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No Name</cp:lastModifiedBy>
  <cp:lastPrinted>2009-04-30T17:04:58Z</cp:lastPrinted>
  <dcterms:created xsi:type="dcterms:W3CDTF">1997-10-13T22:59:17Z</dcterms:created>
  <dcterms:modified xsi:type="dcterms:W3CDTF">2009-04-30T17:06:54Z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