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40" tabRatio="846" activeTab="0"/>
  </bookViews>
  <sheets>
    <sheet name="2005-2013 O&amp;M Plant WA" sheetId="1" r:id="rId1"/>
    <sheet name="2005-2013 O&amp;M Plant ID" sheetId="2" r:id="rId2"/>
    <sheet name="Total" sheetId="3" r:id="rId3"/>
    <sheet name="Steam" sheetId="4" r:id="rId4"/>
    <sheet name="Hydro" sheetId="5" r:id="rId5"/>
    <sheet name="Headwater" sheetId="6" r:id="rId6"/>
    <sheet name="Other" sheetId="7" r:id="rId7"/>
    <sheet name="Other 098" sheetId="8" r:id="rId8"/>
  </sheets>
  <externalReferences>
    <externalReference r:id="rId11"/>
  </externalReferences>
  <definedNames>
    <definedName name="_xlnm.Print_Area" localSheetId="1">'2005-2013 O&amp;M Plant ID'!$O$1:$AJ$58</definedName>
    <definedName name="_xlnm.Print_Area" localSheetId="0">'2005-2013 O&amp;M Plant WA'!$A$1:$AI$54</definedName>
  </definedNames>
  <calcPr fullCalcOnLoad="1"/>
</workbook>
</file>

<file path=xl/comments1.xml><?xml version="1.0" encoding="utf-8"?>
<comments xmlns="http://schemas.openxmlformats.org/spreadsheetml/2006/main">
  <authors>
    <author>fz7bgt</author>
    <author>kznwdg</author>
  </authors>
  <commentList>
    <comment ref="AC28" authorId="0">
      <text>
        <r>
          <rPr>
            <b/>
            <sz val="8"/>
            <rFont val="Tahoma"/>
            <family val="0"/>
          </rPr>
          <t>Could increase by $500,000 in 2010</t>
        </r>
        <r>
          <rPr>
            <sz val="8"/>
            <rFont val="Tahoma"/>
            <family val="0"/>
          </rPr>
          <t xml:space="preserve">
</t>
        </r>
      </text>
    </comment>
    <comment ref="X11" authorId="1">
      <text>
        <r>
          <rPr>
            <b/>
            <sz val="8"/>
            <rFont val="Tahoma"/>
            <family val="0"/>
          </rPr>
          <t>kznwdg:</t>
        </r>
        <r>
          <rPr>
            <sz val="8"/>
            <rFont val="Tahoma"/>
            <family val="0"/>
          </rPr>
          <t xml:space="preserve">
Rathdrum Lease went away</t>
        </r>
      </text>
    </comment>
    <comment ref="X13" authorId="1">
      <text>
        <r>
          <rPr>
            <b/>
            <sz val="8"/>
            <rFont val="Tahoma"/>
            <family val="0"/>
          </rPr>
          <t>kznwdg:</t>
        </r>
        <r>
          <rPr>
            <sz val="8"/>
            <rFont val="Tahoma"/>
            <family val="0"/>
          </rPr>
          <t xml:space="preserve">
Oil spill went away</t>
        </r>
      </text>
    </comment>
  </commentList>
</comments>
</file>

<file path=xl/comments2.xml><?xml version="1.0" encoding="utf-8"?>
<comments xmlns="http://schemas.openxmlformats.org/spreadsheetml/2006/main">
  <authors>
    <author>fz7bgt</author>
    <author>kznwdg</author>
  </authors>
  <commentList>
    <comment ref="AC28" authorId="0">
      <text>
        <r>
          <rPr>
            <b/>
            <sz val="8"/>
            <rFont val="Tahoma"/>
            <family val="0"/>
          </rPr>
          <t>Could increase by $500,000 in 2010</t>
        </r>
        <r>
          <rPr>
            <sz val="8"/>
            <rFont val="Tahoma"/>
            <family val="0"/>
          </rPr>
          <t xml:space="preserve">
</t>
        </r>
      </text>
    </comment>
    <comment ref="X11" authorId="1">
      <text>
        <r>
          <rPr>
            <b/>
            <sz val="8"/>
            <rFont val="Tahoma"/>
            <family val="0"/>
          </rPr>
          <t>kznwdg:</t>
        </r>
        <r>
          <rPr>
            <sz val="8"/>
            <rFont val="Tahoma"/>
            <family val="0"/>
          </rPr>
          <t xml:space="preserve">
Rathdrum Lease went away</t>
        </r>
      </text>
    </comment>
    <comment ref="X13" authorId="1">
      <text>
        <r>
          <rPr>
            <b/>
            <sz val="8"/>
            <rFont val="Tahoma"/>
            <family val="0"/>
          </rPr>
          <t>kznwdg:</t>
        </r>
        <r>
          <rPr>
            <sz val="8"/>
            <rFont val="Tahoma"/>
            <family val="0"/>
          </rPr>
          <t xml:space="preserve">
Oil spill went away</t>
        </r>
      </text>
    </comment>
  </commentList>
</comments>
</file>

<file path=xl/sharedStrings.xml><?xml version="1.0" encoding="utf-8"?>
<sst xmlns="http://schemas.openxmlformats.org/spreadsheetml/2006/main" count="996" uniqueCount="218">
  <si>
    <t>501200</t>
  </si>
  <si>
    <t>500000</t>
  </si>
  <si>
    <t>514000</t>
  </si>
  <si>
    <t>513000</t>
  </si>
  <si>
    <t>512000</t>
  </si>
  <si>
    <t>511000</t>
  </si>
  <si>
    <t>510000</t>
  </si>
  <si>
    <t>507000</t>
  </si>
  <si>
    <t>506000</t>
  </si>
  <si>
    <t>505000</t>
  </si>
  <si>
    <t>502000</t>
  </si>
  <si>
    <t>COLSTRIP 3 &amp; COMMON</t>
  </si>
  <si>
    <t>410</t>
  </si>
  <si>
    <t>KETTLE FALLS GENERATION</t>
  </si>
  <si>
    <t>212</t>
  </si>
  <si>
    <t>554000</t>
  </si>
  <si>
    <t>553000</t>
  </si>
  <si>
    <t>551000</t>
  </si>
  <si>
    <t>549000</t>
  </si>
  <si>
    <t>546000</t>
  </si>
  <si>
    <t>550000</t>
  </si>
  <si>
    <t>548000</t>
  </si>
  <si>
    <t>COYOTE SPRINGS 2 CT</t>
  </si>
  <si>
    <t>610</t>
  </si>
  <si>
    <t>RATHDRUM TURBINE GEN</t>
  </si>
  <si>
    <t>310</t>
  </si>
  <si>
    <t>BOULDER PARK GENERATION</t>
  </si>
  <si>
    <t>216</t>
  </si>
  <si>
    <t>NORTHEAST TURBINE GEN</t>
  </si>
  <si>
    <t>213</t>
  </si>
  <si>
    <t>KETTLE FALLS CT</t>
  </si>
  <si>
    <t>211</t>
  </si>
  <si>
    <t>11 &amp; 1</t>
  </si>
  <si>
    <t>545300</t>
  </si>
  <si>
    <t>Test Year 12ME</t>
  </si>
  <si>
    <t>2008</t>
  </si>
  <si>
    <t>Accounting Year</t>
  </si>
  <si>
    <t>Transaction Analysis  Selection: BeginAccounting Period : '200710' , Ending Accounting Period : '200809' , BeginGl Ferc Account : '500000' , EndFerc Acct Parameter 1 : '554000' , Statind Parameter 1 : 'DL'</t>
  </si>
  <si>
    <t>Transaction Analysis  Selection: BeginAccounting Period : '200710' , Ending Accounting Period : '200809' , BeginGl Ferc Account : '500000' , EndFerc Acct Parameter 1 : '514000' , Statind Parameter 1 : 'DL'</t>
  </si>
  <si>
    <t>Transaction Analysis  Selection: BeginAccounting Period : '200710' , Ending Accounting Period : '200809' , BeginGl Ferc Account : '535000' , EndFerc Acct Parameter 1 : '545000' , Statind Parameter 1 : 'DL'</t>
  </si>
  <si>
    <t>Transaction Analysis  Selection: BeginAccounting Period : '200710' , Ending Accounting Period : '200809' , BeginGl Ferc Account : '546000' , EndFerc Acct Parameter 1 : '554000' , Statind Parameter 1 : 'DL'</t>
  </si>
  <si>
    <t>Rental</t>
  </si>
  <si>
    <t>Ava Jet:469-MISC P</t>
  </si>
  <si>
    <t>Transaction Analysis  Selection: BeginAccounting Period : '200710' , Ending Accounting Period : '200809' , BeginGl Ferc Account : '536000' , EndFerc Acct Parameter 1 : '536000' , Statind Parameter 1 : 'DL'</t>
  </si>
  <si>
    <t>PM&amp;Es</t>
  </si>
  <si>
    <t>Rathdrum Refund</t>
  </si>
  <si>
    <t>Transaction Desc</t>
  </si>
  <si>
    <t>2007</t>
  </si>
  <si>
    <t>Transaction Amount</t>
  </si>
  <si>
    <t>Accounting Period:&lt;All&gt;</t>
  </si>
  <si>
    <t xml:space="preserve"> </t>
  </si>
  <si>
    <t>HWB-BPA</t>
  </si>
  <si>
    <t>HWB- PPL</t>
  </si>
  <si>
    <t>RC K07 Dean Hull</t>
  </si>
  <si>
    <t>RC T07 - C07 Jerry Cox</t>
  </si>
  <si>
    <t>RC C06 Thomas Dempsey</t>
  </si>
  <si>
    <t>RC N06 Thomas Dempsey</t>
  </si>
  <si>
    <t xml:space="preserve">  Clark Fork and Spokane River Hydro </t>
  </si>
  <si>
    <t xml:space="preserve"> Andy Vickers</t>
  </si>
  <si>
    <t>Bruce Howard</t>
  </si>
  <si>
    <t xml:space="preserve">  MT Riverbed  (Org H04)</t>
  </si>
  <si>
    <t>Total Company Hydro</t>
  </si>
  <si>
    <t>Other Hydro Adjustments</t>
  </si>
  <si>
    <t xml:space="preserve">South Lake CdA (Org A01) </t>
  </si>
  <si>
    <t xml:space="preserve">  PM&amp;Es (Org B04)</t>
  </si>
  <si>
    <t>Total Plant O&amp;M for GRC</t>
  </si>
  <si>
    <t xml:space="preserve">  Headwater Expense (Org E55)</t>
  </si>
  <si>
    <t xml:space="preserve"> Little Falls Rental (Org A01)</t>
  </si>
  <si>
    <t>Other GRC Hydro Adjustments</t>
  </si>
  <si>
    <t>Actual</t>
  </si>
  <si>
    <t>Forecast</t>
  </si>
  <si>
    <t>Full</t>
  </si>
  <si>
    <t>Generation (MWh)</t>
  </si>
  <si>
    <t>Location</t>
  </si>
  <si>
    <t>Availability</t>
  </si>
  <si>
    <t>O &amp; M, Fuel &amp; MWh tax</t>
  </si>
  <si>
    <t>Colstrip</t>
  </si>
  <si>
    <t>Colstrip - Location No. 410 &amp; 411</t>
  </si>
  <si>
    <t>Centralia</t>
  </si>
  <si>
    <t>O&amp;M</t>
  </si>
  <si>
    <t>CS2</t>
  </si>
  <si>
    <t>KFGS - Location No. 212</t>
  </si>
  <si>
    <t>Company Hydro</t>
  </si>
  <si>
    <t>WNP#3</t>
  </si>
  <si>
    <t>Small Generation (PURPA)</t>
  </si>
  <si>
    <t>NECT - Location No. 213</t>
  </si>
  <si>
    <t>(1) Should be gross 2002 is net of Canadian Entitlement</t>
  </si>
  <si>
    <t>cost/KWh</t>
  </si>
  <si>
    <t>KFCT - Location No. 211</t>
  </si>
  <si>
    <t>BPRK - Location No. 216</t>
  </si>
  <si>
    <t>CS2 - Location No. 610</t>
  </si>
  <si>
    <t>Total Steam</t>
  </si>
  <si>
    <t>Total Other</t>
  </si>
  <si>
    <t xml:space="preserve">O and M cost only </t>
  </si>
  <si>
    <t>Accounts 500 through 554</t>
  </si>
  <si>
    <t>Total</t>
  </si>
  <si>
    <t>Plant Location Desc</t>
  </si>
  <si>
    <t>Ferc Acct</t>
  </si>
  <si>
    <t>028</t>
  </si>
  <si>
    <t>WASHINGTON</t>
  </si>
  <si>
    <t>535000</t>
  </si>
  <si>
    <t>537200</t>
  </si>
  <si>
    <t>537300</t>
  </si>
  <si>
    <t>541000</t>
  </si>
  <si>
    <t>Sum</t>
  </si>
  <si>
    <t>038</t>
  </si>
  <si>
    <t>IDAHO</t>
  </si>
  <si>
    <t>540000</t>
  </si>
  <si>
    <t>098</t>
  </si>
  <si>
    <t>COMMON-WA/ID</t>
  </si>
  <si>
    <t>536000</t>
  </si>
  <si>
    <t>537000</t>
  </si>
  <si>
    <t>538000</t>
  </si>
  <si>
    <t>539000</t>
  </si>
  <si>
    <t>542000</t>
  </si>
  <si>
    <t>543000</t>
  </si>
  <si>
    <t>544000</t>
  </si>
  <si>
    <t>545000</t>
  </si>
  <si>
    <t>200</t>
  </si>
  <si>
    <t>SPOKANE PWR PLANT - HYDRO</t>
  </si>
  <si>
    <t>201</t>
  </si>
  <si>
    <t>MONROE STREET - HYDRO</t>
  </si>
  <si>
    <t>202</t>
  </si>
  <si>
    <t>LITTLE FALLS - HYDRO</t>
  </si>
  <si>
    <t>203</t>
  </si>
  <si>
    <t>LONG LAKE - HYDRO</t>
  </si>
  <si>
    <t>204</t>
  </si>
  <si>
    <t>SPOKANE UPPER FALLS-HYDRO</t>
  </si>
  <si>
    <t>205</t>
  </si>
  <si>
    <t>NINE MILE - HYDRO</t>
  </si>
  <si>
    <t>300</t>
  </si>
  <si>
    <t>POST FALLS-HYDRO</t>
  </si>
  <si>
    <t>304</t>
  </si>
  <si>
    <t>CABINET GORGE-HYDRO</t>
  </si>
  <si>
    <t>307</t>
  </si>
  <si>
    <t>CABINET GORGE-NON-PROJ</t>
  </si>
  <si>
    <t>401</t>
  </si>
  <si>
    <t>NOXON RAPIDS - HYDRO</t>
  </si>
  <si>
    <t>402</t>
  </si>
  <si>
    <t>NOXON RAPIDS - NON-PROJ</t>
  </si>
  <si>
    <t>NULL</t>
  </si>
  <si>
    <t>SUPPLIES</t>
  </si>
  <si>
    <t>RETEST</t>
  </si>
  <si>
    <t>RENTAL</t>
  </si>
  <si>
    <t>RATH EMISSIONS SOFTWARE-ANNUAL</t>
  </si>
  <si>
    <t>RATH EMISSION SOFTWARE ANNUAL</t>
  </si>
  <si>
    <t>NECT PENALTY</t>
  </si>
  <si>
    <t>Mileage</t>
  </si>
  <si>
    <t>Meals</t>
  </si>
  <si>
    <t>Materials</t>
  </si>
  <si>
    <t>Lodging</t>
  </si>
  <si>
    <t>KUSEL</t>
  </si>
  <si>
    <t>KENYON</t>
  </si>
  <si>
    <t>JASON GRAHAM</t>
  </si>
  <si>
    <t>FUEL</t>
  </si>
  <si>
    <t>FEB MECT TEST</t>
  </si>
  <si>
    <t>EXPENSES</t>
  </si>
  <si>
    <t>EMISSION TESTING</t>
  </si>
  <si>
    <t>EMISSION TEST/NECT</t>
  </si>
  <si>
    <t>EMISSION TEST AT NECT</t>
  </si>
  <si>
    <t>CATH RATA</t>
  </si>
  <si>
    <t>AOP RENEWAL WORK</t>
  </si>
  <si>
    <t>AOP PREP</t>
  </si>
  <si>
    <t>ANNUAL PERMIT FEE</t>
  </si>
  <si>
    <t>ANNUAL AOP FEE</t>
  </si>
  <si>
    <t>AIR QUALITY SUPPORT</t>
  </si>
  <si>
    <t>AIR QUALITY FEE</t>
  </si>
  <si>
    <t>ADVERTISING</t>
  </si>
  <si>
    <t>ADS FOR ELE ENGR POSITION PO</t>
  </si>
  <si>
    <t>Location:098</t>
  </si>
  <si>
    <t>Expenditure Organization:&lt;All&gt;</t>
  </si>
  <si>
    <t>Ava Jet:&lt;All&gt;</t>
  </si>
  <si>
    <t>Rathdrum</t>
  </si>
  <si>
    <t>KFGS</t>
  </si>
  <si>
    <t>NECT</t>
  </si>
  <si>
    <t>SERVICES (ESC - Rathdrum software)</t>
  </si>
  <si>
    <t>Thanks for your help!!!  Theresa</t>
  </si>
  <si>
    <t>NECT 12/07</t>
  </si>
  <si>
    <t xml:space="preserve">Note 1  - 2005 Rathdrum adjusted </t>
  </si>
  <si>
    <t xml:space="preserve">  to eliminate lease payment - $3,476,757)</t>
  </si>
  <si>
    <t>RGEN - Location No. 310  (Note 1)</t>
  </si>
  <si>
    <t>Assume NECT</t>
  </si>
  <si>
    <t>Excludes Mercury Abatement</t>
  </si>
  <si>
    <t>2009 vs</t>
  </si>
  <si>
    <t>(Actual thru Nov/Forecast Dec)</t>
  </si>
  <si>
    <t>P/T Ratio</t>
  </si>
  <si>
    <t>WA</t>
  </si>
  <si>
    <t>ID</t>
  </si>
  <si>
    <t>TY: 12ME 9/08</t>
  </si>
  <si>
    <t>vs   2010</t>
  </si>
  <si>
    <t>Annual expenses completed throughout the year</t>
  </si>
  <si>
    <t>split for ID pro forma period</t>
  </si>
  <si>
    <t>/2</t>
  </si>
  <si>
    <t>Expenses</t>
  </si>
  <si>
    <t>ID Pro Forma period total</t>
  </si>
  <si>
    <t>plus Major O&amp;M completed during PF period</t>
  </si>
  <si>
    <t>Production &amp; Generation Operating &amp; Maintenance Plant Expense</t>
  </si>
  <si>
    <t>WA 2010 Pro Forma</t>
  </si>
  <si>
    <t>WA Pro Forma Period 2010</t>
  </si>
  <si>
    <t>ID Pro Forma Period 7/1/09-6/30/10</t>
  </si>
  <si>
    <t>WA Adj</t>
  </si>
  <si>
    <t>ID Adj</t>
  </si>
  <si>
    <t>Test Period</t>
  </si>
  <si>
    <t>(see workpapers)</t>
  </si>
  <si>
    <t>ID Pro Forma</t>
  </si>
  <si>
    <t>Hydro</t>
  </si>
  <si>
    <t>Major O&amp;M Completed  May 2010</t>
  </si>
  <si>
    <t>BPK</t>
  </si>
  <si>
    <t>Major O&amp;M Completed b/w 5/09-6/09</t>
  </si>
  <si>
    <t>Major O&amp;M Completed  b/w 7/09-9/09</t>
  </si>
  <si>
    <t>Major O&amp;M Completed  b/w 4/10-5/10</t>
  </si>
  <si>
    <t>Major O&amp;M Completed  7/10-9/10</t>
  </si>
  <si>
    <t>System Pro Forma Plant O&amp;M</t>
  </si>
  <si>
    <t>(use for ID Adj Pro Forma period)</t>
  </si>
  <si>
    <t>(system adj for ID Pro Forma)</t>
  </si>
  <si>
    <t xml:space="preserve">Incremental System O&amp;M plant </t>
  </si>
  <si>
    <t>(Total major O&amp;M b/w 7/09-6/10 ID pro forma period)</t>
  </si>
  <si>
    <t>Production &amp; Generation Operating &amp; Maintenance Plant Expense (incremental non-labor)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</si>
</sst>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(&quot;$&quot;#,##0\)"/>
    <numFmt numFmtId="165" formatCode="0.0000"/>
    <numFmt numFmtId="166" formatCode="&quot;$&quot;0.0000"/>
    <numFmt numFmtId="167" formatCode="0.00000"/>
    <numFmt numFmtId="168" formatCode="&quot;$&quot;0.00000"/>
    <numFmt numFmtId="169" formatCode="&quot;$&quot;0.000000"/>
    <numFmt numFmtId="170" formatCode="&quot;$&quot;#,##0"/>
    <numFmt numFmtId="171" formatCode="0.000000"/>
    <numFmt numFmtId="172" formatCode="&quot;$&quot;#,##0.00"/>
    <numFmt numFmtId="173" formatCode="#,##0.0"/>
    <numFmt numFmtId="174" formatCode="0.000%"/>
    <numFmt numFmtId="175" formatCode="#,##0.000"/>
    <numFmt numFmtId="176" formatCode="#,##0.0000"/>
    <numFmt numFmtId="177" formatCode="&quot;$&quot;#,##0.0;\(&quot;$&quot;#,##0.0\)"/>
    <numFmt numFmtId="178" formatCode="&quot;$&quot;#,##0.00;\(&quot;$&quot;#,##0.00\)"/>
    <numFmt numFmtId="179" formatCode="&quot;$&quot;#,##0.000;\(&quot;$&quot;#,##0.000\)"/>
    <numFmt numFmtId="180" formatCode="&quot;$&quot;#,##0.0000;\(&quot;$&quot;#,##0.0000\)"/>
    <numFmt numFmtId="181" formatCode="&quot;$&quot;#,##0.00000;\(&quot;$&quot;#,##0.00000\)"/>
    <numFmt numFmtId="182" formatCode="0.00000000"/>
    <numFmt numFmtId="183" formatCode="0.000000000"/>
    <numFmt numFmtId="184" formatCode="0.0000000000"/>
    <numFmt numFmtId="185" formatCode="0.0000000"/>
    <numFmt numFmtId="186" formatCode="#,##0.00000"/>
    <numFmt numFmtId="187" formatCode="&quot;$&quot;#,##0.000_);[Red]\(&quot;$&quot;#,##0.000\)"/>
    <numFmt numFmtId="188" formatCode="&quot;$&quot;#,##0.0000_);[Red]\(&quot;$&quot;#,##0.0000\)"/>
    <numFmt numFmtId="189" formatCode="m/d"/>
    <numFmt numFmtId="190" formatCode="&quot;$&quot;#,##0.0"/>
    <numFmt numFmtId="191" formatCode="0.0%"/>
    <numFmt numFmtId="192" formatCode="#,##0.0_);\(#,##0.0\)"/>
    <numFmt numFmtId="193" formatCode="#,##0.000_);\(#,##0.000\)"/>
    <numFmt numFmtId="194" formatCode="#,##0.0000_);\(#,##0.0000\)"/>
    <numFmt numFmtId="195" formatCode="#,##0.00000_);\(#,##0.00000\)"/>
    <numFmt numFmtId="196" formatCode="#,##0.000000_);\(#,##0.000000\)"/>
    <numFmt numFmtId="197" formatCode="&quot;$&quot;0.000"/>
    <numFmt numFmtId="198" formatCode="&quot;$&quot;0.00"/>
    <numFmt numFmtId="199" formatCode="0.000"/>
    <numFmt numFmtId="200" formatCode="0.00000000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#,###,###.00"/>
    <numFmt numFmtId="205" formatCode="#,###,###,###.000"/>
    <numFmt numFmtId="206" formatCode="#,###,###,###.0000"/>
    <numFmt numFmtId="207" formatCode="#,###,###,###.0"/>
    <numFmt numFmtId="208" formatCode="#,###,###,###"/>
    <numFmt numFmtId="209" formatCode="0.0"/>
    <numFmt numFmtId="210" formatCode="&quot;$&quot;#,##0.0_);\(&quot;$&quot;#,##0.0\)"/>
  </numFmts>
  <fonts count="3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9"/>
      <color indexed="36"/>
      <name val="Geneva"/>
      <family val="0"/>
    </font>
    <font>
      <u val="single"/>
      <sz val="9"/>
      <color indexed="12"/>
      <name val="Geneva"/>
      <family val="0"/>
    </font>
    <font>
      <sz val="8"/>
      <name val="Times New Roman"/>
      <family val="1"/>
    </font>
    <font>
      <sz val="10"/>
      <color indexed="10"/>
      <name val="Geneva"/>
      <family val="0"/>
    </font>
    <font>
      <b/>
      <sz val="8"/>
      <name val="Times New Roman"/>
      <family val="1"/>
    </font>
    <font>
      <u val="single"/>
      <sz val="8"/>
      <name val="Times New Roman"/>
      <family val="1"/>
    </font>
    <font>
      <sz val="8"/>
      <color indexed="10"/>
      <name val="Times New Roman"/>
      <family val="1"/>
    </font>
    <font>
      <b/>
      <sz val="8"/>
      <color indexed="50"/>
      <name val="Times New Roman"/>
      <family val="1"/>
    </font>
    <font>
      <b/>
      <sz val="8"/>
      <color indexed="17"/>
      <name val="Times New Roman"/>
      <family val="1"/>
    </font>
    <font>
      <sz val="8"/>
      <color indexed="17"/>
      <name val="Times New Roman"/>
      <family val="1"/>
    </font>
    <font>
      <sz val="10"/>
      <color indexed="17"/>
      <name val="Geneva"/>
      <family val="0"/>
    </font>
    <font>
      <b/>
      <sz val="10"/>
      <color indexed="12"/>
      <name val="Geneva"/>
      <family val="0"/>
    </font>
    <font>
      <b/>
      <sz val="8"/>
      <color indexed="10"/>
      <name val="Times New Roman"/>
      <family val="1"/>
    </font>
    <font>
      <sz val="10"/>
      <color indexed="12"/>
      <name val="Geneva"/>
      <family val="0"/>
    </font>
    <font>
      <sz val="8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"/>
      <color indexed="8"/>
      <name val="Arial"/>
      <family val="2"/>
    </font>
    <font>
      <sz val="11"/>
      <color indexed="8"/>
      <name val="Arial"/>
      <family val="2"/>
    </font>
    <font>
      <sz val="8"/>
      <name val="Geneva"/>
      <family val="0"/>
    </font>
    <font>
      <sz val="11"/>
      <color indexed="10"/>
      <name val="Arial"/>
      <family val="2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8"/>
      <color indexed="10"/>
      <name val="Geneva"/>
      <family val="0"/>
    </font>
    <font>
      <b/>
      <sz val="14"/>
      <name val="Times New Roman"/>
      <family val="1"/>
    </font>
    <font>
      <b/>
      <sz val="8"/>
      <name val="Geneva"/>
      <family val="2"/>
    </font>
  </fonts>
  <fills count="10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/>
      <bottom style="double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2" borderId="1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8" fillId="3" borderId="4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3" fontId="11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8" fillId="0" borderId="0" xfId="0" applyNumberFormat="1" applyFont="1" applyFill="1" applyBorder="1" applyAlignment="1">
      <alignment/>
    </xf>
    <xf numFmtId="3" fontId="6" fillId="0" borderId="2" xfId="0" applyNumberFormat="1" applyFont="1" applyFill="1" applyBorder="1" applyAlignment="1">
      <alignment/>
    </xf>
    <xf numFmtId="3" fontId="8" fillId="2" borderId="3" xfId="0" applyNumberFormat="1" applyFont="1" applyFill="1" applyBorder="1" applyAlignment="1">
      <alignment/>
    </xf>
    <xf numFmtId="3" fontId="12" fillId="3" borderId="2" xfId="0" applyNumberFormat="1" applyFont="1" applyFill="1" applyBorder="1" applyAlignment="1">
      <alignment/>
    </xf>
    <xf numFmtId="170" fontId="6" fillId="0" borderId="5" xfId="0" applyNumberFormat="1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0" fillId="0" borderId="5" xfId="0" applyFill="1" applyBorder="1" applyAlignment="1">
      <alignment/>
    </xf>
    <xf numFmtId="0" fontId="1" fillId="0" borderId="5" xfId="0" applyFont="1" applyFill="1" applyBorder="1" applyAlignment="1">
      <alignment/>
    </xf>
    <xf numFmtId="3" fontId="6" fillId="2" borderId="3" xfId="0" applyNumberFormat="1" applyFont="1" applyFill="1" applyBorder="1" applyAlignment="1">
      <alignment/>
    </xf>
    <xf numFmtId="3" fontId="6" fillId="3" borderId="2" xfId="0" applyNumberFormat="1" applyFont="1" applyFill="1" applyBorder="1" applyAlignment="1">
      <alignment/>
    </xf>
    <xf numFmtId="170" fontId="6" fillId="0" borderId="0" xfId="0" applyNumberFormat="1" applyFont="1" applyFill="1" applyBorder="1" applyAlignment="1">
      <alignment/>
    </xf>
    <xf numFmtId="5" fontId="13" fillId="3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5" fontId="6" fillId="0" borderId="5" xfId="0" applyNumberFormat="1" applyFont="1" applyFill="1" applyBorder="1" applyAlignment="1">
      <alignment/>
    </xf>
    <xf numFmtId="5" fontId="0" fillId="0" borderId="5" xfId="0" applyNumberFormat="1" applyFill="1" applyBorder="1" applyAlignment="1">
      <alignment/>
    </xf>
    <xf numFmtId="5" fontId="14" fillId="0" borderId="5" xfId="0" applyNumberFormat="1" applyFont="1" applyFill="1" applyBorder="1" applyAlignment="1">
      <alignment/>
    </xf>
    <xf numFmtId="5" fontId="13" fillId="0" borderId="0" xfId="0" applyNumberFormat="1" applyFont="1" applyFill="1" applyBorder="1" applyAlignment="1">
      <alignment/>
    </xf>
    <xf numFmtId="3" fontId="11" fillId="0" borderId="6" xfId="0" applyNumberFormat="1" applyFont="1" applyFill="1" applyBorder="1" applyAlignment="1">
      <alignment/>
    </xf>
    <xf numFmtId="3" fontId="6" fillId="0" borderId="6" xfId="0" applyNumberFormat="1" applyFont="1" applyFill="1" applyBorder="1" applyAlignment="1">
      <alignment/>
    </xf>
    <xf numFmtId="3" fontId="8" fillId="0" borderId="6" xfId="0" applyNumberFormat="1" applyFont="1" applyFill="1" applyBorder="1" applyAlignment="1">
      <alignment/>
    </xf>
    <xf numFmtId="3" fontId="6" fillId="0" borderId="7" xfId="0" applyNumberFormat="1" applyFont="1" applyFill="1" applyBorder="1" applyAlignment="1">
      <alignment/>
    </xf>
    <xf numFmtId="3" fontId="8" fillId="2" borderId="8" xfId="0" applyNumberFormat="1" applyFont="1" applyFill="1" applyBorder="1" applyAlignment="1">
      <alignment/>
    </xf>
    <xf numFmtId="0" fontId="15" fillId="0" borderId="0" xfId="0" applyFont="1" applyAlignment="1">
      <alignment/>
    </xf>
    <xf numFmtId="3" fontId="6" fillId="0" borderId="0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5" fontId="6" fillId="0" borderId="0" xfId="0" applyNumberFormat="1" applyFont="1" applyFill="1" applyAlignment="1">
      <alignment/>
    </xf>
    <xf numFmtId="5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5" fontId="6" fillId="0" borderId="0" xfId="0" applyNumberFormat="1" applyFont="1" applyFill="1" applyAlignment="1">
      <alignment horizontal="center"/>
    </xf>
    <xf numFmtId="170" fontId="6" fillId="0" borderId="0" xfId="0" applyNumberFormat="1" applyFont="1" applyAlignment="1">
      <alignment/>
    </xf>
    <xf numFmtId="5" fontId="6" fillId="0" borderId="0" xfId="0" applyNumberFormat="1" applyFont="1" applyFill="1" applyBorder="1" applyAlignment="1">
      <alignment/>
    </xf>
    <xf numFmtId="0" fontId="8" fillId="0" borderId="0" xfId="0" applyFont="1" applyAlignment="1" quotePrefix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3" fontId="16" fillId="0" borderId="0" xfId="0" applyNumberFormat="1" applyFont="1" applyBorder="1" applyAlignment="1">
      <alignment/>
    </xf>
    <xf numFmtId="188" fontId="6" fillId="0" borderId="0" xfId="16" applyNumberFormat="1" applyFont="1" applyBorder="1" applyAlignment="1">
      <alignment/>
    </xf>
    <xf numFmtId="0" fontId="6" fillId="0" borderId="0" xfId="0" applyFont="1" applyAlignment="1">
      <alignment/>
    </xf>
    <xf numFmtId="170" fontId="6" fillId="0" borderId="0" xfId="0" applyNumberFormat="1" applyFont="1" applyFill="1" applyBorder="1" applyAlignment="1">
      <alignment/>
    </xf>
    <xf numFmtId="5" fontId="13" fillId="3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19" fillId="0" borderId="0" xfId="0" applyFont="1" applyFill="1" applyAlignment="1">
      <alignment/>
    </xf>
    <xf numFmtId="5" fontId="19" fillId="0" borderId="0" xfId="0" applyNumberFormat="1" applyFont="1" applyFill="1" applyAlignment="1">
      <alignment/>
    </xf>
    <xf numFmtId="208" fontId="20" fillId="0" borderId="0" xfId="0" applyNumberFormat="1" applyFont="1" applyFill="1" applyBorder="1" applyAlignment="1">
      <alignment horizontal="right" vertical="top"/>
    </xf>
    <xf numFmtId="5" fontId="6" fillId="0" borderId="6" xfId="0" applyNumberFormat="1" applyFont="1" applyFill="1" applyBorder="1" applyAlignment="1">
      <alignment/>
    </xf>
    <xf numFmtId="0" fontId="21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5" fontId="6" fillId="0" borderId="2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5" fontId="6" fillId="0" borderId="2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20" fillId="0" borderId="9" xfId="0" applyFont="1" applyFill="1" applyBorder="1" applyAlignment="1">
      <alignment horizontal="left" vertical="top" wrapText="1"/>
    </xf>
    <xf numFmtId="0" fontId="20" fillId="0" borderId="9" xfId="0" applyFont="1" applyFill="1" applyBorder="1" applyAlignment="1">
      <alignment horizontal="center" vertical="top"/>
    </xf>
    <xf numFmtId="0" fontId="20" fillId="0" borderId="10" xfId="0" applyFont="1" applyFill="1" applyBorder="1" applyAlignment="1">
      <alignment horizontal="center" vertical="top"/>
    </xf>
    <xf numFmtId="0" fontId="20" fillId="0" borderId="11" xfId="0" applyFont="1" applyFill="1" applyBorder="1" applyAlignment="1">
      <alignment horizontal="center" vertical="top"/>
    </xf>
    <xf numFmtId="0" fontId="25" fillId="0" borderId="12" xfId="0" applyFont="1" applyFill="1" applyBorder="1" applyAlignment="1">
      <alignment horizontal="right" vertical="top"/>
    </xf>
    <xf numFmtId="0" fontId="25" fillId="0" borderId="13" xfId="0" applyFont="1" applyFill="1" applyBorder="1" applyAlignment="1">
      <alignment horizontal="right" vertical="top"/>
    </xf>
    <xf numFmtId="0" fontId="25" fillId="0" borderId="14" xfId="0" applyFont="1" applyFill="1" applyBorder="1" applyAlignment="1">
      <alignment horizontal="right" vertical="top"/>
    </xf>
    <xf numFmtId="0" fontId="26" fillId="0" borderId="9" xfId="0" applyFont="1" applyFill="1" applyBorder="1" applyAlignment="1">
      <alignment horizontal="left" vertical="top"/>
    </xf>
    <xf numFmtId="0" fontId="25" fillId="0" borderId="9" xfId="0" applyFont="1" applyFill="1" applyBorder="1" applyAlignment="1">
      <alignment horizontal="right" vertical="top"/>
    </xf>
    <xf numFmtId="0" fontId="26" fillId="0" borderId="15" xfId="0" applyFont="1" applyFill="1" applyBorder="1" applyAlignment="1">
      <alignment horizontal="left" vertical="top"/>
    </xf>
    <xf numFmtId="204" fontId="20" fillId="0" borderId="9" xfId="0" applyNumberFormat="1" applyFont="1" applyFill="1" applyBorder="1" applyAlignment="1">
      <alignment horizontal="right" vertical="top"/>
    </xf>
    <xf numFmtId="0" fontId="26" fillId="0" borderId="16" xfId="0" applyFont="1" applyFill="1" applyBorder="1" applyAlignment="1">
      <alignment horizontal="left" vertical="top"/>
    </xf>
    <xf numFmtId="0" fontId="26" fillId="0" borderId="17" xfId="0" applyFont="1" applyFill="1" applyBorder="1" applyAlignment="1">
      <alignment horizontal="left" vertical="top"/>
    </xf>
    <xf numFmtId="0" fontId="26" fillId="0" borderId="9" xfId="0" applyFont="1" applyFill="1" applyBorder="1" applyAlignment="1">
      <alignment horizontal="left" vertical="top" wrapText="1"/>
    </xf>
    <xf numFmtId="204" fontId="26" fillId="0" borderId="9" xfId="0" applyNumberFormat="1" applyFont="1" applyFill="1" applyBorder="1" applyAlignment="1">
      <alignment horizontal="right" vertical="top"/>
    </xf>
    <xf numFmtId="0" fontId="20" fillId="0" borderId="18" xfId="0" applyFont="1" applyFill="1" applyBorder="1" applyAlignment="1">
      <alignment horizontal="center" vertical="top"/>
    </xf>
    <xf numFmtId="5" fontId="18" fillId="0" borderId="0" xfId="0" applyNumberFormat="1" applyFont="1" applyFill="1" applyBorder="1" applyAlignment="1">
      <alignment/>
    </xf>
    <xf numFmtId="170" fontId="9" fillId="0" borderId="19" xfId="0" applyNumberFormat="1" applyFont="1" applyFill="1" applyBorder="1" applyAlignment="1">
      <alignment/>
    </xf>
    <xf numFmtId="5" fontId="0" fillId="0" borderId="0" xfId="0" applyNumberFormat="1" applyFill="1" applyBorder="1" applyAlignment="1">
      <alignment/>
    </xf>
    <xf numFmtId="5" fontId="14" fillId="0" borderId="0" xfId="0" applyNumberFormat="1" applyFont="1" applyFill="1" applyBorder="1" applyAlignment="1">
      <alignment/>
    </xf>
    <xf numFmtId="0" fontId="25" fillId="0" borderId="20" xfId="0" applyFont="1" applyFill="1" applyBorder="1" applyAlignment="1">
      <alignment horizontal="right" vertical="top"/>
    </xf>
    <xf numFmtId="0" fontId="25" fillId="0" borderId="21" xfId="0" applyFont="1" applyFill="1" applyBorder="1" applyAlignment="1">
      <alignment horizontal="right" vertical="top"/>
    </xf>
    <xf numFmtId="0" fontId="25" fillId="0" borderId="22" xfId="0" applyFont="1" applyFill="1" applyBorder="1" applyAlignment="1">
      <alignment horizontal="right" vertical="top"/>
    </xf>
    <xf numFmtId="204" fontId="20" fillId="4" borderId="9" xfId="0" applyNumberFormat="1" applyFont="1" applyFill="1" applyBorder="1" applyAlignment="1">
      <alignment horizontal="right" vertical="top"/>
    </xf>
    <xf numFmtId="0" fontId="26" fillId="4" borderId="15" xfId="0" applyFont="1" applyFill="1" applyBorder="1" applyAlignment="1">
      <alignment horizontal="left" vertical="top"/>
    </xf>
    <xf numFmtId="0" fontId="26" fillId="4" borderId="9" xfId="0" applyFont="1" applyFill="1" applyBorder="1" applyAlignment="1">
      <alignment horizontal="left" vertical="top"/>
    </xf>
    <xf numFmtId="204" fontId="26" fillId="4" borderId="9" xfId="0" applyNumberFormat="1" applyFont="1" applyFill="1" applyBorder="1" applyAlignment="1">
      <alignment horizontal="right" vertical="top"/>
    </xf>
    <xf numFmtId="5" fontId="6" fillId="0" borderId="7" xfId="0" applyNumberFormat="1" applyFont="1" applyFill="1" applyBorder="1" applyAlignment="1">
      <alignment/>
    </xf>
    <xf numFmtId="0" fontId="9" fillId="0" borderId="0" xfId="0" applyFont="1" applyAlignment="1">
      <alignment/>
    </xf>
    <xf numFmtId="4" fontId="0" fillId="0" borderId="0" xfId="15" applyFill="1" applyAlignment="1">
      <alignment/>
    </xf>
    <xf numFmtId="0" fontId="20" fillId="4" borderId="9" xfId="0" applyFont="1" applyFill="1" applyBorder="1" applyAlignment="1">
      <alignment horizontal="left" vertical="top" wrapText="1"/>
    </xf>
    <xf numFmtId="204" fontId="20" fillId="5" borderId="9" xfId="0" applyNumberFormat="1" applyFont="1" applyFill="1" applyBorder="1" applyAlignment="1">
      <alignment horizontal="right" vertical="top"/>
    </xf>
    <xf numFmtId="4" fontId="0" fillId="4" borderId="0" xfId="15" applyFill="1" applyAlignment="1">
      <alignment/>
    </xf>
    <xf numFmtId="0" fontId="0" fillId="4" borderId="0" xfId="0" applyFill="1" applyAlignment="1">
      <alignment/>
    </xf>
    <xf numFmtId="5" fontId="19" fillId="5" borderId="0" xfId="0" applyNumberFormat="1" applyFont="1" applyFill="1" applyAlignment="1">
      <alignment/>
    </xf>
    <xf numFmtId="5" fontId="19" fillId="5" borderId="23" xfId="0" applyNumberFormat="1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22" fillId="0" borderId="0" xfId="0" applyFont="1" applyAlignment="1">
      <alignment/>
    </xf>
    <xf numFmtId="0" fontId="22" fillId="4" borderId="0" xfId="0" applyFont="1" applyFill="1" applyAlignment="1">
      <alignment/>
    </xf>
    <xf numFmtId="0" fontId="0" fillId="0" borderId="0" xfId="0" applyFont="1" applyFill="1" applyBorder="1" applyAlignment="1">
      <alignment/>
    </xf>
    <xf numFmtId="43" fontId="0" fillId="0" borderId="0" xfId="0" applyNumberFormat="1" applyFill="1" applyAlignment="1">
      <alignment/>
    </xf>
    <xf numFmtId="0" fontId="21" fillId="6" borderId="2" xfId="0" applyFont="1" applyFill="1" applyBorder="1" applyAlignment="1">
      <alignment horizontal="center"/>
    </xf>
    <xf numFmtId="15" fontId="21" fillId="6" borderId="2" xfId="0" applyNumberFormat="1" applyFont="1" applyFill="1" applyBorder="1" applyAlignment="1">
      <alignment horizontal="center"/>
    </xf>
    <xf numFmtId="204" fontId="26" fillId="3" borderId="9" xfId="0" applyNumberFormat="1" applyFont="1" applyFill="1" applyBorder="1" applyAlignment="1">
      <alignment horizontal="right" vertical="top"/>
    </xf>
    <xf numFmtId="0" fontId="26" fillId="3" borderId="15" xfId="0" applyFont="1" applyFill="1" applyBorder="1" applyAlignment="1">
      <alignment horizontal="left" vertical="top"/>
    </xf>
    <xf numFmtId="5" fontId="6" fillId="6" borderId="2" xfId="0" applyNumberFormat="1" applyFont="1" applyFill="1" applyBorder="1" applyAlignment="1">
      <alignment/>
    </xf>
    <xf numFmtId="0" fontId="26" fillId="7" borderId="15" xfId="0" applyFont="1" applyFill="1" applyBorder="1" applyAlignment="1">
      <alignment horizontal="left" vertical="top"/>
    </xf>
    <xf numFmtId="204" fontId="26" fillId="7" borderId="9" xfId="0" applyNumberFormat="1" applyFont="1" applyFill="1" applyBorder="1" applyAlignment="1">
      <alignment horizontal="right" vertical="top"/>
    </xf>
    <xf numFmtId="4" fontId="0" fillId="7" borderId="0" xfId="15" applyFill="1" applyAlignment="1">
      <alignment/>
    </xf>
    <xf numFmtId="0" fontId="0" fillId="0" borderId="0" xfId="0" applyFill="1" applyAlignment="1">
      <alignment horizontal="center"/>
    </xf>
    <xf numFmtId="4" fontId="0" fillId="0" borderId="24" xfId="15" applyFill="1" applyBorder="1" applyAlignment="1">
      <alignment/>
    </xf>
    <xf numFmtId="4" fontId="0" fillId="4" borderId="0" xfId="0" applyNumberFormat="1" applyFill="1" applyAlignment="1">
      <alignment/>
    </xf>
    <xf numFmtId="0" fontId="0" fillId="4" borderId="0" xfId="0" applyFill="1" applyAlignment="1">
      <alignment horizontal="center"/>
    </xf>
    <xf numFmtId="5" fontId="6" fillId="6" borderId="7" xfId="0" applyNumberFormat="1" applyFont="1" applyFill="1" applyBorder="1" applyAlignment="1">
      <alignment/>
    </xf>
    <xf numFmtId="204" fontId="28" fillId="3" borderId="9" xfId="0" applyNumberFormat="1" applyFont="1" applyFill="1" applyBorder="1" applyAlignment="1">
      <alignment horizontal="right" vertical="top"/>
    </xf>
    <xf numFmtId="0" fontId="0" fillId="5" borderId="0" xfId="0" applyFill="1" applyAlignment="1">
      <alignment/>
    </xf>
    <xf numFmtId="5" fontId="6" fillId="6" borderId="2" xfId="0" applyNumberFormat="1" applyFont="1" applyFill="1" applyBorder="1" applyAlignment="1">
      <alignment/>
    </xf>
    <xf numFmtId="204" fontId="26" fillId="5" borderId="9" xfId="0" applyNumberFormat="1" applyFont="1" applyFill="1" applyBorder="1" applyAlignment="1">
      <alignment horizontal="right" vertical="top"/>
    </xf>
    <xf numFmtId="204" fontId="26" fillId="8" borderId="9" xfId="0" applyNumberFormat="1" applyFont="1" applyFill="1" applyBorder="1" applyAlignment="1">
      <alignment horizontal="right" vertical="top"/>
    </xf>
    <xf numFmtId="204" fontId="20" fillId="0" borderId="10" xfId="0" applyNumberFormat="1" applyFont="1" applyFill="1" applyBorder="1" applyAlignment="1">
      <alignment horizontal="right" vertical="top"/>
    </xf>
    <xf numFmtId="204" fontId="20" fillId="0" borderId="0" xfId="0" applyNumberFormat="1" applyFont="1" applyFill="1" applyBorder="1" applyAlignment="1">
      <alignment horizontal="right" vertical="top"/>
    </xf>
    <xf numFmtId="4" fontId="0" fillId="4" borderId="0" xfId="15" applyFill="1" applyBorder="1" applyAlignment="1">
      <alignment/>
    </xf>
    <xf numFmtId="204" fontId="29" fillId="0" borderId="10" xfId="0" applyNumberFormat="1" applyFont="1" applyFill="1" applyBorder="1" applyAlignment="1">
      <alignment horizontal="right" vertical="top"/>
    </xf>
    <xf numFmtId="4" fontId="1" fillId="0" borderId="0" xfId="0" applyNumberFormat="1" applyFont="1" applyFill="1" applyAlignment="1">
      <alignment/>
    </xf>
    <xf numFmtId="4" fontId="0" fillId="5" borderId="0" xfId="0" applyNumberFormat="1" applyFont="1" applyFill="1" applyAlignment="1">
      <alignment/>
    </xf>
    <xf numFmtId="43" fontId="0" fillId="0" borderId="0" xfId="0" applyNumberFormat="1" applyFill="1" applyBorder="1" applyAlignment="1">
      <alignment/>
    </xf>
    <xf numFmtId="4" fontId="0" fillId="8" borderId="6" xfId="15" applyFill="1" applyBorder="1" applyAlignment="1">
      <alignment/>
    </xf>
    <xf numFmtId="0" fontId="0" fillId="7" borderId="0" xfId="0" applyFill="1" applyAlignment="1">
      <alignment/>
    </xf>
    <xf numFmtId="0" fontId="0" fillId="4" borderId="0" xfId="0" applyFill="1" applyAlignment="1">
      <alignment horizontal="right"/>
    </xf>
    <xf numFmtId="0" fontId="0" fillId="4" borderId="0" xfId="0" applyFill="1" applyBorder="1" applyAlignment="1">
      <alignment/>
    </xf>
    <xf numFmtId="0" fontId="26" fillId="5" borderId="15" xfId="0" applyFont="1" applyFill="1" applyBorder="1" applyAlignment="1">
      <alignment horizontal="left" vertical="top"/>
    </xf>
    <xf numFmtId="0" fontId="6" fillId="4" borderId="0" xfId="0" applyFont="1" applyFill="1" applyAlignment="1">
      <alignment/>
    </xf>
    <xf numFmtId="0" fontId="0" fillId="8" borderId="0" xfId="0" applyFill="1" applyAlignment="1">
      <alignment/>
    </xf>
    <xf numFmtId="0" fontId="27" fillId="0" borderId="0" xfId="0" applyFont="1" applyAlignment="1">
      <alignment horizontal="left"/>
    </xf>
    <xf numFmtId="0" fontId="27" fillId="0" borderId="0" xfId="0" applyFont="1" applyFill="1" applyAlignment="1">
      <alignment horizontal="left"/>
    </xf>
    <xf numFmtId="10" fontId="0" fillId="0" borderId="0" xfId="19" applyNumberFormat="1" applyBorder="1" applyAlignment="1">
      <alignment/>
    </xf>
    <xf numFmtId="0" fontId="7" fillId="5" borderId="0" xfId="0" applyFont="1" applyFill="1" applyAlignment="1">
      <alignment/>
    </xf>
    <xf numFmtId="170" fontId="9" fillId="9" borderId="25" xfId="0" applyNumberFormat="1" applyFont="1" applyFill="1" applyBorder="1" applyAlignment="1">
      <alignment/>
    </xf>
    <xf numFmtId="5" fontId="6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0" fontId="6" fillId="0" borderId="6" xfId="0" applyFont="1" applyFill="1" applyBorder="1" applyAlignment="1">
      <alignment/>
    </xf>
    <xf numFmtId="0" fontId="30" fillId="5" borderId="2" xfId="0" applyFont="1" applyFill="1" applyBorder="1" applyAlignment="1">
      <alignment horizontal="center"/>
    </xf>
    <xf numFmtId="5" fontId="1" fillId="5" borderId="0" xfId="0" applyNumberFormat="1" applyFont="1" applyFill="1" applyAlignment="1">
      <alignment/>
    </xf>
    <xf numFmtId="0" fontId="1" fillId="5" borderId="0" xfId="0" applyFont="1" applyFill="1" applyAlignment="1">
      <alignment/>
    </xf>
    <xf numFmtId="170" fontId="6" fillId="9" borderId="19" xfId="0" applyNumberFormat="1" applyFont="1" applyFill="1" applyBorder="1" applyAlignment="1">
      <alignment/>
    </xf>
    <xf numFmtId="170" fontId="9" fillId="9" borderId="19" xfId="0" applyNumberFormat="1" applyFont="1" applyFill="1" applyBorder="1" applyAlignment="1">
      <alignment/>
    </xf>
    <xf numFmtId="170" fontId="9" fillId="5" borderId="26" xfId="0" applyNumberFormat="1" applyFont="1" applyFill="1" applyBorder="1" applyAlignment="1">
      <alignment/>
    </xf>
    <xf numFmtId="5" fontId="1" fillId="5" borderId="27" xfId="0" applyNumberFormat="1" applyFont="1" applyFill="1" applyBorder="1" applyAlignment="1">
      <alignment/>
    </xf>
    <xf numFmtId="0" fontId="31" fillId="0" borderId="2" xfId="0" applyFont="1" applyFill="1" applyBorder="1" applyAlignment="1">
      <alignment horizontal="center"/>
    </xf>
    <xf numFmtId="5" fontId="6" fillId="0" borderId="27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8" fillId="5" borderId="25" xfId="0" applyFont="1" applyFill="1" applyBorder="1" applyAlignment="1">
      <alignment/>
    </xf>
    <xf numFmtId="0" fontId="0" fillId="5" borderId="5" xfId="0" applyFont="1" applyFill="1" applyBorder="1" applyAlignment="1">
      <alignment/>
    </xf>
    <xf numFmtId="0" fontId="8" fillId="5" borderId="19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6" fillId="5" borderId="28" xfId="0" applyFont="1" applyFill="1" applyBorder="1" applyAlignment="1">
      <alignment/>
    </xf>
    <xf numFmtId="0" fontId="0" fillId="5" borderId="29" xfId="0" applyFont="1" applyFill="1" applyBorder="1" applyAlignment="1">
      <alignment/>
    </xf>
    <xf numFmtId="5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5" fontId="0" fillId="0" borderId="6" xfId="0" applyNumberFormat="1" applyBorder="1" applyAlignment="1">
      <alignment/>
    </xf>
    <xf numFmtId="0" fontId="0" fillId="0" borderId="0" xfId="0" applyAlignment="1">
      <alignment horizontal="right"/>
    </xf>
    <xf numFmtId="5" fontId="0" fillId="0" borderId="0" xfId="0" applyNumberFormat="1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32" fillId="0" borderId="0" xfId="0" applyFont="1" applyFill="1" applyAlignment="1">
      <alignment/>
    </xf>
    <xf numFmtId="0" fontId="8" fillId="5" borderId="30" xfId="0" applyFont="1" applyFill="1" applyBorder="1" applyAlignment="1">
      <alignment horizontal="center"/>
    </xf>
    <xf numFmtId="10" fontId="8" fillId="5" borderId="2" xfId="19" applyNumberFormat="1" applyFont="1" applyFill="1" applyBorder="1" applyAlignment="1">
      <alignment horizontal="center"/>
    </xf>
    <xf numFmtId="5" fontId="0" fillId="5" borderId="4" xfId="0" applyNumberFormat="1" applyFont="1" applyFill="1" applyBorder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5" fontId="0" fillId="5" borderId="0" xfId="0" applyNumberFormat="1" applyFill="1" applyBorder="1" applyAlignment="1">
      <alignment/>
    </xf>
    <xf numFmtId="0" fontId="0" fillId="4" borderId="25" xfId="0" applyFill="1" applyBorder="1" applyAlignment="1">
      <alignment/>
    </xf>
    <xf numFmtId="0" fontId="0" fillId="4" borderId="5" xfId="0" applyFill="1" applyBorder="1" applyAlignment="1">
      <alignment horizontal="right"/>
    </xf>
    <xf numFmtId="5" fontId="0" fillId="4" borderId="31" xfId="0" applyNumberFormat="1" applyFill="1" applyBorder="1" applyAlignment="1">
      <alignment/>
    </xf>
    <xf numFmtId="0" fontId="0" fillId="4" borderId="19" xfId="0" applyFill="1" applyBorder="1" applyAlignment="1">
      <alignment/>
    </xf>
    <xf numFmtId="0" fontId="0" fillId="4" borderId="0" xfId="0" applyFill="1" applyBorder="1" applyAlignment="1">
      <alignment horizontal="right"/>
    </xf>
    <xf numFmtId="5" fontId="0" fillId="4" borderId="8" xfId="0" applyNumberFormat="1" applyFill="1" applyBorder="1" applyAlignment="1">
      <alignment/>
    </xf>
    <xf numFmtId="0" fontId="1" fillId="4" borderId="28" xfId="0" applyFont="1" applyFill="1" applyBorder="1" applyAlignment="1">
      <alignment/>
    </xf>
    <xf numFmtId="0" fontId="1" fillId="4" borderId="29" xfId="0" applyFont="1" applyFill="1" applyBorder="1" applyAlignment="1">
      <alignment horizontal="right"/>
    </xf>
    <xf numFmtId="5" fontId="1" fillId="4" borderId="32" xfId="0" applyNumberFormat="1" applyFont="1" applyFill="1" applyBorder="1" applyAlignment="1">
      <alignment/>
    </xf>
    <xf numFmtId="5" fontId="6" fillId="5" borderId="4" xfId="0" applyNumberFormat="1" applyFont="1" applyFill="1" applyBorder="1" applyAlignment="1">
      <alignment horizontal="center"/>
    </xf>
    <xf numFmtId="10" fontId="8" fillId="5" borderId="19" xfId="19" applyNumberFormat="1" applyFont="1" applyFill="1" applyBorder="1" applyAlignment="1">
      <alignment horizontal="center"/>
    </xf>
    <xf numFmtId="0" fontId="8" fillId="5" borderId="33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10" fontId="8" fillId="0" borderId="2" xfId="19" applyNumberFormat="1" applyFont="1" applyFill="1" applyBorder="1" applyAlignment="1">
      <alignment horizontal="center"/>
    </xf>
    <xf numFmtId="0" fontId="8" fillId="0" borderId="2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8" fillId="0" borderId="34" xfId="0" applyFont="1" applyFill="1" applyBorder="1" applyAlignment="1">
      <alignment horizontal="center"/>
    </xf>
    <xf numFmtId="0" fontId="8" fillId="0" borderId="1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0" fontId="8" fillId="0" borderId="3" xfId="19" applyNumberFormat="1" applyFont="1" applyFill="1" applyBorder="1" applyAlignment="1">
      <alignment horizontal="center"/>
    </xf>
    <xf numFmtId="0" fontId="6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5" fontId="0" fillId="0" borderId="35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5" fontId="0" fillId="0" borderId="36" xfId="0" applyNumberFormat="1" applyBorder="1" applyAlignment="1">
      <alignment/>
    </xf>
    <xf numFmtId="5" fontId="0" fillId="0" borderId="0" xfId="0" applyNumberFormat="1" applyAlignment="1">
      <alignment/>
    </xf>
    <xf numFmtId="5" fontId="19" fillId="0" borderId="23" xfId="0" applyNumberFormat="1" applyFont="1" applyFill="1" applyBorder="1" applyAlignment="1">
      <alignment/>
    </xf>
    <xf numFmtId="0" fontId="1" fillId="5" borderId="0" xfId="0" applyFont="1" applyFill="1" applyBorder="1" applyAlignment="1">
      <alignment/>
    </xf>
    <xf numFmtId="5" fontId="1" fillId="5" borderId="6" xfId="0" applyNumberFormat="1" applyFont="1" applyFill="1" applyBorder="1" applyAlignment="1">
      <alignment/>
    </xf>
    <xf numFmtId="5" fontId="27" fillId="0" borderId="0" xfId="0" applyNumberFormat="1" applyFont="1" applyAlignment="1">
      <alignment horizontal="left"/>
    </xf>
    <xf numFmtId="5" fontId="27" fillId="0" borderId="0" xfId="0" applyNumberFormat="1" applyFont="1" applyAlignment="1">
      <alignment horizontal="right"/>
    </xf>
    <xf numFmtId="0" fontId="0" fillId="0" borderId="0" xfId="0" applyFill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10" fontId="0" fillId="0" borderId="0" xfId="19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5" fontId="1" fillId="0" borderId="0" xfId="0" applyNumberFormat="1" applyFont="1" applyFill="1" applyBorder="1" applyAlignment="1">
      <alignment/>
    </xf>
    <xf numFmtId="5" fontId="27" fillId="0" borderId="0" xfId="0" applyNumberFormat="1" applyFont="1" applyFill="1" applyBorder="1" applyAlignment="1">
      <alignment horizontal="right"/>
    </xf>
    <xf numFmtId="5" fontId="27" fillId="0" borderId="0" xfId="0" applyNumberFormat="1" applyFont="1" applyFill="1" applyBorder="1" applyAlignment="1">
      <alignment horizontal="left"/>
    </xf>
    <xf numFmtId="5" fontId="0" fillId="0" borderId="0" xfId="0" applyNumberFormat="1" applyFill="1" applyBorder="1" applyAlignment="1" quotePrefix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5" fontId="19" fillId="5" borderId="27" xfId="0" applyNumberFormat="1" applyFont="1" applyFill="1" applyBorder="1" applyAlignment="1">
      <alignment/>
    </xf>
    <xf numFmtId="5" fontId="19" fillId="0" borderId="36" xfId="0" applyNumberFormat="1" applyFont="1" applyFill="1" applyBorder="1" applyAlignment="1">
      <alignment/>
    </xf>
    <xf numFmtId="5" fontId="6" fillId="0" borderId="4" xfId="0" applyNumberFormat="1" applyFont="1" applyFill="1" applyBorder="1" applyAlignment="1">
      <alignment horizontal="center"/>
    </xf>
    <xf numFmtId="5" fontId="0" fillId="0" borderId="4" xfId="0" applyNumberFormat="1" applyFont="1" applyFill="1" applyBorder="1" applyAlignment="1">
      <alignment/>
    </xf>
    <xf numFmtId="5" fontId="1" fillId="5" borderId="0" xfId="0" applyNumberFormat="1" applyFont="1" applyFill="1" applyBorder="1" applyAlignment="1">
      <alignment/>
    </xf>
    <xf numFmtId="0" fontId="0" fillId="0" borderId="0" xfId="0" applyFill="1" applyAlignment="1">
      <alignment wrapText="1"/>
    </xf>
    <xf numFmtId="0" fontId="8" fillId="9" borderId="30" xfId="0" applyFont="1" applyFill="1" applyBorder="1" applyAlignment="1">
      <alignment horizontal="center"/>
    </xf>
    <xf numFmtId="10" fontId="8" fillId="9" borderId="2" xfId="19" applyNumberFormat="1" applyFont="1" applyFill="1" applyBorder="1" applyAlignment="1">
      <alignment horizontal="center"/>
    </xf>
    <xf numFmtId="5" fontId="6" fillId="9" borderId="4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5" fontId="0" fillId="0" borderId="35" xfId="0" applyNumberFormat="1" applyFont="1" applyFill="1" applyBorder="1" applyAlignment="1">
      <alignment/>
    </xf>
    <xf numFmtId="0" fontId="0" fillId="9" borderId="0" xfId="0" applyFill="1" applyAlignment="1">
      <alignment/>
    </xf>
    <xf numFmtId="5" fontId="1" fillId="9" borderId="4" xfId="0" applyNumberFormat="1" applyFont="1" applyFill="1" applyBorder="1" applyAlignment="1">
      <alignment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6</xdr:row>
      <xdr:rowOff>85725</xdr:rowOff>
    </xdr:from>
    <xdr:to>
      <xdr:col>29</xdr:col>
      <xdr:colOff>276225</xdr:colOff>
      <xdr:row>6</xdr:row>
      <xdr:rowOff>95250</xdr:rowOff>
    </xdr:to>
    <xdr:sp>
      <xdr:nvSpPr>
        <xdr:cNvPr id="1" name="Line 4"/>
        <xdr:cNvSpPr>
          <a:spLocks/>
        </xdr:cNvSpPr>
      </xdr:nvSpPr>
      <xdr:spPr>
        <a:xfrm>
          <a:off x="9963150" y="1143000"/>
          <a:ext cx="2476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28</xdr:col>
      <xdr:colOff>581025</xdr:colOff>
      <xdr:row>4</xdr:row>
      <xdr:rowOff>161925</xdr:rowOff>
    </xdr:from>
    <xdr:to>
      <xdr:col>29</xdr:col>
      <xdr:colOff>0</xdr:colOff>
      <xdr:row>6</xdr:row>
      <xdr:rowOff>19050</xdr:rowOff>
    </xdr:to>
    <xdr:sp>
      <xdr:nvSpPr>
        <xdr:cNvPr id="2" name="Line 6"/>
        <xdr:cNvSpPr>
          <a:spLocks/>
        </xdr:cNvSpPr>
      </xdr:nvSpPr>
      <xdr:spPr>
        <a:xfrm flipH="1">
          <a:off x="9467850" y="885825"/>
          <a:ext cx="4762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27</xdr:col>
      <xdr:colOff>904875</xdr:colOff>
      <xdr:row>4</xdr:row>
      <xdr:rowOff>76200</xdr:rowOff>
    </xdr:from>
    <xdr:to>
      <xdr:col>28</xdr:col>
      <xdr:colOff>904875</xdr:colOff>
      <xdr:row>5</xdr:row>
      <xdr:rowOff>133350</xdr:rowOff>
    </xdr:to>
    <xdr:sp>
      <xdr:nvSpPr>
        <xdr:cNvPr id="3" name="Line 9"/>
        <xdr:cNvSpPr>
          <a:spLocks/>
        </xdr:cNvSpPr>
      </xdr:nvSpPr>
      <xdr:spPr>
        <a:xfrm flipH="1">
          <a:off x="8601075" y="800100"/>
          <a:ext cx="11906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6</xdr:row>
      <xdr:rowOff>85725</xdr:rowOff>
    </xdr:from>
    <xdr:to>
      <xdr:col>29</xdr:col>
      <xdr:colOff>276225</xdr:colOff>
      <xdr:row>6</xdr:row>
      <xdr:rowOff>95250</xdr:rowOff>
    </xdr:to>
    <xdr:sp>
      <xdr:nvSpPr>
        <xdr:cNvPr id="1" name="Line 4"/>
        <xdr:cNvSpPr>
          <a:spLocks/>
        </xdr:cNvSpPr>
      </xdr:nvSpPr>
      <xdr:spPr>
        <a:xfrm>
          <a:off x="9963150" y="1143000"/>
          <a:ext cx="2476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27</xdr:col>
      <xdr:colOff>514350</xdr:colOff>
      <xdr:row>4</xdr:row>
      <xdr:rowOff>95250</xdr:rowOff>
    </xdr:from>
    <xdr:to>
      <xdr:col>29</xdr:col>
      <xdr:colOff>0</xdr:colOff>
      <xdr:row>5</xdr:row>
      <xdr:rowOff>152400</xdr:rowOff>
    </xdr:to>
    <xdr:sp>
      <xdr:nvSpPr>
        <xdr:cNvPr id="2" name="Line 5"/>
        <xdr:cNvSpPr>
          <a:spLocks/>
        </xdr:cNvSpPr>
      </xdr:nvSpPr>
      <xdr:spPr>
        <a:xfrm flipH="1">
          <a:off x="8210550" y="819150"/>
          <a:ext cx="17335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28</xdr:col>
      <xdr:colOff>581025</xdr:colOff>
      <xdr:row>4</xdr:row>
      <xdr:rowOff>161925</xdr:rowOff>
    </xdr:from>
    <xdr:to>
      <xdr:col>29</xdr:col>
      <xdr:colOff>0</xdr:colOff>
      <xdr:row>6</xdr:row>
      <xdr:rowOff>19050</xdr:rowOff>
    </xdr:to>
    <xdr:sp>
      <xdr:nvSpPr>
        <xdr:cNvPr id="3" name="Line 6"/>
        <xdr:cNvSpPr>
          <a:spLocks/>
        </xdr:cNvSpPr>
      </xdr:nvSpPr>
      <xdr:spPr>
        <a:xfrm flipH="1">
          <a:off x="9467850" y="885825"/>
          <a:ext cx="4762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27</xdr:col>
      <xdr:colOff>638175</xdr:colOff>
      <xdr:row>52</xdr:row>
      <xdr:rowOff>0</xdr:rowOff>
    </xdr:from>
    <xdr:to>
      <xdr:col>27</xdr:col>
      <xdr:colOff>638175</xdr:colOff>
      <xdr:row>53</xdr:row>
      <xdr:rowOff>0</xdr:rowOff>
    </xdr:to>
    <xdr:sp>
      <xdr:nvSpPr>
        <xdr:cNvPr id="4" name="Line 7"/>
        <xdr:cNvSpPr>
          <a:spLocks/>
        </xdr:cNvSpPr>
      </xdr:nvSpPr>
      <xdr:spPr>
        <a:xfrm flipH="1">
          <a:off x="8334375" y="87439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28</xdr:col>
      <xdr:colOff>9525</xdr:colOff>
      <xdr:row>52</xdr:row>
      <xdr:rowOff>19050</xdr:rowOff>
    </xdr:from>
    <xdr:to>
      <xdr:col>28</xdr:col>
      <xdr:colOff>390525</xdr:colOff>
      <xdr:row>53</xdr:row>
      <xdr:rowOff>47625</xdr:rowOff>
    </xdr:to>
    <xdr:sp>
      <xdr:nvSpPr>
        <xdr:cNvPr id="5" name="Line 8"/>
        <xdr:cNvSpPr>
          <a:spLocks/>
        </xdr:cNvSpPr>
      </xdr:nvSpPr>
      <xdr:spPr>
        <a:xfrm flipH="1">
          <a:off x="8896350" y="8763000"/>
          <a:ext cx="3810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ETemp\Temporary%20Internet%20Files\OLK1B4\Plant%20O&amp;M%2012ME%20093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ME 09302008"/>
      <sheetName val="Steam"/>
      <sheetName val="Hydro"/>
      <sheetName val="Other"/>
      <sheetName val="Macro1"/>
    </sheetNames>
    <sheetDataSet>
      <sheetData sheetId="1">
        <row r="33">
          <cell r="G33">
            <v>10213942.11</v>
          </cell>
        </row>
      </sheetData>
      <sheetData sheetId="2">
        <row r="117">
          <cell r="G117">
            <v>5984640.04</v>
          </cell>
        </row>
      </sheetData>
      <sheetData sheetId="3">
        <row r="47">
          <cell r="G47">
            <v>7719105.99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63"/>
  <sheetViews>
    <sheetView tabSelected="1" zoomScale="90" zoomScaleNormal="90" workbookViewId="0" topLeftCell="O1">
      <pane xSplit="8" ySplit="4" topLeftCell="AD24" activePane="bottomRight" state="frozen"/>
      <selection pane="topLeft" activeCell="O1" sqref="O1"/>
      <selection pane="topRight" activeCell="W1" sqref="W1"/>
      <selection pane="bottomLeft" activeCell="O4" sqref="O4"/>
      <selection pane="bottomRight" activeCell="AF40" sqref="AF40"/>
    </sheetView>
  </sheetViews>
  <sheetFormatPr defaultColWidth="9.00390625" defaultRowHeight="12.75"/>
  <cols>
    <col min="1" max="1" width="21.00390625" style="1" hidden="1" customWidth="1"/>
    <col min="2" max="2" width="7.25390625" style="1" hidden="1" customWidth="1"/>
    <col min="3" max="4" width="8.75390625" style="1" hidden="1" customWidth="1"/>
    <col min="5" max="5" width="9.00390625" style="1" hidden="1" customWidth="1"/>
    <col min="6" max="6" width="9.00390625" style="2" hidden="1" customWidth="1"/>
    <col min="7" max="7" width="7.875" style="2" hidden="1" customWidth="1"/>
    <col min="8" max="8" width="13.25390625" style="0" hidden="1" customWidth="1"/>
    <col min="9" max="9" width="10.25390625" style="0" hidden="1" customWidth="1"/>
    <col min="10" max="13" width="10.75390625" style="0" hidden="1" customWidth="1"/>
    <col min="14" max="14" width="6.25390625" style="1" hidden="1" customWidth="1"/>
    <col min="15" max="15" width="25.75390625" style="4" bestFit="1" customWidth="1"/>
    <col min="16" max="16" width="13.75390625" style="4" customWidth="1"/>
    <col min="17" max="18" width="13.75390625" style="2" hidden="1" customWidth="1"/>
    <col min="19" max="21" width="13.75390625" style="4" hidden="1" customWidth="1"/>
    <col min="22" max="22" width="13.75390625" style="5" hidden="1" customWidth="1"/>
    <col min="23" max="23" width="11.375" style="0" bestFit="1" customWidth="1"/>
    <col min="24" max="24" width="11.375" style="52" bestFit="1" customWidth="1"/>
    <col min="25" max="25" width="11.375" style="0" bestFit="1" customWidth="1"/>
    <col min="26" max="26" width="13.375" style="0" bestFit="1" customWidth="1"/>
    <col min="27" max="27" width="14.00390625" style="0" customWidth="1"/>
    <col min="28" max="28" width="15.625" style="0" bestFit="1" customWidth="1"/>
    <col min="29" max="29" width="13.875" style="0" customWidth="1"/>
    <col min="30" max="30" width="11.625" style="149" customWidth="1"/>
    <col min="31" max="31" width="11.375" style="0" customWidth="1"/>
    <col min="32" max="32" width="11.375" style="1" bestFit="1" customWidth="1"/>
    <col min="33" max="33" width="2.375" style="0" customWidth="1"/>
    <col min="34" max="34" width="16.125" style="0" customWidth="1"/>
    <col min="35" max="35" width="11.625" style="1" bestFit="1" customWidth="1"/>
    <col min="36" max="36" width="11.625" style="0" bestFit="1" customWidth="1"/>
    <col min="37" max="37" width="9.25390625" style="0" bestFit="1" customWidth="1"/>
    <col min="38" max="38" width="1.75390625" style="1" customWidth="1"/>
    <col min="39" max="41" width="9.75390625" style="1" customWidth="1"/>
    <col min="44" max="44" width="1.75390625" style="1" customWidth="1"/>
    <col min="45" max="47" width="9.75390625" style="1" customWidth="1"/>
    <col min="50" max="50" width="1.75390625" style="1" customWidth="1"/>
    <col min="51" max="53" width="9.75390625" style="1" customWidth="1"/>
    <col min="62" max="16384" width="9.125" style="1" customWidth="1"/>
  </cols>
  <sheetData>
    <row r="1" ht="18.75">
      <c r="O1" s="181" t="s">
        <v>196</v>
      </c>
    </row>
    <row r="2" ht="13.5" thickBot="1"/>
    <row r="3" spans="1:35" ht="12">
      <c r="A3" s="6" t="s">
        <v>69</v>
      </c>
      <c r="C3" s="7">
        <v>1999</v>
      </c>
      <c r="D3" s="7">
        <v>2000</v>
      </c>
      <c r="E3" s="7">
        <v>2001</v>
      </c>
      <c r="F3" s="7">
        <v>2002</v>
      </c>
      <c r="G3" s="7">
        <v>2003</v>
      </c>
      <c r="H3" s="7">
        <v>2004</v>
      </c>
      <c r="I3" s="8">
        <v>2005</v>
      </c>
      <c r="J3" s="9">
        <v>2006</v>
      </c>
      <c r="K3" s="10">
        <v>2007</v>
      </c>
      <c r="L3" s="11">
        <v>2008</v>
      </c>
      <c r="M3" s="11">
        <v>2009</v>
      </c>
      <c r="Q3" s="7">
        <v>1999</v>
      </c>
      <c r="R3" s="7">
        <v>2000</v>
      </c>
      <c r="S3" s="7">
        <v>2001</v>
      </c>
      <c r="T3" s="7">
        <v>2002</v>
      </c>
      <c r="U3" s="7">
        <v>2003</v>
      </c>
      <c r="V3" s="7">
        <v>2004</v>
      </c>
      <c r="W3" s="70">
        <v>2005</v>
      </c>
      <c r="X3" s="70">
        <v>2006</v>
      </c>
      <c r="Y3" s="70">
        <v>2007</v>
      </c>
      <c r="Z3" s="117" t="s">
        <v>34</v>
      </c>
      <c r="AA3" s="70">
        <v>2008</v>
      </c>
      <c r="AB3" s="70">
        <v>2009</v>
      </c>
      <c r="AC3" s="117">
        <v>2010</v>
      </c>
      <c r="AD3" s="70">
        <v>2011</v>
      </c>
      <c r="AE3" s="70">
        <v>2012</v>
      </c>
      <c r="AF3" s="70">
        <v>2013</v>
      </c>
      <c r="AH3" s="157" t="s">
        <v>188</v>
      </c>
      <c r="AI3" s="70" t="s">
        <v>183</v>
      </c>
    </row>
    <row r="4" spans="1:35" ht="12.75" thickBot="1">
      <c r="A4" s="12" t="s">
        <v>70</v>
      </c>
      <c r="C4" s="7" t="s">
        <v>69</v>
      </c>
      <c r="D4" s="7" t="s">
        <v>69</v>
      </c>
      <c r="E4" s="7" t="s">
        <v>69</v>
      </c>
      <c r="F4" s="7" t="s">
        <v>69</v>
      </c>
      <c r="G4" s="7" t="s">
        <v>69</v>
      </c>
      <c r="H4" s="7" t="s">
        <v>69</v>
      </c>
      <c r="I4" s="8" t="s">
        <v>69</v>
      </c>
      <c r="J4" s="9" t="s">
        <v>69</v>
      </c>
      <c r="K4" s="10" t="s">
        <v>69</v>
      </c>
      <c r="L4" s="11" t="s">
        <v>71</v>
      </c>
      <c r="M4" s="11" t="s">
        <v>71</v>
      </c>
      <c r="O4" s="13" t="s">
        <v>94</v>
      </c>
      <c r="Q4" s="7" t="s">
        <v>69</v>
      </c>
      <c r="R4" s="7" t="s">
        <v>69</v>
      </c>
      <c r="S4" s="7" t="s">
        <v>69</v>
      </c>
      <c r="T4" s="7" t="s">
        <v>69</v>
      </c>
      <c r="U4" s="7" t="s">
        <v>69</v>
      </c>
      <c r="V4" s="7" t="s">
        <v>69</v>
      </c>
      <c r="W4" s="70" t="s">
        <v>69</v>
      </c>
      <c r="X4" s="70" t="s">
        <v>69</v>
      </c>
      <c r="Y4" s="70" t="s">
        <v>69</v>
      </c>
      <c r="Z4" s="118">
        <v>39721</v>
      </c>
      <c r="AA4" s="70" t="s">
        <v>32</v>
      </c>
      <c r="AB4" s="70" t="s">
        <v>70</v>
      </c>
      <c r="AC4" s="117" t="s">
        <v>70</v>
      </c>
      <c r="AD4" s="70" t="s">
        <v>70</v>
      </c>
      <c r="AE4" s="70" t="s">
        <v>70</v>
      </c>
      <c r="AF4" s="70" t="s">
        <v>70</v>
      </c>
      <c r="AH4" s="157" t="s">
        <v>189</v>
      </c>
      <c r="AI4" s="70">
        <v>2011</v>
      </c>
    </row>
    <row r="5" spans="1:34" ht="13.5" thickBot="1">
      <c r="A5" s="13" t="s">
        <v>72</v>
      </c>
      <c r="B5" s="14" t="s">
        <v>73</v>
      </c>
      <c r="C5" s="15"/>
      <c r="D5" s="15"/>
      <c r="E5" s="15"/>
      <c r="F5" s="15"/>
      <c r="G5" s="15"/>
      <c r="H5" s="15"/>
      <c r="I5" s="16"/>
      <c r="J5" s="9"/>
      <c r="K5" s="17"/>
      <c r="L5" s="11" t="s">
        <v>74</v>
      </c>
      <c r="M5" s="11" t="s">
        <v>74</v>
      </c>
      <c r="O5" s="13" t="s">
        <v>75</v>
      </c>
      <c r="P5" s="13"/>
      <c r="Q5" s="4"/>
      <c r="R5" s="4"/>
      <c r="T5" s="2"/>
      <c r="U5" s="2"/>
      <c r="V5" s="18"/>
      <c r="W5" s="71"/>
      <c r="X5" s="71"/>
      <c r="Y5" s="71"/>
      <c r="Z5" s="71"/>
      <c r="AA5" s="164" t="s">
        <v>184</v>
      </c>
      <c r="AB5" s="71"/>
      <c r="AC5" s="71"/>
      <c r="AD5" s="152" t="s">
        <v>182</v>
      </c>
      <c r="AE5" s="131"/>
      <c r="AH5" s="131"/>
    </row>
    <row r="6" spans="1:34" ht="12.75">
      <c r="A6" s="5" t="s">
        <v>76</v>
      </c>
      <c r="B6" s="5">
        <v>410</v>
      </c>
      <c r="C6" s="19">
        <v>1622349</v>
      </c>
      <c r="D6" s="19">
        <v>1473505</v>
      </c>
      <c r="E6" s="19">
        <v>1617352</v>
      </c>
      <c r="F6" s="19">
        <v>1397105</v>
      </c>
      <c r="G6" s="19">
        <v>1593137</v>
      </c>
      <c r="H6" s="20">
        <v>1604774</v>
      </c>
      <c r="I6" s="21">
        <v>1770709</v>
      </c>
      <c r="J6" s="22">
        <v>1578798</v>
      </c>
      <c r="K6" s="23">
        <v>1672761</v>
      </c>
      <c r="L6" s="24">
        <v>1725792</v>
      </c>
      <c r="M6" s="24">
        <v>1536558</v>
      </c>
      <c r="O6" s="153" t="s">
        <v>77</v>
      </c>
      <c r="P6" s="25"/>
      <c r="Q6" s="26"/>
      <c r="R6" s="26"/>
      <c r="S6" s="26"/>
      <c r="T6" s="27"/>
      <c r="U6" s="27"/>
      <c r="V6" s="28"/>
      <c r="W6" s="71"/>
      <c r="X6" s="71"/>
      <c r="Y6" s="71"/>
      <c r="Z6" s="71"/>
      <c r="AA6" s="71"/>
      <c r="AB6" s="71"/>
      <c r="AC6" s="71"/>
      <c r="AD6" s="211"/>
      <c r="AE6" s="211"/>
      <c r="AH6" s="131"/>
    </row>
    <row r="7" spans="1:35" ht="13.5" thickBot="1">
      <c r="A7" s="5" t="s">
        <v>78</v>
      </c>
      <c r="B7" s="5">
        <v>210</v>
      </c>
      <c r="C7" s="19">
        <v>1224180</v>
      </c>
      <c r="D7" s="19">
        <v>493087</v>
      </c>
      <c r="E7" s="19">
        <v>0</v>
      </c>
      <c r="F7" s="19">
        <v>0</v>
      </c>
      <c r="G7" s="19">
        <v>0</v>
      </c>
      <c r="H7" s="20">
        <v>0</v>
      </c>
      <c r="I7" s="21">
        <v>0</v>
      </c>
      <c r="J7" s="22">
        <v>0</v>
      </c>
      <c r="K7" s="29">
        <v>0</v>
      </c>
      <c r="L7" s="30">
        <v>0</v>
      </c>
      <c r="M7" s="30">
        <v>0</v>
      </c>
      <c r="O7" s="160" t="s">
        <v>56</v>
      </c>
      <c r="P7" s="31" t="s">
        <v>79</v>
      </c>
      <c r="Q7" s="32">
        <v>5521972</v>
      </c>
      <c r="R7" s="32">
        <v>6897615</v>
      </c>
      <c r="S7" s="32">
        <v>6482647</v>
      </c>
      <c r="T7" s="32">
        <f>15943019.21-9068996.63</f>
        <v>6874022.58</v>
      </c>
      <c r="U7" s="32">
        <v>6956020</v>
      </c>
      <c r="V7" s="32">
        <f>4938978.31+3077274.26</f>
        <v>8016252.569999999</v>
      </c>
      <c r="W7" s="72">
        <v>6479168.09</v>
      </c>
      <c r="X7" s="72">
        <v>9112511.25</v>
      </c>
      <c r="Y7" s="72">
        <v>9971511.37</v>
      </c>
      <c r="Z7" s="121">
        <f>Steam!G32</f>
        <v>8799161.29</v>
      </c>
      <c r="AA7" s="72">
        <v>10260651.82</v>
      </c>
      <c r="AB7" s="72">
        <f>12282443-235117</f>
        <v>12047326</v>
      </c>
      <c r="AC7" s="121">
        <f>15116568-2906047</f>
        <v>12210521</v>
      </c>
      <c r="AD7" s="72">
        <f>12220339-2993228</f>
        <v>9227111</v>
      </c>
      <c r="AE7" s="72">
        <f>12533365+2899573-3083025</f>
        <v>12349913</v>
      </c>
      <c r="AF7" s="72">
        <f>12935945+2886164-3175516</f>
        <v>12646593</v>
      </c>
      <c r="AH7" s="158">
        <f>AC7-Z7</f>
        <v>3411359.710000001</v>
      </c>
      <c r="AI7" s="154">
        <f>AD7-AB7</f>
        <v>-2820215</v>
      </c>
    </row>
    <row r="8" spans="1:35" ht="12.75">
      <c r="A8" s="33" t="s">
        <v>80</v>
      </c>
      <c r="B8" s="33">
        <v>610</v>
      </c>
      <c r="C8" s="19">
        <v>0</v>
      </c>
      <c r="D8" s="19">
        <v>0</v>
      </c>
      <c r="E8" s="19">
        <v>0</v>
      </c>
      <c r="F8" s="19">
        <v>0</v>
      </c>
      <c r="G8" s="19">
        <v>396591</v>
      </c>
      <c r="H8" s="20">
        <v>407113</v>
      </c>
      <c r="I8" s="21">
        <v>1527857</v>
      </c>
      <c r="J8" s="22">
        <v>1458982</v>
      </c>
      <c r="K8" s="23">
        <v>1622778</v>
      </c>
      <c r="L8" s="24">
        <v>2273625</v>
      </c>
      <c r="M8" s="24">
        <v>2368969</v>
      </c>
      <c r="O8" s="153" t="s">
        <v>81</v>
      </c>
      <c r="P8" s="25"/>
      <c r="Q8" s="34"/>
      <c r="R8" s="34"/>
      <c r="S8" s="34"/>
      <c r="T8" s="35"/>
      <c r="U8" s="35"/>
      <c r="V8" s="36"/>
      <c r="W8" s="73"/>
      <c r="X8" s="73"/>
      <c r="Y8" s="73"/>
      <c r="Z8" s="73"/>
      <c r="AA8" s="73"/>
      <c r="AB8" s="73"/>
      <c r="AC8" s="73"/>
      <c r="AD8" s="72"/>
      <c r="AE8" s="72"/>
      <c r="AF8" s="72"/>
      <c r="AG8" s="155"/>
      <c r="AH8" s="159"/>
      <c r="AI8" s="4"/>
    </row>
    <row r="9" spans="1:35" ht="13.5" thickBot="1">
      <c r="A9" s="5" t="s">
        <v>82</v>
      </c>
      <c r="B9" s="33"/>
      <c r="C9" s="19">
        <v>4286361</v>
      </c>
      <c r="D9" s="19">
        <v>3818685</v>
      </c>
      <c r="E9" s="19">
        <v>2563753</v>
      </c>
      <c r="F9" s="19">
        <v>4009637</v>
      </c>
      <c r="G9" s="19">
        <v>3539611</v>
      </c>
      <c r="H9" s="20">
        <v>3789045</v>
      </c>
      <c r="I9" s="21">
        <v>3610823</v>
      </c>
      <c r="J9" s="22">
        <f>2969747+1157925</f>
        <v>4127672</v>
      </c>
      <c r="K9" s="23">
        <v>3688791</v>
      </c>
      <c r="L9" s="24">
        <v>3987430</v>
      </c>
      <c r="M9" s="24">
        <v>3987430</v>
      </c>
      <c r="O9" s="160" t="s">
        <v>53</v>
      </c>
      <c r="P9" s="31" t="s">
        <v>79</v>
      </c>
      <c r="Q9" s="32">
        <v>3397224</v>
      </c>
      <c r="R9" s="32">
        <v>3662646</v>
      </c>
      <c r="S9" s="32">
        <v>3346578</v>
      </c>
      <c r="T9" s="32">
        <f>9465044.34-5501227.28</f>
        <v>3963817.0599999996</v>
      </c>
      <c r="U9" s="32">
        <v>4220240</v>
      </c>
      <c r="V9" s="32">
        <f>1878018.31+2796169.53+10482.36+143.54+15911.88</f>
        <v>4700725.62</v>
      </c>
      <c r="W9" s="72">
        <f>1334313.6+48003.8</f>
        <v>1382317.4000000001</v>
      </c>
      <c r="X9" s="72">
        <f>1475032.31+88204.97</f>
        <v>1563237.28</v>
      </c>
      <c r="Y9" s="72">
        <f>1465830.31+64884.57</f>
        <v>1530714.8800000001</v>
      </c>
      <c r="Z9" s="121">
        <f>Steam!G20+Steam!G9</f>
        <v>1414780.8199999998</v>
      </c>
      <c r="AA9" s="72">
        <v>1282108.34</v>
      </c>
      <c r="AB9" s="72">
        <v>2349407</v>
      </c>
      <c r="AC9" s="121">
        <v>2443383</v>
      </c>
      <c r="AD9" s="72">
        <v>2541119</v>
      </c>
      <c r="AE9" s="72">
        <v>2642763</v>
      </c>
      <c r="AF9" s="72">
        <v>2748474</v>
      </c>
      <c r="AH9" s="158">
        <f>AC9-Z9</f>
        <v>1028602.1800000002</v>
      </c>
      <c r="AI9" s="154">
        <f>AD9-AB9</f>
        <v>191712</v>
      </c>
    </row>
    <row r="10" spans="1:34" ht="12.75">
      <c r="A10" s="5" t="s">
        <v>83</v>
      </c>
      <c r="B10" s="5"/>
      <c r="C10" s="19">
        <v>369472</v>
      </c>
      <c r="D10" s="19">
        <v>380358</v>
      </c>
      <c r="E10" s="19">
        <v>384510</v>
      </c>
      <c r="F10" s="19">
        <v>398759</v>
      </c>
      <c r="G10" s="19">
        <v>395814</v>
      </c>
      <c r="H10" s="20">
        <v>383829</v>
      </c>
      <c r="I10" s="21">
        <v>403700</v>
      </c>
      <c r="J10" s="22">
        <v>362075</v>
      </c>
      <c r="K10" s="23">
        <v>339510</v>
      </c>
      <c r="L10" s="24">
        <v>369759</v>
      </c>
      <c r="M10" s="24">
        <v>369759</v>
      </c>
      <c r="O10" s="153" t="s">
        <v>180</v>
      </c>
      <c r="P10" s="25"/>
      <c r="Q10" s="37"/>
      <c r="R10" s="37"/>
      <c r="S10" s="37"/>
      <c r="T10" s="35"/>
      <c r="U10" s="35"/>
      <c r="V10" s="36"/>
      <c r="W10" s="73"/>
      <c r="X10" s="73"/>
      <c r="Y10" s="73"/>
      <c r="Z10" s="73"/>
      <c r="AA10" s="73"/>
      <c r="AB10" s="73"/>
      <c r="AC10" s="73"/>
      <c r="AD10" s="72"/>
      <c r="AE10" s="72"/>
      <c r="AF10" s="72"/>
      <c r="AH10" s="159"/>
    </row>
    <row r="11" spans="1:35" ht="13.5" thickBot="1">
      <c r="A11" s="33" t="s">
        <v>84</v>
      </c>
      <c r="B11" s="33"/>
      <c r="C11" s="38">
        <v>597618</v>
      </c>
      <c r="D11" s="38">
        <v>594944</v>
      </c>
      <c r="E11" s="38">
        <v>558979</v>
      </c>
      <c r="F11" s="38">
        <v>95829</v>
      </c>
      <c r="G11" s="38">
        <v>366084</v>
      </c>
      <c r="H11" s="39">
        <v>661682</v>
      </c>
      <c r="I11" s="40">
        <v>684413</v>
      </c>
      <c r="J11" s="41">
        <v>693024</v>
      </c>
      <c r="K11" s="42">
        <v>569470</v>
      </c>
      <c r="L11" s="24">
        <v>655361</v>
      </c>
      <c r="M11" s="24">
        <v>713876</v>
      </c>
      <c r="O11" s="160" t="s">
        <v>54</v>
      </c>
      <c r="P11" s="31" t="s">
        <v>79</v>
      </c>
      <c r="Q11" s="32">
        <v>6730688</v>
      </c>
      <c r="R11" s="32">
        <v>5566198</v>
      </c>
      <c r="S11" s="32">
        <v>6041579</v>
      </c>
      <c r="T11" s="32">
        <f>8191213.01-2750653.13</f>
        <v>5440559.88</v>
      </c>
      <c r="U11" s="32">
        <v>5189427</v>
      </c>
      <c r="V11" s="32">
        <f>357917.23+284069.97+4694210.04+7112</f>
        <v>5343309.24</v>
      </c>
      <c r="W11" s="72">
        <f>3677145.22-3476757.47</f>
        <v>200387.75</v>
      </c>
      <c r="X11" s="72">
        <v>217810.38</v>
      </c>
      <c r="Y11" s="72">
        <v>325744.22</v>
      </c>
      <c r="Z11" s="121">
        <f>Other!G36+'Other 098'!G69</f>
        <v>299622.00999999995</v>
      </c>
      <c r="AA11" s="72">
        <v>267603.84630648984</v>
      </c>
      <c r="AB11" s="72">
        <v>260484</v>
      </c>
      <c r="AC11" s="121">
        <v>1464503</v>
      </c>
      <c r="AD11" s="72">
        <v>518683</v>
      </c>
      <c r="AE11" s="72">
        <v>273031</v>
      </c>
      <c r="AF11" s="72">
        <v>277552</v>
      </c>
      <c r="AH11" s="158">
        <f>AC11-Z11</f>
        <v>1164880.99</v>
      </c>
      <c r="AI11" s="154">
        <f>AD11-AB11</f>
        <v>258199</v>
      </c>
    </row>
    <row r="12" spans="9:34" ht="12.75">
      <c r="I12" s="43"/>
      <c r="O12" s="153" t="s">
        <v>85</v>
      </c>
      <c r="P12" s="25"/>
      <c r="Q12" s="34"/>
      <c r="R12" s="34"/>
      <c r="S12" s="34"/>
      <c r="T12" s="35"/>
      <c r="U12" s="35"/>
      <c r="V12" s="36"/>
      <c r="W12" s="73"/>
      <c r="X12" s="73"/>
      <c r="Y12" s="73"/>
      <c r="Z12" s="73"/>
      <c r="AA12" s="73"/>
      <c r="AB12" s="73"/>
      <c r="AC12" s="73"/>
      <c r="AD12" s="150"/>
      <c r="AE12" s="2"/>
      <c r="AF12" s="4"/>
      <c r="AH12" s="159"/>
    </row>
    <row r="13" spans="1:61" s="62" customFormat="1" ht="13.5" thickBot="1">
      <c r="A13" s="56" t="s">
        <v>86</v>
      </c>
      <c r="B13" s="57"/>
      <c r="C13" s="58"/>
      <c r="D13" s="58"/>
      <c r="E13" s="58"/>
      <c r="F13" s="59"/>
      <c r="G13" s="59"/>
      <c r="H13" s="60"/>
      <c r="I13" s="44" t="s">
        <v>87</v>
      </c>
      <c r="J13" s="61" t="e">
        <f>#REF!/#REF!/1000</f>
        <v>#REF!</v>
      </c>
      <c r="K13" s="61" t="e">
        <f>#REF!/#REF!/1000</f>
        <v>#REF!</v>
      </c>
      <c r="L13" s="61" t="e">
        <f>#REF!/#REF!/1000</f>
        <v>#REF!</v>
      </c>
      <c r="M13" s="61" t="e">
        <f>#REF!/#REF!/1000</f>
        <v>#REF!</v>
      </c>
      <c r="O13" s="160" t="s">
        <v>54</v>
      </c>
      <c r="P13" s="63" t="s">
        <v>79</v>
      </c>
      <c r="Q13" s="64">
        <v>72695</v>
      </c>
      <c r="R13" s="64">
        <v>270881</v>
      </c>
      <c r="S13" s="64">
        <v>1973555</v>
      </c>
      <c r="T13" s="64">
        <f>373924.79-113615.73</f>
        <v>260309.06</v>
      </c>
      <c r="U13" s="64">
        <v>480318</v>
      </c>
      <c r="V13" s="64">
        <f>78859.44+60280.72</f>
        <v>139140.16</v>
      </c>
      <c r="W13" s="74">
        <f>1078690.23-1033332</f>
        <v>45358.22999999998</v>
      </c>
      <c r="X13" s="74">
        <f>-798513.32+1033332</f>
        <v>234818.68000000005</v>
      </c>
      <c r="Y13" s="74">
        <v>50356.75</v>
      </c>
      <c r="Z13" s="132">
        <f>Other!G22+'Other 098'!G70+'Other 098'!G71</f>
        <v>149517.67</v>
      </c>
      <c r="AA13" s="74">
        <v>160877.97850994734</v>
      </c>
      <c r="AB13" s="74">
        <v>63000</v>
      </c>
      <c r="AC13" s="132">
        <v>65520</v>
      </c>
      <c r="AD13" s="74">
        <v>68141</v>
      </c>
      <c r="AE13" s="74">
        <v>70866</v>
      </c>
      <c r="AF13" s="74">
        <v>73701</v>
      </c>
      <c r="AG13" s="65"/>
      <c r="AH13" s="158">
        <f>AC13-Z13</f>
        <v>-83997.67000000001</v>
      </c>
      <c r="AI13" s="154">
        <f>AD13-AB13</f>
        <v>5141</v>
      </c>
      <c r="AJ13" s="65"/>
      <c r="AK13" s="65"/>
      <c r="AP13" s="65"/>
      <c r="AQ13" s="65"/>
      <c r="AV13" s="65"/>
      <c r="AW13" s="65"/>
      <c r="BB13" s="65"/>
      <c r="BC13" s="65"/>
      <c r="BD13" s="65"/>
      <c r="BE13" s="65"/>
      <c r="BF13" s="65"/>
      <c r="BG13" s="65"/>
      <c r="BH13" s="65"/>
      <c r="BI13" s="65"/>
    </row>
    <row r="14" spans="8:34" ht="12.75">
      <c r="H14" s="45"/>
      <c r="O14" s="153" t="s">
        <v>88</v>
      </c>
      <c r="P14" s="25"/>
      <c r="Q14" s="34"/>
      <c r="R14" s="34"/>
      <c r="S14" s="34"/>
      <c r="T14" s="35"/>
      <c r="U14" s="35"/>
      <c r="V14" s="36"/>
      <c r="W14" s="73"/>
      <c r="X14" s="73"/>
      <c r="Y14" s="73"/>
      <c r="Z14" s="73"/>
      <c r="AA14" s="73"/>
      <c r="AB14" s="73"/>
      <c r="AC14" s="73"/>
      <c r="AD14" s="74"/>
      <c r="AE14" s="74"/>
      <c r="AF14" s="74"/>
      <c r="AH14" s="159"/>
    </row>
    <row r="15" spans="8:35" ht="13.5" thickBot="1">
      <c r="H15" s="45"/>
      <c r="O15" s="160" t="s">
        <v>53</v>
      </c>
      <c r="P15" s="31" t="s">
        <v>79</v>
      </c>
      <c r="Q15" s="32">
        <v>0</v>
      </c>
      <c r="R15" s="32">
        <v>0</v>
      </c>
      <c r="S15" s="32">
        <v>0</v>
      </c>
      <c r="T15" s="32">
        <v>1378</v>
      </c>
      <c r="U15" s="32">
        <v>5869</v>
      </c>
      <c r="V15" s="32">
        <f>175.93+10562.65</f>
        <v>10738.58</v>
      </c>
      <c r="W15" s="72">
        <f>1175.48+19745.07</f>
        <v>20920.55</v>
      </c>
      <c r="X15" s="72">
        <f>13950.74+20251.81</f>
        <v>34202.55</v>
      </c>
      <c r="Y15" s="72">
        <f>1398.2+8724.42</f>
        <v>10122.62</v>
      </c>
      <c r="Z15" s="121">
        <f>Other!G15+'Other 098'!G68</f>
        <v>4580.8</v>
      </c>
      <c r="AA15" s="72">
        <v>41441.4025419856</v>
      </c>
      <c r="AB15" s="72">
        <v>109870</v>
      </c>
      <c r="AC15" s="121">
        <v>114265</v>
      </c>
      <c r="AD15" s="74">
        <v>118835</v>
      </c>
      <c r="AE15" s="74">
        <v>123589</v>
      </c>
      <c r="AF15" s="74">
        <v>128532</v>
      </c>
      <c r="AH15" s="158">
        <f>AC15-Z15</f>
        <v>109684.2</v>
      </c>
      <c r="AI15" s="154">
        <f>AD15-AB15</f>
        <v>8965</v>
      </c>
    </row>
    <row r="16" spans="15:34" ht="12.75">
      <c r="O16" s="153" t="s">
        <v>89</v>
      </c>
      <c r="P16" s="25"/>
      <c r="Q16" s="34"/>
      <c r="R16" s="34"/>
      <c r="S16" s="34"/>
      <c r="T16" s="35"/>
      <c r="U16" s="35"/>
      <c r="V16" s="36"/>
      <c r="W16" s="73"/>
      <c r="X16" s="73"/>
      <c r="Y16" s="73"/>
      <c r="Z16" s="73"/>
      <c r="AA16" s="73"/>
      <c r="AB16" s="73"/>
      <c r="AC16" s="73"/>
      <c r="AD16" s="74"/>
      <c r="AE16" s="74"/>
      <c r="AF16" s="74"/>
      <c r="AH16" s="159"/>
    </row>
    <row r="17" spans="15:35" ht="13.5" thickBot="1">
      <c r="O17" s="160" t="s">
        <v>54</v>
      </c>
      <c r="P17" s="31" t="s">
        <v>79</v>
      </c>
      <c r="Q17" s="32">
        <v>0</v>
      </c>
      <c r="R17" s="32">
        <v>0</v>
      </c>
      <c r="S17" s="32">
        <v>0</v>
      </c>
      <c r="T17" s="32">
        <f>847369.55-503509.37</f>
        <v>343860.18000000005</v>
      </c>
      <c r="U17" s="32">
        <v>458075</v>
      </c>
      <c r="V17" s="32">
        <f>307588.04+81461+7112</f>
        <v>396161.04</v>
      </c>
      <c r="W17" s="72">
        <v>81427.72</v>
      </c>
      <c r="X17" s="72">
        <v>100390.4</v>
      </c>
      <c r="Y17" s="72">
        <v>100075.19</v>
      </c>
      <c r="Z17" s="121">
        <f>Other!G29</f>
        <v>180565.22</v>
      </c>
      <c r="AA17" s="72">
        <v>176861.63930824384</v>
      </c>
      <c r="AB17" s="72">
        <v>110300</v>
      </c>
      <c r="AC17" s="121">
        <v>239712</v>
      </c>
      <c r="AD17" s="74">
        <v>169300</v>
      </c>
      <c r="AE17" s="74">
        <v>124072</v>
      </c>
      <c r="AF17" s="74">
        <v>129035</v>
      </c>
      <c r="AH17" s="158">
        <f>AC17-Z17</f>
        <v>59146.78</v>
      </c>
      <c r="AI17" s="154">
        <f>AD17-AB17</f>
        <v>59000</v>
      </c>
    </row>
    <row r="18" spans="1:34" ht="12.75">
      <c r="A18" s="46"/>
      <c r="B18" s="46"/>
      <c r="C18" s="46"/>
      <c r="D18" s="46"/>
      <c r="E18" s="3"/>
      <c r="F18" s="47"/>
      <c r="G18" s="47"/>
      <c r="H18" s="48"/>
      <c r="I18" s="48"/>
      <c r="J18" s="48"/>
      <c r="K18" s="48"/>
      <c r="L18" s="48"/>
      <c r="M18" s="48"/>
      <c r="O18" s="153" t="s">
        <v>90</v>
      </c>
      <c r="P18" s="25"/>
      <c r="Q18" s="34"/>
      <c r="R18" s="34"/>
      <c r="S18" s="34"/>
      <c r="T18" s="35"/>
      <c r="U18" s="35"/>
      <c r="V18" s="36"/>
      <c r="W18" s="73"/>
      <c r="X18" s="73"/>
      <c r="Y18" s="73"/>
      <c r="Z18" s="73"/>
      <c r="AA18" s="73"/>
      <c r="AB18" s="73"/>
      <c r="AC18" s="73"/>
      <c r="AD18" s="150"/>
      <c r="AE18" s="2"/>
      <c r="AF18" s="4"/>
      <c r="AH18" s="159"/>
    </row>
    <row r="19" spans="1:35" ht="13.5" thickBot="1">
      <c r="A19" s="49"/>
      <c r="B19" s="49"/>
      <c r="C19" s="46"/>
      <c r="D19" s="46"/>
      <c r="E19" s="46"/>
      <c r="F19" s="49"/>
      <c r="G19" s="49"/>
      <c r="H19" s="20"/>
      <c r="I19" s="20"/>
      <c r="J19" s="20"/>
      <c r="K19" s="20"/>
      <c r="L19" s="20"/>
      <c r="M19" s="20"/>
      <c r="O19" s="160" t="s">
        <v>55</v>
      </c>
      <c r="P19" s="31" t="s">
        <v>79</v>
      </c>
      <c r="Q19" s="32">
        <v>0</v>
      </c>
      <c r="R19" s="32">
        <v>0</v>
      </c>
      <c r="S19" s="32">
        <v>0</v>
      </c>
      <c r="T19" s="32">
        <v>0</v>
      </c>
      <c r="U19" s="32">
        <v>1619796</v>
      </c>
      <c r="V19" s="32">
        <f>1323805.05+1012008.65</f>
        <v>2335813.7</v>
      </c>
      <c r="W19" s="103">
        <v>3060354.73</v>
      </c>
      <c r="X19" s="103">
        <v>3692153.73</v>
      </c>
      <c r="Y19" s="103">
        <v>4291511.63</v>
      </c>
      <c r="Z19" s="129">
        <f>Other!G44</f>
        <v>7084820.29</v>
      </c>
      <c r="AA19" s="103">
        <v>7096213.51</v>
      </c>
      <c r="AB19" s="103">
        <v>4704144</v>
      </c>
      <c r="AC19" s="129">
        <v>4892310</v>
      </c>
      <c r="AD19" s="103">
        <v>10029926</v>
      </c>
      <c r="AE19" s="103">
        <v>5291522</v>
      </c>
      <c r="AF19" s="103">
        <v>5503183</v>
      </c>
      <c r="AH19" s="158">
        <f>AC19-Z19</f>
        <v>-2192510.29</v>
      </c>
      <c r="AI19" s="154">
        <f>AD19-AB19</f>
        <v>5325782</v>
      </c>
    </row>
    <row r="20" spans="1:34" ht="12.75">
      <c r="A20" s="49"/>
      <c r="B20" s="49"/>
      <c r="C20" s="46"/>
      <c r="D20" s="46"/>
      <c r="E20" s="46"/>
      <c r="F20" s="49"/>
      <c r="G20" s="49"/>
      <c r="H20" s="20"/>
      <c r="I20" s="20"/>
      <c r="J20" s="20"/>
      <c r="K20" s="20"/>
      <c r="L20" s="20"/>
      <c r="M20" s="20"/>
      <c r="O20" s="153" t="s">
        <v>82</v>
      </c>
      <c r="P20" s="25"/>
      <c r="Q20" s="34"/>
      <c r="R20" s="34"/>
      <c r="S20" s="34"/>
      <c r="T20" s="35"/>
      <c r="U20" s="35"/>
      <c r="V20" s="36"/>
      <c r="W20" s="72"/>
      <c r="X20" s="72"/>
      <c r="Y20" s="72"/>
      <c r="Z20" s="72"/>
      <c r="AA20" s="72"/>
      <c r="AB20" s="72"/>
      <c r="AC20" s="72"/>
      <c r="AD20" s="150"/>
      <c r="AE20" s="2"/>
      <c r="AF20" s="4"/>
      <c r="AH20" s="159"/>
    </row>
    <row r="21" spans="1:34" ht="12.75">
      <c r="A21" s="49"/>
      <c r="B21" s="49"/>
      <c r="C21" s="46"/>
      <c r="D21" s="46"/>
      <c r="E21" s="46"/>
      <c r="F21" s="49"/>
      <c r="G21" s="49"/>
      <c r="H21" s="20"/>
      <c r="I21" s="20"/>
      <c r="J21" s="20"/>
      <c r="K21" s="20"/>
      <c r="L21" s="20"/>
      <c r="M21" s="20"/>
      <c r="O21" s="93" t="s">
        <v>67</v>
      </c>
      <c r="P21" s="31"/>
      <c r="Q21" s="55"/>
      <c r="R21" s="55"/>
      <c r="S21" s="55"/>
      <c r="T21" s="94"/>
      <c r="U21" s="94"/>
      <c r="V21" s="95"/>
      <c r="W21" s="72">
        <v>619207</v>
      </c>
      <c r="X21" s="72">
        <v>597788</v>
      </c>
      <c r="Y21" s="72">
        <v>685876</v>
      </c>
      <c r="Z21" s="121">
        <f>Hydro!G46</f>
        <v>651896.99</v>
      </c>
      <c r="AA21" s="72">
        <v>707323.72</v>
      </c>
      <c r="AB21" s="72">
        <v>695557</v>
      </c>
      <c r="AC21" s="121">
        <v>723379</v>
      </c>
      <c r="AD21" s="72">
        <v>752314</v>
      </c>
      <c r="AE21" s="72">
        <v>782407</v>
      </c>
      <c r="AF21" s="72">
        <v>813703</v>
      </c>
      <c r="AH21" s="159"/>
    </row>
    <row r="22" spans="1:34" ht="12.75">
      <c r="A22" s="49"/>
      <c r="B22" s="49"/>
      <c r="C22" s="46"/>
      <c r="D22" s="46"/>
      <c r="E22" s="46"/>
      <c r="F22" s="49"/>
      <c r="G22" s="49"/>
      <c r="H22" s="20"/>
      <c r="I22" s="20"/>
      <c r="J22" s="20"/>
      <c r="K22" s="20"/>
      <c r="L22" s="20"/>
      <c r="M22" s="20"/>
      <c r="O22" s="93" t="s">
        <v>66</v>
      </c>
      <c r="P22" s="31"/>
      <c r="Q22" s="55"/>
      <c r="R22" s="55"/>
      <c r="S22" s="55"/>
      <c r="T22" s="94"/>
      <c r="U22" s="94"/>
      <c r="V22" s="95"/>
      <c r="W22" s="72">
        <v>657453</v>
      </c>
      <c r="X22" s="72">
        <v>685388</v>
      </c>
      <c r="Y22" s="72">
        <v>650853</v>
      </c>
      <c r="Z22" s="121">
        <f>Headwater!H12</f>
        <v>654416</v>
      </c>
      <c r="AA22" s="72">
        <v>653174</v>
      </c>
      <c r="AB22" s="72">
        <v>654792</v>
      </c>
      <c r="AC22" s="121">
        <v>654792</v>
      </c>
      <c r="AD22" s="72">
        <v>654792</v>
      </c>
      <c r="AE22" s="72">
        <v>654792</v>
      </c>
      <c r="AF22" s="72">
        <v>654792</v>
      </c>
      <c r="AH22" s="159"/>
    </row>
    <row r="23" spans="1:61" s="4" customFormat="1" ht="12.75">
      <c r="A23" s="49"/>
      <c r="B23" s="49"/>
      <c r="C23" s="49"/>
      <c r="D23" s="49"/>
      <c r="E23" s="49"/>
      <c r="F23" s="49"/>
      <c r="G23" s="49"/>
      <c r="H23" s="20"/>
      <c r="I23" s="20"/>
      <c r="J23" s="20"/>
      <c r="K23" s="20"/>
      <c r="L23" s="20"/>
      <c r="M23" s="20"/>
      <c r="O23" s="13" t="s">
        <v>57</v>
      </c>
      <c r="P23" s="4" t="s">
        <v>58</v>
      </c>
      <c r="Q23" s="55"/>
      <c r="R23" s="55"/>
      <c r="S23" s="55"/>
      <c r="T23" s="94"/>
      <c r="U23" s="94"/>
      <c r="V23" s="95"/>
      <c r="W23" s="103">
        <v>1982499.65</v>
      </c>
      <c r="X23" s="103">
        <v>2197825.29</v>
      </c>
      <c r="Y23" s="103">
        <v>2757783.16</v>
      </c>
      <c r="Z23" s="129">
        <f>5984640.04-Z28-Z21-Z22</f>
        <v>2536772.6799999997</v>
      </c>
      <c r="AA23" s="103">
        <v>2185071.94</v>
      </c>
      <c r="AB23" s="103">
        <v>2384775</v>
      </c>
      <c r="AC23" s="129">
        <v>2480166</v>
      </c>
      <c r="AD23" s="103">
        <v>2579373</v>
      </c>
      <c r="AE23" s="103">
        <v>2682548</v>
      </c>
      <c r="AF23" s="103">
        <v>2789849</v>
      </c>
      <c r="AG23" s="2"/>
      <c r="AH23" s="215"/>
      <c r="AI23" s="156"/>
      <c r="AJ23" s="2"/>
      <c r="AK23" s="2"/>
      <c r="AP23" s="2"/>
      <c r="AQ23" s="2"/>
      <c r="AV23" s="2"/>
      <c r="AW23" s="2"/>
      <c r="BB23" s="2"/>
      <c r="BC23" s="2"/>
      <c r="BD23" s="2"/>
      <c r="BE23" s="2"/>
      <c r="BF23" s="2"/>
      <c r="BG23" s="2"/>
      <c r="BH23" s="2"/>
      <c r="BI23" s="2"/>
    </row>
    <row r="24" spans="1:61" s="4" customFormat="1" ht="12.75">
      <c r="A24" s="49"/>
      <c r="B24" s="49"/>
      <c r="C24" s="49"/>
      <c r="D24" s="49"/>
      <c r="E24" s="49"/>
      <c r="F24" s="49"/>
      <c r="G24" s="49"/>
      <c r="H24" s="20"/>
      <c r="I24" s="20"/>
      <c r="J24" s="20"/>
      <c r="K24" s="20"/>
      <c r="L24" s="20"/>
      <c r="M24" s="20"/>
      <c r="O24" s="161" t="s">
        <v>61</v>
      </c>
      <c r="P24" s="31"/>
      <c r="Q24" s="55"/>
      <c r="R24" s="55"/>
      <c r="S24" s="55"/>
      <c r="T24" s="94"/>
      <c r="U24" s="94"/>
      <c r="V24" s="95"/>
      <c r="W24" s="103">
        <f aca="true" t="shared" si="0" ref="W24:AF24">SUM(W21:W23)</f>
        <v>3259159.65</v>
      </c>
      <c r="X24" s="103">
        <f t="shared" si="0"/>
        <v>3481001.29</v>
      </c>
      <c r="Y24" s="103">
        <f t="shared" si="0"/>
        <v>4094512.16</v>
      </c>
      <c r="Z24" s="103">
        <f t="shared" si="0"/>
        <v>3843085.67</v>
      </c>
      <c r="AA24" s="103">
        <f t="shared" si="0"/>
        <v>3545569.66</v>
      </c>
      <c r="AB24" s="103">
        <f t="shared" si="0"/>
        <v>3735124</v>
      </c>
      <c r="AC24" s="103">
        <f t="shared" si="0"/>
        <v>3858337</v>
      </c>
      <c r="AD24" s="103">
        <f t="shared" si="0"/>
        <v>3986479</v>
      </c>
      <c r="AE24" s="103">
        <f t="shared" si="0"/>
        <v>4119747</v>
      </c>
      <c r="AF24" s="103">
        <f t="shared" si="0"/>
        <v>4258344</v>
      </c>
      <c r="AG24" s="2"/>
      <c r="AH24" s="216">
        <f>AC24-Z24</f>
        <v>15251.330000000075</v>
      </c>
      <c r="AI24" s="154">
        <f>AD24-AB24</f>
        <v>251355</v>
      </c>
      <c r="AJ24" s="2"/>
      <c r="AK24" s="2"/>
      <c r="AP24" s="2"/>
      <c r="AQ24" s="2"/>
      <c r="AV24" s="2"/>
      <c r="AW24" s="2"/>
      <c r="BB24" s="2"/>
      <c r="BC24" s="2"/>
      <c r="BD24" s="2"/>
      <c r="BE24" s="2"/>
      <c r="BF24" s="2"/>
      <c r="BG24" s="2"/>
      <c r="BH24" s="2"/>
      <c r="BI24" s="2"/>
    </row>
    <row r="25" spans="1:61" s="4" customFormat="1" ht="12.75">
      <c r="A25" s="49"/>
      <c r="B25" s="49"/>
      <c r="C25" s="49"/>
      <c r="D25" s="49"/>
      <c r="E25" s="49"/>
      <c r="F25" s="49"/>
      <c r="G25" s="49"/>
      <c r="H25" s="20"/>
      <c r="I25" s="20"/>
      <c r="J25" s="20"/>
      <c r="K25" s="20"/>
      <c r="L25" s="20"/>
      <c r="M25" s="20"/>
      <c r="O25" s="93"/>
      <c r="P25" s="31"/>
      <c r="Q25" s="55"/>
      <c r="R25" s="55"/>
      <c r="S25" s="55"/>
      <c r="T25" s="94"/>
      <c r="U25" s="94"/>
      <c r="V25" s="95"/>
      <c r="W25" s="72"/>
      <c r="X25" s="72"/>
      <c r="Y25" s="72"/>
      <c r="Z25" s="72"/>
      <c r="AA25" s="72"/>
      <c r="AB25" s="72"/>
      <c r="AC25" s="72"/>
      <c r="AD25" s="150"/>
      <c r="AE25" s="2"/>
      <c r="AG25" s="2"/>
      <c r="AH25" s="159"/>
      <c r="AJ25" s="2"/>
      <c r="AK25" s="2"/>
      <c r="AP25" s="2"/>
      <c r="AQ25" s="2"/>
      <c r="AV25" s="2"/>
      <c r="AW25" s="2"/>
      <c r="BB25" s="2"/>
      <c r="BC25" s="2"/>
      <c r="BD25" s="2"/>
      <c r="BE25" s="2"/>
      <c r="BF25" s="2"/>
      <c r="BG25" s="2"/>
      <c r="BH25" s="2"/>
      <c r="BI25" s="2"/>
    </row>
    <row r="26" spans="1:61" s="4" customFormat="1" ht="13.5" thickBot="1">
      <c r="A26" s="49"/>
      <c r="B26" s="49"/>
      <c r="C26" s="49"/>
      <c r="D26" s="49"/>
      <c r="E26" s="49"/>
      <c r="F26" s="49"/>
      <c r="G26" s="49"/>
      <c r="H26" s="20"/>
      <c r="I26" s="20"/>
      <c r="J26" s="20"/>
      <c r="K26" s="20"/>
      <c r="L26" s="20"/>
      <c r="M26" s="20"/>
      <c r="O26" s="162" t="s">
        <v>65</v>
      </c>
      <c r="P26" s="31"/>
      <c r="Q26" s="55"/>
      <c r="R26" s="55"/>
      <c r="S26" s="55"/>
      <c r="T26" s="94"/>
      <c r="U26" s="94"/>
      <c r="V26" s="95"/>
      <c r="W26" s="214">
        <f aca="true" t="shared" si="1" ref="W26:AF26">SUM(W7:W23)</f>
        <v>14529094.120000001</v>
      </c>
      <c r="X26" s="214">
        <f t="shared" si="1"/>
        <v>18436125.560000002</v>
      </c>
      <c r="Y26" s="214">
        <f t="shared" si="1"/>
        <v>20374548.82</v>
      </c>
      <c r="Z26" s="111">
        <f t="shared" si="1"/>
        <v>21776133.77</v>
      </c>
      <c r="AA26" s="214">
        <f t="shared" si="1"/>
        <v>22831328.19666667</v>
      </c>
      <c r="AB26" s="214">
        <f t="shared" si="1"/>
        <v>23379655</v>
      </c>
      <c r="AC26" s="111">
        <f t="shared" si="1"/>
        <v>25288551</v>
      </c>
      <c r="AD26" s="214">
        <f t="shared" si="1"/>
        <v>26659594</v>
      </c>
      <c r="AE26" s="214">
        <f t="shared" si="1"/>
        <v>24995503</v>
      </c>
      <c r="AF26" s="214">
        <f t="shared" si="1"/>
        <v>25765414</v>
      </c>
      <c r="AG26" s="2"/>
      <c r="AH26" s="163">
        <f>AC26-Z26</f>
        <v>3512417.2300000004</v>
      </c>
      <c r="AI26" s="165">
        <f>AD26-AB26</f>
        <v>3279939</v>
      </c>
      <c r="AJ26" s="2"/>
      <c r="AK26" s="2"/>
      <c r="AP26" s="2"/>
      <c r="AQ26" s="2"/>
      <c r="AV26" s="2"/>
      <c r="AW26" s="2"/>
      <c r="BB26" s="2"/>
      <c r="BC26" s="2"/>
      <c r="BD26" s="2"/>
      <c r="BE26" s="2"/>
      <c r="BF26" s="2"/>
      <c r="BG26" s="2"/>
      <c r="BH26" s="2"/>
      <c r="BI26" s="2"/>
    </row>
    <row r="27" spans="1:29" ht="13.5" thickTop="1">
      <c r="A27" s="49"/>
      <c r="B27" s="49"/>
      <c r="C27" s="46"/>
      <c r="D27" s="46"/>
      <c r="E27" s="46"/>
      <c r="F27" s="49"/>
      <c r="G27" s="49"/>
      <c r="H27" s="20"/>
      <c r="I27" s="20"/>
      <c r="J27" s="20"/>
      <c r="K27" s="20"/>
      <c r="L27" s="20"/>
      <c r="M27" s="20"/>
      <c r="O27" s="93" t="s">
        <v>62</v>
      </c>
      <c r="P27" s="31"/>
      <c r="Q27" s="55"/>
      <c r="R27" s="55"/>
      <c r="S27" s="55"/>
      <c r="T27" s="94"/>
      <c r="U27" s="94"/>
      <c r="V27" s="95"/>
      <c r="W27" s="72"/>
      <c r="X27" s="72"/>
      <c r="Y27" s="72"/>
      <c r="Z27" s="72"/>
      <c r="AA27" s="72"/>
      <c r="AB27" s="72"/>
      <c r="AC27" s="72"/>
    </row>
    <row r="28" spans="1:29" ht="12.75">
      <c r="A28" s="49"/>
      <c r="B28" s="49"/>
      <c r="C28" s="46"/>
      <c r="D28" s="46"/>
      <c r="E28" s="46"/>
      <c r="F28" s="49"/>
      <c r="G28" s="49"/>
      <c r="H28" s="20"/>
      <c r="I28" s="20"/>
      <c r="J28" s="20"/>
      <c r="K28" s="20"/>
      <c r="L28" s="20"/>
      <c r="M28" s="20"/>
      <c r="O28" s="93" t="s">
        <v>64</v>
      </c>
      <c r="P28" s="31" t="s">
        <v>59</v>
      </c>
      <c r="Q28" s="55"/>
      <c r="R28" s="55"/>
      <c r="S28" s="55"/>
      <c r="T28" s="94"/>
      <c r="U28" s="94"/>
      <c r="V28" s="95"/>
      <c r="W28" s="72">
        <v>1532254.29</v>
      </c>
      <c r="X28" s="72">
        <v>1862257.04</v>
      </c>
      <c r="Y28" s="72">
        <v>1940659.75</v>
      </c>
      <c r="Z28" s="72">
        <f>Hydro!H20</f>
        <v>2141554.37</v>
      </c>
      <c r="AA28" s="72">
        <v>2306752.683636364</v>
      </c>
      <c r="AB28" s="72">
        <v>3307582</v>
      </c>
      <c r="AC28" s="72">
        <v>3307582</v>
      </c>
    </row>
    <row r="29" spans="1:34" ht="13.5" thickBot="1">
      <c r="A29" s="49"/>
      <c r="B29" s="49"/>
      <c r="C29" s="46"/>
      <c r="D29" s="46"/>
      <c r="E29" s="46"/>
      <c r="F29" s="49"/>
      <c r="G29" s="49"/>
      <c r="H29" s="20"/>
      <c r="I29" s="20"/>
      <c r="J29" s="20"/>
      <c r="K29" s="20"/>
      <c r="L29" s="20"/>
      <c r="M29" s="20"/>
      <c r="O29" s="93" t="s">
        <v>60</v>
      </c>
      <c r="P29" s="31"/>
      <c r="Q29" s="55"/>
      <c r="R29" s="55"/>
      <c r="S29" s="55"/>
      <c r="T29" s="94"/>
      <c r="U29" s="94"/>
      <c r="V29" s="95"/>
      <c r="W29" s="72">
        <v>0</v>
      </c>
      <c r="X29" s="72">
        <v>0</v>
      </c>
      <c r="Y29" s="72">
        <v>0</v>
      </c>
      <c r="Z29" s="72">
        <v>0</v>
      </c>
      <c r="AA29" s="72">
        <v>90198</v>
      </c>
      <c r="AB29" s="72">
        <v>5417912</v>
      </c>
      <c r="AC29" s="72">
        <v>5593136</v>
      </c>
      <c r="AH29" s="186" t="s">
        <v>198</v>
      </c>
    </row>
    <row r="30" spans="1:35" ht="12.75">
      <c r="A30" s="49"/>
      <c r="B30" s="49"/>
      <c r="C30" s="46"/>
      <c r="D30" s="46"/>
      <c r="E30" s="46"/>
      <c r="F30" s="49"/>
      <c r="G30" s="49"/>
      <c r="H30" s="20"/>
      <c r="I30" s="20"/>
      <c r="J30" s="20"/>
      <c r="K30" s="20"/>
      <c r="L30" s="20"/>
      <c r="M30" s="20"/>
      <c r="O30" s="104" t="s">
        <v>63</v>
      </c>
      <c r="P30" s="33"/>
      <c r="W30" s="103"/>
      <c r="X30" s="103"/>
      <c r="Y30" s="103"/>
      <c r="Z30" s="103"/>
      <c r="AA30" s="103"/>
      <c r="AB30" s="112"/>
      <c r="AC30" s="112"/>
      <c r="AF30" s="202" t="s">
        <v>200</v>
      </c>
      <c r="AG30" s="238"/>
      <c r="AH30" s="235" t="s">
        <v>186</v>
      </c>
      <c r="AI30" s="204" t="s">
        <v>187</v>
      </c>
    </row>
    <row r="31" spans="1:35" ht="12.75">
      <c r="A31" s="49"/>
      <c r="B31" s="49"/>
      <c r="C31" s="46"/>
      <c r="D31" s="46"/>
      <c r="E31" s="46"/>
      <c r="F31" s="49"/>
      <c r="G31" s="49"/>
      <c r="H31" s="20"/>
      <c r="I31" s="20"/>
      <c r="J31" s="20"/>
      <c r="K31" s="20"/>
      <c r="L31" s="20"/>
      <c r="M31" s="20"/>
      <c r="O31" s="114" t="s">
        <v>68</v>
      </c>
      <c r="P31" s="33"/>
      <c r="W31" s="67">
        <f aca="true" t="shared" si="2" ref="W31:AC31">SUM(W28:W30)</f>
        <v>1532254.29</v>
      </c>
      <c r="X31" s="67">
        <f t="shared" si="2"/>
        <v>1862257.04</v>
      </c>
      <c r="Y31" s="67">
        <f t="shared" si="2"/>
        <v>1940659.75</v>
      </c>
      <c r="Z31" s="67">
        <f t="shared" si="2"/>
        <v>2141554.37</v>
      </c>
      <c r="AA31" s="67">
        <f t="shared" si="2"/>
        <v>2396950.683636364</v>
      </c>
      <c r="AB31" s="67">
        <f t="shared" si="2"/>
        <v>8725494</v>
      </c>
      <c r="AC31" s="67">
        <f t="shared" si="2"/>
        <v>8900718</v>
      </c>
      <c r="AF31" s="205" t="s">
        <v>185</v>
      </c>
      <c r="AG31" s="115"/>
      <c r="AH31" s="236">
        <v>0.6459</v>
      </c>
      <c r="AI31" s="207">
        <v>0.3541</v>
      </c>
    </row>
    <row r="32" spans="1:36" ht="13.5" thickBot="1">
      <c r="A32" s="46"/>
      <c r="B32" s="46"/>
      <c r="C32" s="46"/>
      <c r="D32" s="46"/>
      <c r="E32" s="46"/>
      <c r="F32" s="49"/>
      <c r="G32" s="49"/>
      <c r="H32" s="20"/>
      <c r="I32" s="20"/>
      <c r="J32" s="20"/>
      <c r="K32" s="20"/>
      <c r="L32" s="20"/>
      <c r="M32" s="20"/>
      <c r="O32" s="31"/>
      <c r="P32" s="31"/>
      <c r="Q32" s="32"/>
      <c r="R32" s="32"/>
      <c r="S32" s="32"/>
      <c r="T32" s="32"/>
      <c r="U32" s="32"/>
      <c r="V32" s="32"/>
      <c r="W32" s="92"/>
      <c r="X32" s="92"/>
      <c r="Y32" s="92"/>
      <c r="Z32" s="92"/>
      <c r="AA32" s="92"/>
      <c r="AB32" s="55"/>
      <c r="AC32" s="55"/>
      <c r="AE32" s="185"/>
      <c r="AF32" s="208"/>
      <c r="AG32" s="239"/>
      <c r="AH32" s="242">
        <f>AH31*AH26</f>
        <v>2268670.2888570004</v>
      </c>
      <c r="AI32" s="240">
        <f>AI31*AH26</f>
        <v>1243746.9411430003</v>
      </c>
      <c r="AJ32" s="213">
        <f>AH32+AI32</f>
        <v>3512417.2300000004</v>
      </c>
    </row>
    <row r="33" spans="1:35" ht="13.5" thickBot="1">
      <c r="A33" s="46"/>
      <c r="B33" s="46"/>
      <c r="C33" s="46"/>
      <c r="D33" s="46"/>
      <c r="E33" s="46"/>
      <c r="F33" s="49"/>
      <c r="G33" s="49"/>
      <c r="H33" s="20"/>
      <c r="I33" s="20"/>
      <c r="J33" s="20"/>
      <c r="K33" s="20"/>
      <c r="L33" s="20"/>
      <c r="M33" s="20"/>
      <c r="O33" s="113" t="s">
        <v>91</v>
      </c>
      <c r="P33" s="31"/>
      <c r="Q33" s="32"/>
      <c r="R33" s="32"/>
      <c r="S33" s="32"/>
      <c r="T33" s="32"/>
      <c r="U33" s="32"/>
      <c r="V33" s="32"/>
      <c r="W33" s="55">
        <f aca="true" t="shared" si="3" ref="W33:AC33">W7+W9</f>
        <v>7861485.49</v>
      </c>
      <c r="X33" s="55">
        <f t="shared" si="3"/>
        <v>10675748.53</v>
      </c>
      <c r="Y33" s="55">
        <f t="shared" si="3"/>
        <v>11502226.25</v>
      </c>
      <c r="Z33" s="55">
        <f t="shared" si="3"/>
        <v>10213942.11</v>
      </c>
      <c r="AA33" s="55">
        <f t="shared" si="3"/>
        <v>11542760.16</v>
      </c>
      <c r="AB33" s="55">
        <f t="shared" si="3"/>
        <v>14396733</v>
      </c>
      <c r="AC33" s="55">
        <f t="shared" si="3"/>
        <v>14653904</v>
      </c>
      <c r="AF33" s="4"/>
      <c r="AG33" s="52"/>
      <c r="AH33" s="237" t="s">
        <v>197</v>
      </c>
      <c r="AI33" s="4"/>
    </row>
    <row r="34" spans="1:34" ht="12.75">
      <c r="A34" s="46"/>
      <c r="B34" s="46"/>
      <c r="C34" s="46"/>
      <c r="D34" s="46"/>
      <c r="E34" s="46"/>
      <c r="F34" s="49"/>
      <c r="G34" s="49"/>
      <c r="H34" s="20"/>
      <c r="I34" s="20"/>
      <c r="J34" s="20"/>
      <c r="K34" s="20"/>
      <c r="L34" s="20"/>
      <c r="M34" s="20"/>
      <c r="O34" s="113" t="s">
        <v>61</v>
      </c>
      <c r="P34" s="31"/>
      <c r="Q34" s="32"/>
      <c r="R34" s="32"/>
      <c r="S34" s="32"/>
      <c r="T34" s="32"/>
      <c r="U34" s="32"/>
      <c r="V34" s="32"/>
      <c r="W34" s="55">
        <f aca="true" t="shared" si="4" ref="W34:AC34">W24</f>
        <v>3259159.65</v>
      </c>
      <c r="X34" s="55">
        <f t="shared" si="4"/>
        <v>3481001.29</v>
      </c>
      <c r="Y34" s="55">
        <f t="shared" si="4"/>
        <v>4094512.16</v>
      </c>
      <c r="Z34" s="55">
        <f t="shared" si="4"/>
        <v>3843085.67</v>
      </c>
      <c r="AA34" s="55">
        <f t="shared" si="4"/>
        <v>3545569.66</v>
      </c>
      <c r="AB34" s="55">
        <f t="shared" si="4"/>
        <v>3735124</v>
      </c>
      <c r="AC34" s="55">
        <f t="shared" si="4"/>
        <v>3858337</v>
      </c>
      <c r="AH34" s="241"/>
    </row>
    <row r="35" spans="1:29" ht="12.75">
      <c r="A35" s="46"/>
      <c r="B35" s="46"/>
      <c r="C35" s="46"/>
      <c r="D35" s="46"/>
      <c r="E35" s="46"/>
      <c r="F35" s="49"/>
      <c r="G35" s="49"/>
      <c r="H35" s="20"/>
      <c r="I35" s="20"/>
      <c r="J35" s="20"/>
      <c r="K35" s="20"/>
      <c r="L35" s="20"/>
      <c r="M35" s="20"/>
      <c r="O35" s="113" t="s">
        <v>92</v>
      </c>
      <c r="P35" s="31"/>
      <c r="Q35" s="32"/>
      <c r="R35" s="32"/>
      <c r="S35" s="32"/>
      <c r="T35" s="32"/>
      <c r="U35" s="32"/>
      <c r="V35" s="32"/>
      <c r="W35" s="69">
        <f>W11+W13+W15+W17+W19</f>
        <v>3408448.98</v>
      </c>
      <c r="X35" s="69">
        <f>X11+X13+X15+X17+X19</f>
        <v>4279375.74</v>
      </c>
      <c r="Y35" s="69">
        <f>Y11+Y13+Y15+Y17+Y19</f>
        <v>4777810.41</v>
      </c>
      <c r="Z35" s="69">
        <f>Z11+Z13+Z15+Z17+Z19</f>
        <v>7719105.99</v>
      </c>
      <c r="AA35" s="69">
        <f>SUM(AA11:AA19)</f>
        <v>7742998.376666667</v>
      </c>
      <c r="AB35" s="69">
        <f>AB11+AB13+AB15+AB17+AB19</f>
        <v>5247798</v>
      </c>
      <c r="AC35" s="69">
        <f>AC11+AC13+AC15+AC17+AC19</f>
        <v>6776310</v>
      </c>
    </row>
    <row r="36" spans="1:29" ht="13.5" thickBot="1">
      <c r="A36" s="54"/>
      <c r="B36" s="54"/>
      <c r="O36" s="66" t="s">
        <v>93</v>
      </c>
      <c r="P36" s="66" t="s">
        <v>50</v>
      </c>
      <c r="Q36" s="67" t="e">
        <f>#REF!+Q19+Q17+Q15+Q13+Q11+Q9+#REF!+Q7</f>
        <v>#REF!</v>
      </c>
      <c r="R36" s="67" t="e">
        <f>#REF!+R19+R17+R15+R13+R11+R9+#REF!+R7</f>
        <v>#REF!</v>
      </c>
      <c r="S36" s="67" t="e">
        <f>#REF!+S19+S17+S15+S13+S11+S9+#REF!+S7</f>
        <v>#REF!</v>
      </c>
      <c r="T36" s="67" t="e">
        <f>#REF!+T19+T17+T15+T13+T11+T9+#REF!+T7</f>
        <v>#REF!</v>
      </c>
      <c r="U36" s="67" t="e">
        <f>#REF!+U19+U17+U15+U13+U11+U9+#REF!+U7</f>
        <v>#REF!</v>
      </c>
      <c r="V36" s="67" t="e">
        <f>#REF!+V19+V17+V15+V13+V11+V9+#REF!+V7</f>
        <v>#REF!</v>
      </c>
      <c r="W36" s="67">
        <f aca="true" t="shared" si="5" ref="W36:AC36">SUM(W33:W35)</f>
        <v>14529094.120000001</v>
      </c>
      <c r="X36" s="67">
        <f t="shared" si="5"/>
        <v>18436125.560000002</v>
      </c>
      <c r="Y36" s="67">
        <f t="shared" si="5"/>
        <v>20374548.82</v>
      </c>
      <c r="Z36" s="229">
        <f t="shared" si="5"/>
        <v>21776133.77</v>
      </c>
      <c r="AA36" s="67">
        <f t="shared" si="5"/>
        <v>22831328.196666665</v>
      </c>
      <c r="AB36" s="230">
        <f t="shared" si="5"/>
        <v>23379655</v>
      </c>
      <c r="AC36" s="229">
        <f t="shared" si="5"/>
        <v>25288551</v>
      </c>
    </row>
    <row r="37" spans="1:29" ht="13.5" thickTop="1">
      <c r="A37" s="54"/>
      <c r="B37" s="54"/>
      <c r="O37" s="75"/>
      <c r="P37" s="66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</row>
    <row r="38" spans="6:34" ht="12.75">
      <c r="F38" s="4"/>
      <c r="G38" s="4"/>
      <c r="H38" s="1"/>
      <c r="I38" s="1"/>
      <c r="J38" s="1"/>
      <c r="K38" s="1"/>
      <c r="L38" s="1"/>
      <c r="M38" s="1"/>
      <c r="O38" s="147" t="s">
        <v>178</v>
      </c>
      <c r="P38" s="147"/>
      <c r="Q38" s="51"/>
      <c r="R38" s="51"/>
      <c r="S38" s="50"/>
      <c r="T38" s="50"/>
      <c r="U38" s="50"/>
      <c r="V38" s="53"/>
      <c r="W38" s="3"/>
      <c r="X38" s="8"/>
      <c r="Y38" s="47"/>
      <c r="Z38" s="47"/>
      <c r="AA38" s="47"/>
      <c r="AB38" s="219"/>
      <c r="AC38" s="219"/>
      <c r="AD38" s="220"/>
      <c r="AE38" s="47"/>
      <c r="AF38" s="49"/>
      <c r="AG38" s="47"/>
      <c r="AH38" s="47"/>
    </row>
    <row r="39" spans="6:34" ht="12.75">
      <c r="F39" s="4"/>
      <c r="G39" s="4"/>
      <c r="H39" s="1"/>
      <c r="I39" s="1"/>
      <c r="J39" s="1"/>
      <c r="K39" s="1"/>
      <c r="L39" s="1"/>
      <c r="M39" s="1"/>
      <c r="O39" s="147" t="s">
        <v>179</v>
      </c>
      <c r="P39" s="147"/>
      <c r="W39" s="3"/>
      <c r="X39" s="221"/>
      <c r="Y39" s="47"/>
      <c r="Z39" s="47"/>
      <c r="AA39" s="47"/>
      <c r="AB39" s="219"/>
      <c r="AC39" s="219"/>
      <c r="AD39" s="220"/>
      <c r="AE39" s="47"/>
      <c r="AF39" s="49"/>
      <c r="AG39" s="47"/>
      <c r="AH39" s="47"/>
    </row>
    <row r="40" spans="23:34" ht="12.75">
      <c r="W40" s="3"/>
      <c r="X40" s="221"/>
      <c r="Y40" s="68"/>
      <c r="Z40" s="68"/>
      <c r="AA40" s="68"/>
      <c r="AB40" s="94"/>
      <c r="AC40" s="94"/>
      <c r="AD40" s="220"/>
      <c r="AE40" s="47"/>
      <c r="AF40" s="49"/>
      <c r="AG40" s="47"/>
      <c r="AH40" s="47"/>
    </row>
    <row r="41" spans="23:34" ht="12.75">
      <c r="W41" s="3"/>
      <c r="X41" s="221"/>
      <c r="Y41" s="47"/>
      <c r="Z41" s="222"/>
      <c r="AA41" s="219"/>
      <c r="AB41" s="94"/>
      <c r="AC41" s="94"/>
      <c r="AD41" s="220"/>
      <c r="AE41" s="47"/>
      <c r="AF41" s="49"/>
      <c r="AG41" s="47"/>
      <c r="AH41" s="47"/>
    </row>
    <row r="42" spans="23:34" ht="12.75">
      <c r="W42" s="47"/>
      <c r="X42" s="221"/>
      <c r="Y42" s="47"/>
      <c r="Z42" s="222"/>
      <c r="AA42" s="219"/>
      <c r="AB42" s="223"/>
      <c r="AC42" s="94"/>
      <c r="AD42" s="220"/>
      <c r="AE42" s="47"/>
      <c r="AF42" s="49"/>
      <c r="AG42" s="47"/>
      <c r="AH42" s="47"/>
    </row>
    <row r="43" spans="23:34" ht="12.75">
      <c r="W43" s="47"/>
      <c r="X43" s="221"/>
      <c r="Y43" s="47"/>
      <c r="Z43" s="222"/>
      <c r="AA43" s="219"/>
      <c r="AB43" s="94"/>
      <c r="AC43" s="223"/>
      <c r="AD43" s="220"/>
      <c r="AE43" s="47"/>
      <c r="AF43" s="49"/>
      <c r="AG43" s="47"/>
      <c r="AH43" s="47"/>
    </row>
    <row r="44" spans="23:34" ht="12.75">
      <c r="W44" s="3"/>
      <c r="X44" s="221"/>
      <c r="Y44" s="47"/>
      <c r="Z44" s="222"/>
      <c r="AA44" s="219"/>
      <c r="AB44" s="94"/>
      <c r="AC44" s="223"/>
      <c r="AD44" s="220"/>
      <c r="AE44" s="47"/>
      <c r="AF44" s="49"/>
      <c r="AG44" s="47"/>
      <c r="AH44" s="47"/>
    </row>
    <row r="45" spans="23:34" ht="12.75">
      <c r="W45" s="3"/>
      <c r="X45" s="221"/>
      <c r="Y45" s="47"/>
      <c r="Z45" s="222"/>
      <c r="AA45" s="219"/>
      <c r="AB45" s="94"/>
      <c r="AC45" s="223"/>
      <c r="AD45" s="220"/>
      <c r="AE45" s="47"/>
      <c r="AF45" s="49"/>
      <c r="AG45" s="47"/>
      <c r="AH45" s="47"/>
    </row>
    <row r="46" spans="23:34" ht="12.75">
      <c r="W46" s="3"/>
      <c r="X46" s="221"/>
      <c r="Y46" s="47"/>
      <c r="Z46" s="222"/>
      <c r="AA46" s="219"/>
      <c r="AB46" s="94"/>
      <c r="AC46" s="223"/>
      <c r="AD46" s="220"/>
      <c r="AE46" s="47"/>
      <c r="AF46" s="49"/>
      <c r="AG46" s="47"/>
      <c r="AH46" s="47"/>
    </row>
    <row r="47" spans="23:34" ht="12.75">
      <c r="W47" s="3"/>
      <c r="X47" s="221"/>
      <c r="Y47" s="47"/>
      <c r="Z47" s="222"/>
      <c r="AA47" s="219"/>
      <c r="AB47" s="94"/>
      <c r="AC47" s="94"/>
      <c r="AD47" s="224"/>
      <c r="AE47" s="225"/>
      <c r="AF47" s="49"/>
      <c r="AG47" s="47"/>
      <c r="AH47" s="47"/>
    </row>
    <row r="48" spans="24:34" ht="12.75">
      <c r="X48" s="221"/>
      <c r="Y48" s="47"/>
      <c r="Z48" s="47"/>
      <c r="AA48" s="222"/>
      <c r="AB48" s="94"/>
      <c r="AC48" s="94"/>
      <c r="AD48" s="220"/>
      <c r="AE48" s="47"/>
      <c r="AF48" s="49"/>
      <c r="AG48" s="47"/>
      <c r="AH48" s="47"/>
    </row>
    <row r="49" spans="24:34" ht="20.25" customHeight="1">
      <c r="X49" s="115"/>
      <c r="Y49" s="47"/>
      <c r="Z49" s="47"/>
      <c r="AA49" s="47"/>
      <c r="AB49" s="94"/>
      <c r="AC49" s="94"/>
      <c r="AD49" s="220"/>
      <c r="AE49" s="47"/>
      <c r="AF49" s="49"/>
      <c r="AG49" s="47"/>
      <c r="AH49" s="47"/>
    </row>
    <row r="50" spans="24:34" ht="12.75">
      <c r="X50" s="115"/>
      <c r="Y50" s="47"/>
      <c r="Z50" s="47"/>
      <c r="AA50" s="222"/>
      <c r="AB50" s="94"/>
      <c r="AC50" s="94"/>
      <c r="AD50" s="220"/>
      <c r="AE50" s="47"/>
      <c r="AF50" s="49"/>
      <c r="AG50" s="47"/>
      <c r="AH50" s="47"/>
    </row>
    <row r="51" spans="24:34" ht="12.75">
      <c r="X51" s="115"/>
      <c r="Y51" s="47"/>
      <c r="Z51" s="47"/>
      <c r="AA51" s="47"/>
      <c r="AB51" s="226"/>
      <c r="AC51" s="226"/>
      <c r="AD51" s="220"/>
      <c r="AE51" s="47"/>
      <c r="AF51" s="49"/>
      <c r="AG51" s="47"/>
      <c r="AH51" s="47"/>
    </row>
    <row r="52" spans="24:34" ht="12.75">
      <c r="X52" s="115"/>
      <c r="Y52" s="47"/>
      <c r="Z52" s="47"/>
      <c r="AA52" s="222"/>
      <c r="AB52" s="94"/>
      <c r="AC52" s="94"/>
      <c r="AD52" s="220"/>
      <c r="AE52" s="47"/>
      <c r="AF52" s="49"/>
      <c r="AG52" s="47"/>
      <c r="AH52" s="47"/>
    </row>
    <row r="53" spans="24:34" ht="12.75">
      <c r="X53" s="115"/>
      <c r="Y53" s="47"/>
      <c r="Z53" s="47"/>
      <c r="AA53" s="47"/>
      <c r="AB53" s="94"/>
      <c r="AC53" s="94"/>
      <c r="AD53" s="220"/>
      <c r="AE53" s="47"/>
      <c r="AF53" s="49"/>
      <c r="AG53" s="47"/>
      <c r="AH53" s="47"/>
    </row>
    <row r="54" spans="24:34" ht="12.75">
      <c r="X54" s="115"/>
      <c r="Y54" s="47"/>
      <c r="Z54" s="47"/>
      <c r="AA54" s="222"/>
      <c r="AB54" s="94"/>
      <c r="AC54" s="94"/>
      <c r="AD54" s="220"/>
      <c r="AE54" s="47"/>
      <c r="AF54" s="49"/>
      <c r="AG54" s="47"/>
      <c r="AH54" s="47"/>
    </row>
    <row r="55" spans="24:34" ht="12.75">
      <c r="X55" s="115"/>
      <c r="Y55" s="47"/>
      <c r="Z55" s="47"/>
      <c r="AA55" s="222"/>
      <c r="AB55" s="94"/>
      <c r="AC55" s="94"/>
      <c r="AD55" s="220"/>
      <c r="AE55" s="47"/>
      <c r="AF55" s="49"/>
      <c r="AG55" s="47"/>
      <c r="AH55" s="47"/>
    </row>
    <row r="56" spans="24:34" ht="12.75">
      <c r="X56" s="115"/>
      <c r="Y56" s="47"/>
      <c r="Z56" s="47"/>
      <c r="AA56" s="222"/>
      <c r="AB56" s="94"/>
      <c r="AC56" s="94"/>
      <c r="AD56" s="220"/>
      <c r="AE56" s="47"/>
      <c r="AF56" s="49"/>
      <c r="AG56" s="47"/>
      <c r="AH56" s="47"/>
    </row>
    <row r="57" spans="24:34" ht="12.75">
      <c r="X57" s="115"/>
      <c r="Y57" s="47"/>
      <c r="Z57" s="47"/>
      <c r="AA57" s="222"/>
      <c r="AB57" s="94"/>
      <c r="AC57" s="47"/>
      <c r="AD57" s="220"/>
      <c r="AE57" s="47"/>
      <c r="AF57" s="49"/>
      <c r="AG57" s="47"/>
      <c r="AH57" s="47"/>
    </row>
    <row r="58" spans="24:34" ht="12.75">
      <c r="X58" s="115"/>
      <c r="Y58" s="47"/>
      <c r="Z58" s="227"/>
      <c r="AA58" s="228"/>
      <c r="AB58" s="223"/>
      <c r="AC58" s="47"/>
      <c r="AD58" s="220"/>
      <c r="AE58" s="47"/>
      <c r="AF58" s="49"/>
      <c r="AG58" s="47"/>
      <c r="AH58" s="47"/>
    </row>
    <row r="59" spans="24:34" ht="12.75">
      <c r="X59" s="115"/>
      <c r="Y59" s="47"/>
      <c r="Z59" s="47"/>
      <c r="AA59" s="47"/>
      <c r="AB59" s="47"/>
      <c r="AC59" s="47"/>
      <c r="AD59" s="220"/>
      <c r="AE59" s="47"/>
      <c r="AF59" s="49"/>
      <c r="AG59" s="47"/>
      <c r="AH59" s="47"/>
    </row>
    <row r="61" spans="28:29" ht="12.75">
      <c r="AB61" s="173"/>
      <c r="AC61" s="173"/>
    </row>
    <row r="62" spans="28:29" ht="12.75">
      <c r="AB62" s="173"/>
      <c r="AC62" s="173"/>
    </row>
    <row r="63" ht="12.75">
      <c r="AC63" s="173"/>
    </row>
  </sheetData>
  <printOptions gridLines="1"/>
  <pageMargins left="0.41" right="0.31" top="0.5" bottom="0.5" header="0.25" footer="0.25"/>
  <pageSetup fitToHeight="1" fitToWidth="1" horizontalDpi="300" verticalDpi="300" orientation="landscape" scale="67" r:id="rId4"/>
  <headerFooter alignWithMargins="0">
    <oddFooter>&amp;L&amp;F&amp;C&amp;A&amp;R &amp;D  &amp;T</oddFooter>
  </headerFooter>
  <colBreaks count="3" manualBreakCount="3">
    <brk id="37" max="65535" man="1"/>
    <brk id="49" max="65535" man="1"/>
    <brk id="64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63"/>
  <sheetViews>
    <sheetView zoomScale="90" zoomScaleNormal="90" workbookViewId="0" topLeftCell="O1">
      <pane xSplit="8" ySplit="4" topLeftCell="W5" activePane="bottomRight" state="frozen"/>
      <selection pane="topLeft" activeCell="O1" sqref="O1"/>
      <selection pane="topRight" activeCell="W1" sqref="W1"/>
      <selection pane="bottomLeft" activeCell="O4" sqref="O4"/>
      <selection pane="bottomRight" activeCell="P24" sqref="P24"/>
    </sheetView>
  </sheetViews>
  <sheetFormatPr defaultColWidth="9.00390625" defaultRowHeight="12.75"/>
  <cols>
    <col min="1" max="1" width="21.00390625" style="1" hidden="1" customWidth="1"/>
    <col min="2" max="2" width="7.25390625" style="1" hidden="1" customWidth="1"/>
    <col min="3" max="4" width="8.75390625" style="1" hidden="1" customWidth="1"/>
    <col min="5" max="5" width="9.00390625" style="1" hidden="1" customWidth="1"/>
    <col min="6" max="6" width="9.00390625" style="2" hidden="1" customWidth="1"/>
    <col min="7" max="7" width="7.875" style="2" hidden="1" customWidth="1"/>
    <col min="8" max="8" width="13.25390625" style="0" hidden="1" customWidth="1"/>
    <col min="9" max="9" width="10.25390625" style="0" hidden="1" customWidth="1"/>
    <col min="10" max="13" width="10.75390625" style="0" hidden="1" customWidth="1"/>
    <col min="14" max="14" width="6.25390625" style="1" hidden="1" customWidth="1"/>
    <col min="15" max="15" width="25.75390625" style="4" bestFit="1" customWidth="1"/>
    <col min="16" max="16" width="13.75390625" style="4" customWidth="1"/>
    <col min="17" max="18" width="13.75390625" style="2" hidden="1" customWidth="1"/>
    <col min="19" max="21" width="13.75390625" style="4" hidden="1" customWidth="1"/>
    <col min="22" max="22" width="13.75390625" style="5" hidden="1" customWidth="1"/>
    <col min="23" max="23" width="11.375" style="0" bestFit="1" customWidth="1"/>
    <col min="24" max="24" width="11.375" style="52" bestFit="1" customWidth="1"/>
    <col min="25" max="25" width="11.375" style="0" bestFit="1" customWidth="1"/>
    <col min="26" max="26" width="13.375" style="0" bestFit="1" customWidth="1"/>
    <col min="27" max="27" width="14.00390625" style="0" customWidth="1"/>
    <col min="28" max="28" width="15.625" style="0" bestFit="1" customWidth="1"/>
    <col min="29" max="29" width="13.875" style="0" customWidth="1"/>
    <col min="30" max="30" width="11.625" style="149" customWidth="1"/>
    <col min="31" max="31" width="11.375" style="0" customWidth="1"/>
    <col min="32" max="32" width="11.375" style="1" bestFit="1" customWidth="1"/>
    <col min="33" max="33" width="2.375" style="0" customWidth="1"/>
    <col min="34" max="34" width="19.00390625" style="0" customWidth="1"/>
    <col min="35" max="35" width="11.625" style="1" bestFit="1" customWidth="1"/>
    <col min="36" max="36" width="11.625" style="0" bestFit="1" customWidth="1"/>
    <col min="37" max="37" width="9.25390625" style="0" bestFit="1" customWidth="1"/>
    <col min="38" max="38" width="1.75390625" style="1" customWidth="1"/>
    <col min="39" max="41" width="9.75390625" style="1" customWidth="1"/>
    <col min="44" max="44" width="1.75390625" style="1" customWidth="1"/>
    <col min="45" max="47" width="9.75390625" style="1" customWidth="1"/>
    <col min="50" max="50" width="1.75390625" style="1" customWidth="1"/>
    <col min="51" max="53" width="9.75390625" style="1" customWidth="1"/>
    <col min="62" max="16384" width="9.125" style="1" customWidth="1"/>
  </cols>
  <sheetData>
    <row r="1" ht="18.75">
      <c r="O1" s="181" t="s">
        <v>217</v>
      </c>
    </row>
    <row r="2" ht="13.5" thickBot="1"/>
    <row r="3" spans="1:35" ht="12">
      <c r="A3" s="6" t="s">
        <v>69</v>
      </c>
      <c r="C3" s="7">
        <v>1999</v>
      </c>
      <c r="D3" s="7">
        <v>2000</v>
      </c>
      <c r="E3" s="7">
        <v>2001</v>
      </c>
      <c r="F3" s="7">
        <v>2002</v>
      </c>
      <c r="G3" s="7">
        <v>2003</v>
      </c>
      <c r="H3" s="7">
        <v>2004</v>
      </c>
      <c r="I3" s="8">
        <v>2005</v>
      </c>
      <c r="J3" s="9">
        <v>2006</v>
      </c>
      <c r="K3" s="10">
        <v>2007</v>
      </c>
      <c r="L3" s="11">
        <v>2008</v>
      </c>
      <c r="M3" s="11">
        <v>2009</v>
      </c>
      <c r="Q3" s="7">
        <v>1999</v>
      </c>
      <c r="R3" s="7">
        <v>2000</v>
      </c>
      <c r="S3" s="7">
        <v>2001</v>
      </c>
      <c r="T3" s="7">
        <v>2002</v>
      </c>
      <c r="U3" s="7">
        <v>2003</v>
      </c>
      <c r="V3" s="7">
        <v>2004</v>
      </c>
      <c r="W3" s="70">
        <v>2005</v>
      </c>
      <c r="X3" s="70">
        <v>2006</v>
      </c>
      <c r="Y3" s="70">
        <v>2007</v>
      </c>
      <c r="Z3" s="117" t="s">
        <v>34</v>
      </c>
      <c r="AA3" s="70">
        <v>2008</v>
      </c>
      <c r="AB3" s="70">
        <v>2009</v>
      </c>
      <c r="AC3" s="117">
        <v>2010</v>
      </c>
      <c r="AD3" s="70">
        <v>2011</v>
      </c>
      <c r="AE3" s="70">
        <v>2012</v>
      </c>
      <c r="AF3" s="70">
        <v>2013</v>
      </c>
      <c r="AH3" s="157" t="s">
        <v>188</v>
      </c>
      <c r="AI3" s="70" t="s">
        <v>183</v>
      </c>
    </row>
    <row r="4" spans="1:35" ht="12.75" thickBot="1">
      <c r="A4" s="12" t="s">
        <v>70</v>
      </c>
      <c r="C4" s="7" t="s">
        <v>69</v>
      </c>
      <c r="D4" s="7" t="s">
        <v>69</v>
      </c>
      <c r="E4" s="7" t="s">
        <v>69</v>
      </c>
      <c r="F4" s="7" t="s">
        <v>69</v>
      </c>
      <c r="G4" s="7" t="s">
        <v>69</v>
      </c>
      <c r="H4" s="7" t="s">
        <v>69</v>
      </c>
      <c r="I4" s="8" t="s">
        <v>69</v>
      </c>
      <c r="J4" s="9" t="s">
        <v>69</v>
      </c>
      <c r="K4" s="10" t="s">
        <v>69</v>
      </c>
      <c r="L4" s="11" t="s">
        <v>71</v>
      </c>
      <c r="M4" s="11" t="s">
        <v>71</v>
      </c>
      <c r="O4" s="13" t="s">
        <v>94</v>
      </c>
      <c r="Q4" s="7" t="s">
        <v>69</v>
      </c>
      <c r="R4" s="7" t="s">
        <v>69</v>
      </c>
      <c r="S4" s="7" t="s">
        <v>69</v>
      </c>
      <c r="T4" s="7" t="s">
        <v>69</v>
      </c>
      <c r="U4" s="7" t="s">
        <v>69</v>
      </c>
      <c r="V4" s="7" t="s">
        <v>69</v>
      </c>
      <c r="W4" s="70" t="s">
        <v>69</v>
      </c>
      <c r="X4" s="70" t="s">
        <v>69</v>
      </c>
      <c r="Y4" s="70" t="s">
        <v>69</v>
      </c>
      <c r="Z4" s="118">
        <v>39721</v>
      </c>
      <c r="AA4" s="70" t="s">
        <v>32</v>
      </c>
      <c r="AB4" s="70" t="s">
        <v>70</v>
      </c>
      <c r="AC4" s="117" t="s">
        <v>70</v>
      </c>
      <c r="AD4" s="70" t="s">
        <v>70</v>
      </c>
      <c r="AE4" s="70" t="s">
        <v>70</v>
      </c>
      <c r="AF4" s="70" t="s">
        <v>70</v>
      </c>
      <c r="AH4" s="157" t="s">
        <v>189</v>
      </c>
      <c r="AI4" s="70">
        <v>2011</v>
      </c>
    </row>
    <row r="5" spans="1:34" ht="13.5" thickBot="1">
      <c r="A5" s="13" t="s">
        <v>72</v>
      </c>
      <c r="B5" s="14" t="s">
        <v>73</v>
      </c>
      <c r="C5" s="15"/>
      <c r="D5" s="15"/>
      <c r="E5" s="15"/>
      <c r="F5" s="15"/>
      <c r="G5" s="15"/>
      <c r="H5" s="15"/>
      <c r="I5" s="16"/>
      <c r="J5" s="9"/>
      <c r="K5" s="17"/>
      <c r="L5" s="11" t="s">
        <v>74</v>
      </c>
      <c r="M5" s="11" t="s">
        <v>74</v>
      </c>
      <c r="O5" s="13" t="s">
        <v>75</v>
      </c>
      <c r="P5" s="13"/>
      <c r="Q5" s="4"/>
      <c r="R5" s="4"/>
      <c r="T5" s="2"/>
      <c r="U5" s="2"/>
      <c r="V5" s="18"/>
      <c r="W5" s="71"/>
      <c r="X5" s="71"/>
      <c r="Y5" s="71"/>
      <c r="Z5" s="71"/>
      <c r="AA5" s="164" t="s">
        <v>184</v>
      </c>
      <c r="AB5" s="71"/>
      <c r="AC5" s="71"/>
      <c r="AD5" s="152" t="s">
        <v>182</v>
      </c>
      <c r="AE5" s="131"/>
      <c r="AH5" s="131"/>
    </row>
    <row r="6" spans="1:34" ht="12.75">
      <c r="A6" s="5" t="s">
        <v>76</v>
      </c>
      <c r="B6" s="5">
        <v>410</v>
      </c>
      <c r="C6" s="19">
        <v>1622349</v>
      </c>
      <c r="D6" s="19">
        <v>1473505</v>
      </c>
      <c r="E6" s="19">
        <v>1617352</v>
      </c>
      <c r="F6" s="19">
        <v>1397105</v>
      </c>
      <c r="G6" s="19">
        <v>1593137</v>
      </c>
      <c r="H6" s="20">
        <v>1604774</v>
      </c>
      <c r="I6" s="21">
        <v>1770709</v>
      </c>
      <c r="J6" s="22">
        <v>1578798</v>
      </c>
      <c r="K6" s="23">
        <v>1672761</v>
      </c>
      <c r="L6" s="24">
        <v>1725792</v>
      </c>
      <c r="M6" s="24">
        <v>1536558</v>
      </c>
      <c r="O6" s="153" t="s">
        <v>77</v>
      </c>
      <c r="P6" s="25"/>
      <c r="Q6" s="26"/>
      <c r="R6" s="26"/>
      <c r="S6" s="26"/>
      <c r="T6" s="27"/>
      <c r="U6" s="27"/>
      <c r="V6" s="28"/>
      <c r="W6" s="71"/>
      <c r="X6" s="71"/>
      <c r="Y6" s="71"/>
      <c r="Z6" s="71"/>
      <c r="AA6" s="71"/>
      <c r="AB6" s="71"/>
      <c r="AC6" s="71"/>
      <c r="AD6" s="211"/>
      <c r="AE6" s="211"/>
      <c r="AH6" s="131"/>
    </row>
    <row r="7" spans="1:35" ht="13.5" thickBot="1">
      <c r="A7" s="5" t="s">
        <v>78</v>
      </c>
      <c r="B7" s="5">
        <v>210</v>
      </c>
      <c r="C7" s="19">
        <v>1224180</v>
      </c>
      <c r="D7" s="19">
        <v>493087</v>
      </c>
      <c r="E7" s="19">
        <v>0</v>
      </c>
      <c r="F7" s="19">
        <v>0</v>
      </c>
      <c r="G7" s="19">
        <v>0</v>
      </c>
      <c r="H7" s="20">
        <v>0</v>
      </c>
      <c r="I7" s="21">
        <v>0</v>
      </c>
      <c r="J7" s="22">
        <v>0</v>
      </c>
      <c r="K7" s="29">
        <v>0</v>
      </c>
      <c r="L7" s="30">
        <v>0</v>
      </c>
      <c r="M7" s="30">
        <v>0</v>
      </c>
      <c r="O7" s="160" t="s">
        <v>56</v>
      </c>
      <c r="P7" s="31" t="s">
        <v>79</v>
      </c>
      <c r="Q7" s="32">
        <v>5521972</v>
      </c>
      <c r="R7" s="32">
        <v>6897615</v>
      </c>
      <c r="S7" s="32">
        <v>6482647</v>
      </c>
      <c r="T7" s="32">
        <f>15943019.21-9068996.63</f>
        <v>6874022.58</v>
      </c>
      <c r="U7" s="32">
        <v>6956020</v>
      </c>
      <c r="V7" s="32">
        <f>4938978.31+3077274.26</f>
        <v>8016252.569999999</v>
      </c>
      <c r="W7" s="72">
        <v>6479168.09</v>
      </c>
      <c r="X7" s="72">
        <v>9112511.25</v>
      </c>
      <c r="Y7" s="72">
        <v>9971511.37</v>
      </c>
      <c r="Z7" s="121">
        <f>Steam!G32</f>
        <v>8799161.29</v>
      </c>
      <c r="AA7" s="72">
        <v>10260651.82</v>
      </c>
      <c r="AB7" s="72">
        <f>12282443-235117</f>
        <v>12047326</v>
      </c>
      <c r="AC7" s="121">
        <f>15116568-2906047</f>
        <v>12210521</v>
      </c>
      <c r="AD7" s="72">
        <f>12220339-2993228</f>
        <v>9227111</v>
      </c>
      <c r="AE7" s="72">
        <f>12533365+2899573-3083025</f>
        <v>12349913</v>
      </c>
      <c r="AF7" s="72">
        <f>12935945+2886164-3175516</f>
        <v>12646593</v>
      </c>
      <c r="AH7" s="158">
        <f>AC7-Z7</f>
        <v>3411359.710000001</v>
      </c>
      <c r="AI7" s="154">
        <f>AD7-AB7</f>
        <v>-2820215</v>
      </c>
    </row>
    <row r="8" spans="1:35" ht="12.75">
      <c r="A8" s="33" t="s">
        <v>80</v>
      </c>
      <c r="B8" s="33">
        <v>610</v>
      </c>
      <c r="C8" s="19">
        <v>0</v>
      </c>
      <c r="D8" s="19">
        <v>0</v>
      </c>
      <c r="E8" s="19">
        <v>0</v>
      </c>
      <c r="F8" s="19">
        <v>0</v>
      </c>
      <c r="G8" s="19">
        <v>396591</v>
      </c>
      <c r="H8" s="20">
        <v>407113</v>
      </c>
      <c r="I8" s="21">
        <v>1527857</v>
      </c>
      <c r="J8" s="22">
        <v>1458982</v>
      </c>
      <c r="K8" s="23">
        <v>1622778</v>
      </c>
      <c r="L8" s="24">
        <v>2273625</v>
      </c>
      <c r="M8" s="24">
        <v>2368969</v>
      </c>
      <c r="O8" s="153" t="s">
        <v>81</v>
      </c>
      <c r="P8" s="25"/>
      <c r="Q8" s="34"/>
      <c r="R8" s="34"/>
      <c r="S8" s="34"/>
      <c r="T8" s="35"/>
      <c r="U8" s="35"/>
      <c r="V8" s="36"/>
      <c r="W8" s="73"/>
      <c r="X8" s="73"/>
      <c r="Y8" s="73"/>
      <c r="Z8" s="73"/>
      <c r="AA8" s="73"/>
      <c r="AB8" s="73"/>
      <c r="AC8" s="73"/>
      <c r="AD8" s="72"/>
      <c r="AE8" s="72"/>
      <c r="AF8" s="72"/>
      <c r="AG8" s="155"/>
      <c r="AH8" s="159"/>
      <c r="AI8" s="4"/>
    </row>
    <row r="9" spans="1:35" ht="13.5" thickBot="1">
      <c r="A9" s="5" t="s">
        <v>82</v>
      </c>
      <c r="B9" s="33"/>
      <c r="C9" s="19">
        <v>4286361</v>
      </c>
      <c r="D9" s="19">
        <v>3818685</v>
      </c>
      <c r="E9" s="19">
        <v>2563753</v>
      </c>
      <c r="F9" s="19">
        <v>4009637</v>
      </c>
      <c r="G9" s="19">
        <v>3539611</v>
      </c>
      <c r="H9" s="20">
        <v>3789045</v>
      </c>
      <c r="I9" s="21">
        <v>3610823</v>
      </c>
      <c r="J9" s="22">
        <f>2969747+1157925</f>
        <v>4127672</v>
      </c>
      <c r="K9" s="23">
        <v>3688791</v>
      </c>
      <c r="L9" s="24">
        <v>3987430</v>
      </c>
      <c r="M9" s="24">
        <v>3987430</v>
      </c>
      <c r="O9" s="160" t="s">
        <v>53</v>
      </c>
      <c r="P9" s="31" t="s">
        <v>79</v>
      </c>
      <c r="Q9" s="32">
        <v>3397224</v>
      </c>
      <c r="R9" s="32">
        <v>3662646</v>
      </c>
      <c r="S9" s="32">
        <v>3346578</v>
      </c>
      <c r="T9" s="32">
        <f>9465044.34-5501227.28</f>
        <v>3963817.0599999996</v>
      </c>
      <c r="U9" s="32">
        <v>4220240</v>
      </c>
      <c r="V9" s="32">
        <f>1878018.31+2796169.53+10482.36+143.54+15911.88</f>
        <v>4700725.62</v>
      </c>
      <c r="W9" s="72">
        <f>1334313.6+48003.8</f>
        <v>1382317.4000000001</v>
      </c>
      <c r="X9" s="72">
        <f>1475032.31+88204.97</f>
        <v>1563237.28</v>
      </c>
      <c r="Y9" s="72">
        <f>1465830.31+64884.57</f>
        <v>1530714.8800000001</v>
      </c>
      <c r="Z9" s="121">
        <f>Steam!G20+Steam!G9</f>
        <v>1414780.8199999998</v>
      </c>
      <c r="AA9" s="72">
        <v>1282108.34</v>
      </c>
      <c r="AB9" s="72">
        <v>2349407</v>
      </c>
      <c r="AC9" s="121">
        <v>2443383</v>
      </c>
      <c r="AD9" s="72">
        <v>2541119</v>
      </c>
      <c r="AE9" s="72">
        <v>2642763</v>
      </c>
      <c r="AF9" s="72">
        <v>2748474</v>
      </c>
      <c r="AH9" s="158">
        <f>AC9-Z9</f>
        <v>1028602.1800000002</v>
      </c>
      <c r="AI9" s="154">
        <f>AD9-AB9</f>
        <v>191712</v>
      </c>
    </row>
    <row r="10" spans="1:34" ht="12.75">
      <c r="A10" s="5" t="s">
        <v>83</v>
      </c>
      <c r="B10" s="5"/>
      <c r="C10" s="19">
        <v>369472</v>
      </c>
      <c r="D10" s="19">
        <v>380358</v>
      </c>
      <c r="E10" s="19">
        <v>384510</v>
      </c>
      <c r="F10" s="19">
        <v>398759</v>
      </c>
      <c r="G10" s="19">
        <v>395814</v>
      </c>
      <c r="H10" s="20">
        <v>383829</v>
      </c>
      <c r="I10" s="21">
        <v>403700</v>
      </c>
      <c r="J10" s="22">
        <v>362075</v>
      </c>
      <c r="K10" s="23">
        <v>339510</v>
      </c>
      <c r="L10" s="24">
        <v>369759</v>
      </c>
      <c r="M10" s="24">
        <v>369759</v>
      </c>
      <c r="O10" s="153" t="s">
        <v>180</v>
      </c>
      <c r="P10" s="25"/>
      <c r="Q10" s="37"/>
      <c r="R10" s="37"/>
      <c r="S10" s="37"/>
      <c r="T10" s="35"/>
      <c r="U10" s="35"/>
      <c r="V10" s="36"/>
      <c r="W10" s="73"/>
      <c r="X10" s="73"/>
      <c r="Y10" s="73"/>
      <c r="Z10" s="73"/>
      <c r="AA10" s="73"/>
      <c r="AB10" s="73"/>
      <c r="AC10" s="73"/>
      <c r="AD10" s="72"/>
      <c r="AE10" s="72"/>
      <c r="AF10" s="72"/>
      <c r="AH10" s="159"/>
    </row>
    <row r="11" spans="1:35" ht="13.5" thickBot="1">
      <c r="A11" s="33" t="s">
        <v>84</v>
      </c>
      <c r="B11" s="33"/>
      <c r="C11" s="38">
        <v>597618</v>
      </c>
      <c r="D11" s="38">
        <v>594944</v>
      </c>
      <c r="E11" s="38">
        <v>558979</v>
      </c>
      <c r="F11" s="38">
        <v>95829</v>
      </c>
      <c r="G11" s="38">
        <v>366084</v>
      </c>
      <c r="H11" s="39">
        <v>661682</v>
      </c>
      <c r="I11" s="40">
        <v>684413</v>
      </c>
      <c r="J11" s="41">
        <v>693024</v>
      </c>
      <c r="K11" s="42">
        <v>569470</v>
      </c>
      <c r="L11" s="24">
        <v>655361</v>
      </c>
      <c r="M11" s="24">
        <v>713876</v>
      </c>
      <c r="O11" s="160" t="s">
        <v>54</v>
      </c>
      <c r="P11" s="31" t="s">
        <v>79</v>
      </c>
      <c r="Q11" s="32">
        <v>6730688</v>
      </c>
      <c r="R11" s="32">
        <v>5566198</v>
      </c>
      <c r="S11" s="32">
        <v>6041579</v>
      </c>
      <c r="T11" s="32">
        <f>8191213.01-2750653.13</f>
        <v>5440559.88</v>
      </c>
      <c r="U11" s="32">
        <v>5189427</v>
      </c>
      <c r="V11" s="32">
        <f>357917.23+284069.97+4694210.04+7112</f>
        <v>5343309.24</v>
      </c>
      <c r="W11" s="72">
        <f>3677145.22-3476757.47</f>
        <v>200387.75</v>
      </c>
      <c r="X11" s="72">
        <v>217810.38</v>
      </c>
      <c r="Y11" s="72">
        <v>325744.22</v>
      </c>
      <c r="Z11" s="121">
        <f>Other!G36+'Other 098'!G69</f>
        <v>299622.00999999995</v>
      </c>
      <c r="AA11" s="72">
        <v>267603.84630648984</v>
      </c>
      <c r="AB11" s="72">
        <v>260484</v>
      </c>
      <c r="AC11" s="121">
        <v>1464503</v>
      </c>
      <c r="AD11" s="72">
        <v>518683</v>
      </c>
      <c r="AE11" s="72">
        <v>273031</v>
      </c>
      <c r="AF11" s="72">
        <v>277552</v>
      </c>
      <c r="AH11" s="158">
        <f>AC11-Z11</f>
        <v>1164880.99</v>
      </c>
      <c r="AI11" s="154">
        <f>AD11-AB11</f>
        <v>258199</v>
      </c>
    </row>
    <row r="12" spans="9:34" ht="12.75">
      <c r="I12" s="43"/>
      <c r="O12" s="153" t="s">
        <v>85</v>
      </c>
      <c r="P12" s="25"/>
      <c r="Q12" s="34"/>
      <c r="R12" s="34"/>
      <c r="S12" s="34"/>
      <c r="T12" s="35"/>
      <c r="U12" s="35"/>
      <c r="V12" s="36"/>
      <c r="W12" s="73"/>
      <c r="X12" s="73"/>
      <c r="Y12" s="73"/>
      <c r="Z12" s="73"/>
      <c r="AA12" s="73"/>
      <c r="AB12" s="73"/>
      <c r="AC12" s="73"/>
      <c r="AD12" s="150"/>
      <c r="AE12" s="2"/>
      <c r="AF12" s="4"/>
      <c r="AH12" s="159"/>
    </row>
    <row r="13" spans="1:61" s="62" customFormat="1" ht="13.5" thickBot="1">
      <c r="A13" s="56" t="s">
        <v>86</v>
      </c>
      <c r="B13" s="57"/>
      <c r="C13" s="58"/>
      <c r="D13" s="58"/>
      <c r="E13" s="58"/>
      <c r="F13" s="59"/>
      <c r="G13" s="59"/>
      <c r="H13" s="60"/>
      <c r="I13" s="44" t="s">
        <v>87</v>
      </c>
      <c r="J13" s="61" t="e">
        <f>#REF!/#REF!/1000</f>
        <v>#REF!</v>
      </c>
      <c r="K13" s="61" t="e">
        <f>#REF!/#REF!/1000</f>
        <v>#REF!</v>
      </c>
      <c r="L13" s="61" t="e">
        <f>#REF!/#REF!/1000</f>
        <v>#REF!</v>
      </c>
      <c r="M13" s="61" t="e">
        <f>#REF!/#REF!/1000</f>
        <v>#REF!</v>
      </c>
      <c r="O13" s="160" t="s">
        <v>54</v>
      </c>
      <c r="P13" s="63" t="s">
        <v>79</v>
      </c>
      <c r="Q13" s="64">
        <v>72695</v>
      </c>
      <c r="R13" s="64">
        <v>270881</v>
      </c>
      <c r="S13" s="64">
        <v>1973555</v>
      </c>
      <c r="T13" s="64">
        <f>373924.79-113615.73</f>
        <v>260309.06</v>
      </c>
      <c r="U13" s="64">
        <v>480318</v>
      </c>
      <c r="V13" s="64">
        <f>78859.44+60280.72</f>
        <v>139140.16</v>
      </c>
      <c r="W13" s="74">
        <f>1078690.23-1033332</f>
        <v>45358.22999999998</v>
      </c>
      <c r="X13" s="74">
        <f>-798513.32+1033332</f>
        <v>234818.68000000005</v>
      </c>
      <c r="Y13" s="74">
        <v>50356.75</v>
      </c>
      <c r="Z13" s="132">
        <f>Other!G22+'Other 098'!G70+'Other 098'!G71</f>
        <v>149517.67</v>
      </c>
      <c r="AA13" s="74">
        <v>160877.97850994734</v>
      </c>
      <c r="AB13" s="74">
        <v>63000</v>
      </c>
      <c r="AC13" s="132">
        <v>65520</v>
      </c>
      <c r="AD13" s="74">
        <v>68141</v>
      </c>
      <c r="AE13" s="74">
        <v>70866</v>
      </c>
      <c r="AF13" s="74">
        <v>73701</v>
      </c>
      <c r="AG13" s="65"/>
      <c r="AH13" s="158">
        <f>AC13-Z13</f>
        <v>-83997.67000000001</v>
      </c>
      <c r="AI13" s="154">
        <f>AD13-AB13</f>
        <v>5141</v>
      </c>
      <c r="AJ13" s="65"/>
      <c r="AK13" s="65"/>
      <c r="AP13" s="65"/>
      <c r="AQ13" s="65"/>
      <c r="AV13" s="65"/>
      <c r="AW13" s="65"/>
      <c r="BB13" s="65"/>
      <c r="BC13" s="65"/>
      <c r="BD13" s="65"/>
      <c r="BE13" s="65"/>
      <c r="BF13" s="65"/>
      <c r="BG13" s="65"/>
      <c r="BH13" s="65"/>
      <c r="BI13" s="65"/>
    </row>
    <row r="14" spans="8:34" ht="12.75">
      <c r="H14" s="45"/>
      <c r="O14" s="153" t="s">
        <v>88</v>
      </c>
      <c r="P14" s="25"/>
      <c r="Q14" s="34"/>
      <c r="R14" s="34"/>
      <c r="S14" s="34"/>
      <c r="T14" s="35"/>
      <c r="U14" s="35"/>
      <c r="V14" s="36"/>
      <c r="W14" s="73"/>
      <c r="X14" s="73"/>
      <c r="Y14" s="73"/>
      <c r="Z14" s="73"/>
      <c r="AA14" s="73"/>
      <c r="AB14" s="73"/>
      <c r="AC14" s="73"/>
      <c r="AD14" s="74"/>
      <c r="AE14" s="74"/>
      <c r="AF14" s="74"/>
      <c r="AH14" s="159"/>
    </row>
    <row r="15" spans="8:35" ht="13.5" thickBot="1">
      <c r="H15" s="45"/>
      <c r="O15" s="160" t="s">
        <v>53</v>
      </c>
      <c r="P15" s="31" t="s">
        <v>79</v>
      </c>
      <c r="Q15" s="32">
        <v>0</v>
      </c>
      <c r="R15" s="32">
        <v>0</v>
      </c>
      <c r="S15" s="32">
        <v>0</v>
      </c>
      <c r="T15" s="32">
        <v>1378</v>
      </c>
      <c r="U15" s="32">
        <v>5869</v>
      </c>
      <c r="V15" s="32">
        <f>175.93+10562.65</f>
        <v>10738.58</v>
      </c>
      <c r="W15" s="72">
        <f>1175.48+19745.07</f>
        <v>20920.55</v>
      </c>
      <c r="X15" s="72">
        <f>13950.74+20251.81</f>
        <v>34202.55</v>
      </c>
      <c r="Y15" s="72">
        <f>1398.2+8724.42</f>
        <v>10122.62</v>
      </c>
      <c r="Z15" s="121">
        <f>Other!G15+'Other 098'!G68</f>
        <v>4580.8</v>
      </c>
      <c r="AA15" s="72">
        <v>41441.4025419856</v>
      </c>
      <c r="AB15" s="72">
        <v>109870</v>
      </c>
      <c r="AC15" s="121">
        <v>114265</v>
      </c>
      <c r="AD15" s="74">
        <v>118835</v>
      </c>
      <c r="AE15" s="74">
        <v>123589</v>
      </c>
      <c r="AF15" s="74">
        <v>128532</v>
      </c>
      <c r="AH15" s="158">
        <f>AC15-Z15</f>
        <v>109684.2</v>
      </c>
      <c r="AI15" s="154">
        <f>AD15-AB15</f>
        <v>8965</v>
      </c>
    </row>
    <row r="16" spans="15:34" ht="12.75">
      <c r="O16" s="153" t="s">
        <v>89</v>
      </c>
      <c r="P16" s="25"/>
      <c r="Q16" s="34"/>
      <c r="R16" s="34"/>
      <c r="S16" s="34"/>
      <c r="T16" s="35"/>
      <c r="U16" s="35"/>
      <c r="V16" s="36"/>
      <c r="W16" s="73"/>
      <c r="X16" s="73"/>
      <c r="Y16" s="73"/>
      <c r="Z16" s="73"/>
      <c r="AA16" s="73"/>
      <c r="AB16" s="73"/>
      <c r="AC16" s="73"/>
      <c r="AD16" s="74"/>
      <c r="AE16" s="74"/>
      <c r="AF16" s="74"/>
      <c r="AH16" s="159"/>
    </row>
    <row r="17" spans="15:35" ht="13.5" thickBot="1">
      <c r="O17" s="160" t="s">
        <v>54</v>
      </c>
      <c r="P17" s="31" t="s">
        <v>79</v>
      </c>
      <c r="Q17" s="32">
        <v>0</v>
      </c>
      <c r="R17" s="32">
        <v>0</v>
      </c>
      <c r="S17" s="32">
        <v>0</v>
      </c>
      <c r="T17" s="32">
        <f>847369.55-503509.37</f>
        <v>343860.18000000005</v>
      </c>
      <c r="U17" s="32">
        <v>458075</v>
      </c>
      <c r="V17" s="32">
        <f>307588.04+81461+7112</f>
        <v>396161.04</v>
      </c>
      <c r="W17" s="72">
        <v>81427.72</v>
      </c>
      <c r="X17" s="72">
        <v>100390.4</v>
      </c>
      <c r="Y17" s="72">
        <v>100075.19</v>
      </c>
      <c r="Z17" s="121">
        <f>Other!G29</f>
        <v>180565.22</v>
      </c>
      <c r="AA17" s="72">
        <v>176861.63930824384</v>
      </c>
      <c r="AB17" s="72">
        <v>110300</v>
      </c>
      <c r="AC17" s="121">
        <v>239712</v>
      </c>
      <c r="AD17" s="74">
        <v>169300</v>
      </c>
      <c r="AE17" s="74">
        <v>124072</v>
      </c>
      <c r="AF17" s="74">
        <v>129035</v>
      </c>
      <c r="AH17" s="158">
        <f>AC17-Z17</f>
        <v>59146.78</v>
      </c>
      <c r="AI17" s="154">
        <f>AD17-AB17</f>
        <v>59000</v>
      </c>
    </row>
    <row r="18" spans="1:34" ht="12.75">
      <c r="A18" s="46"/>
      <c r="B18" s="46"/>
      <c r="C18" s="46"/>
      <c r="D18" s="46"/>
      <c r="E18" s="3"/>
      <c r="F18" s="47"/>
      <c r="G18" s="47"/>
      <c r="H18" s="48"/>
      <c r="I18" s="48"/>
      <c r="J18" s="48"/>
      <c r="K18" s="48"/>
      <c r="L18" s="48"/>
      <c r="M18" s="48"/>
      <c r="O18" s="153" t="s">
        <v>90</v>
      </c>
      <c r="P18" s="25"/>
      <c r="Q18" s="34"/>
      <c r="R18" s="34"/>
      <c r="S18" s="34"/>
      <c r="T18" s="35"/>
      <c r="U18" s="35"/>
      <c r="V18" s="36"/>
      <c r="W18" s="73"/>
      <c r="X18" s="73"/>
      <c r="Y18" s="73"/>
      <c r="Z18" s="73"/>
      <c r="AA18" s="73"/>
      <c r="AB18" s="73"/>
      <c r="AC18" s="73"/>
      <c r="AD18" s="150"/>
      <c r="AE18" s="2"/>
      <c r="AF18" s="4"/>
      <c r="AH18" s="159"/>
    </row>
    <row r="19" spans="1:35" ht="13.5" thickBot="1">
      <c r="A19" s="49"/>
      <c r="B19" s="49"/>
      <c r="C19" s="46"/>
      <c r="D19" s="46"/>
      <c r="E19" s="46"/>
      <c r="F19" s="49"/>
      <c r="G19" s="49"/>
      <c r="H19" s="20"/>
      <c r="I19" s="20"/>
      <c r="J19" s="20"/>
      <c r="K19" s="20"/>
      <c r="L19" s="20"/>
      <c r="M19" s="20"/>
      <c r="O19" s="160" t="s">
        <v>55</v>
      </c>
      <c r="P19" s="31" t="s">
        <v>79</v>
      </c>
      <c r="Q19" s="32">
        <v>0</v>
      </c>
      <c r="R19" s="32">
        <v>0</v>
      </c>
      <c r="S19" s="32">
        <v>0</v>
      </c>
      <c r="T19" s="32">
        <v>0</v>
      </c>
      <c r="U19" s="32">
        <v>1619796</v>
      </c>
      <c r="V19" s="32">
        <f>1323805.05+1012008.65</f>
        <v>2335813.7</v>
      </c>
      <c r="W19" s="103">
        <v>3060354.73</v>
      </c>
      <c r="X19" s="103">
        <v>3692153.73</v>
      </c>
      <c r="Y19" s="103">
        <v>4291511.63</v>
      </c>
      <c r="Z19" s="129">
        <f>Other!G44</f>
        <v>7084820.29</v>
      </c>
      <c r="AA19" s="103">
        <v>7096213.51</v>
      </c>
      <c r="AB19" s="103">
        <v>4704144</v>
      </c>
      <c r="AC19" s="129">
        <v>4892310</v>
      </c>
      <c r="AD19" s="103">
        <v>10029926</v>
      </c>
      <c r="AE19" s="103">
        <v>5291522</v>
      </c>
      <c r="AF19" s="103">
        <v>5503183</v>
      </c>
      <c r="AH19" s="158">
        <f>AC19-Z19</f>
        <v>-2192510.29</v>
      </c>
      <c r="AI19" s="154">
        <f>AD19-AB19</f>
        <v>5325782</v>
      </c>
    </row>
    <row r="20" spans="1:34" ht="12.75">
      <c r="A20" s="49"/>
      <c r="B20" s="49"/>
      <c r="C20" s="46"/>
      <c r="D20" s="46"/>
      <c r="E20" s="46"/>
      <c r="F20" s="49"/>
      <c r="G20" s="49"/>
      <c r="H20" s="20"/>
      <c r="I20" s="20"/>
      <c r="J20" s="20"/>
      <c r="K20" s="20"/>
      <c r="L20" s="20"/>
      <c r="M20" s="20"/>
      <c r="O20" s="153" t="s">
        <v>82</v>
      </c>
      <c r="P20" s="25"/>
      <c r="Q20" s="34"/>
      <c r="R20" s="34"/>
      <c r="S20" s="34"/>
      <c r="T20" s="35"/>
      <c r="U20" s="35"/>
      <c r="V20" s="36"/>
      <c r="W20" s="72"/>
      <c r="X20" s="72"/>
      <c r="Y20" s="72"/>
      <c r="Z20" s="72"/>
      <c r="AA20" s="72"/>
      <c r="AB20" s="72"/>
      <c r="AC20" s="72"/>
      <c r="AD20" s="150"/>
      <c r="AE20" s="2"/>
      <c r="AF20" s="4"/>
      <c r="AH20" s="159"/>
    </row>
    <row r="21" spans="1:34" ht="12.75">
      <c r="A21" s="49"/>
      <c r="B21" s="49"/>
      <c r="C21" s="46"/>
      <c r="D21" s="46"/>
      <c r="E21" s="46"/>
      <c r="F21" s="49"/>
      <c r="G21" s="49"/>
      <c r="H21" s="20"/>
      <c r="I21" s="20"/>
      <c r="J21" s="20"/>
      <c r="K21" s="20"/>
      <c r="L21" s="20"/>
      <c r="M21" s="20"/>
      <c r="O21" s="93" t="s">
        <v>67</v>
      </c>
      <c r="P21" s="31"/>
      <c r="Q21" s="55"/>
      <c r="R21" s="55"/>
      <c r="S21" s="55"/>
      <c r="T21" s="94"/>
      <c r="U21" s="94"/>
      <c r="V21" s="95"/>
      <c r="W21" s="72">
        <v>619207</v>
      </c>
      <c r="X21" s="72">
        <v>597788</v>
      </c>
      <c r="Y21" s="72">
        <v>685876</v>
      </c>
      <c r="Z21" s="121">
        <f>Hydro!G46</f>
        <v>651896.99</v>
      </c>
      <c r="AA21" s="72">
        <v>707323.72</v>
      </c>
      <c r="AB21" s="72">
        <v>695557</v>
      </c>
      <c r="AC21" s="121">
        <v>723379</v>
      </c>
      <c r="AD21" s="72">
        <v>752314</v>
      </c>
      <c r="AE21" s="72">
        <v>782407</v>
      </c>
      <c r="AF21" s="72">
        <v>813703</v>
      </c>
      <c r="AH21" s="159"/>
    </row>
    <row r="22" spans="1:34" ht="12.75">
      <c r="A22" s="49"/>
      <c r="B22" s="49"/>
      <c r="C22" s="46"/>
      <c r="D22" s="46"/>
      <c r="E22" s="46"/>
      <c r="F22" s="49"/>
      <c r="G22" s="49"/>
      <c r="H22" s="20"/>
      <c r="I22" s="20"/>
      <c r="J22" s="20"/>
      <c r="K22" s="20"/>
      <c r="L22" s="20"/>
      <c r="M22" s="20"/>
      <c r="O22" s="93" t="s">
        <v>66</v>
      </c>
      <c r="P22" s="31"/>
      <c r="Q22" s="55"/>
      <c r="R22" s="55"/>
      <c r="S22" s="55"/>
      <c r="T22" s="94"/>
      <c r="U22" s="94"/>
      <c r="V22" s="95"/>
      <c r="W22" s="72">
        <v>657453</v>
      </c>
      <c r="X22" s="72">
        <v>685388</v>
      </c>
      <c r="Y22" s="72">
        <v>650853</v>
      </c>
      <c r="Z22" s="121">
        <f>Headwater!H12</f>
        <v>654416</v>
      </c>
      <c r="AA22" s="72">
        <v>653174</v>
      </c>
      <c r="AB22" s="72">
        <v>654792</v>
      </c>
      <c r="AC22" s="121">
        <v>654792</v>
      </c>
      <c r="AD22" s="72">
        <v>654792</v>
      </c>
      <c r="AE22" s="72">
        <v>654792</v>
      </c>
      <c r="AF22" s="72">
        <v>654792</v>
      </c>
      <c r="AH22" s="159"/>
    </row>
    <row r="23" spans="1:61" s="4" customFormat="1" ht="12.75">
      <c r="A23" s="49"/>
      <c r="B23" s="49"/>
      <c r="C23" s="49"/>
      <c r="D23" s="49"/>
      <c r="E23" s="49"/>
      <c r="F23" s="49"/>
      <c r="G23" s="49"/>
      <c r="H23" s="20"/>
      <c r="I23" s="20"/>
      <c r="J23" s="20"/>
      <c r="K23" s="20"/>
      <c r="L23" s="20"/>
      <c r="M23" s="20"/>
      <c r="O23" s="13" t="s">
        <v>57</v>
      </c>
      <c r="P23" s="4" t="s">
        <v>58</v>
      </c>
      <c r="Q23" s="55"/>
      <c r="R23" s="55"/>
      <c r="S23" s="55"/>
      <c r="T23" s="94"/>
      <c r="U23" s="94"/>
      <c r="V23" s="95"/>
      <c r="W23" s="103">
        <v>1982499.65</v>
      </c>
      <c r="X23" s="103">
        <v>2197825.29</v>
      </c>
      <c r="Y23" s="103">
        <v>2757783.16</v>
      </c>
      <c r="Z23" s="129">
        <f>5984640.04-Z28-Z21-Z22</f>
        <v>2536772.6799999997</v>
      </c>
      <c r="AA23" s="103">
        <v>2185071.94</v>
      </c>
      <c r="AB23" s="103">
        <v>2384775</v>
      </c>
      <c r="AC23" s="129">
        <v>2480166</v>
      </c>
      <c r="AD23" s="103">
        <v>2579373</v>
      </c>
      <c r="AE23" s="103">
        <v>2682548</v>
      </c>
      <c r="AF23" s="103">
        <v>2789849</v>
      </c>
      <c r="AG23" s="2"/>
      <c r="AH23" s="215"/>
      <c r="AI23" s="156"/>
      <c r="AJ23" s="2"/>
      <c r="AK23" s="2"/>
      <c r="AP23" s="2"/>
      <c r="AQ23" s="2"/>
      <c r="AV23" s="2"/>
      <c r="AW23" s="2"/>
      <c r="BB23" s="2"/>
      <c r="BC23" s="2"/>
      <c r="BD23" s="2"/>
      <c r="BE23" s="2"/>
      <c r="BF23" s="2"/>
      <c r="BG23" s="2"/>
      <c r="BH23" s="2"/>
      <c r="BI23" s="2"/>
    </row>
    <row r="24" spans="1:61" s="4" customFormat="1" ht="12.75">
      <c r="A24" s="49"/>
      <c r="B24" s="49"/>
      <c r="C24" s="49"/>
      <c r="D24" s="49"/>
      <c r="E24" s="49"/>
      <c r="F24" s="49"/>
      <c r="G24" s="49"/>
      <c r="H24" s="20"/>
      <c r="I24" s="20"/>
      <c r="J24" s="20"/>
      <c r="K24" s="20"/>
      <c r="L24" s="20"/>
      <c r="M24" s="20"/>
      <c r="O24" s="161" t="s">
        <v>61</v>
      </c>
      <c r="P24" s="31"/>
      <c r="Q24" s="55"/>
      <c r="R24" s="55"/>
      <c r="S24" s="55"/>
      <c r="T24" s="94"/>
      <c r="U24" s="94"/>
      <c r="V24" s="95"/>
      <c r="W24" s="103">
        <f aca="true" t="shared" si="0" ref="W24:AC24">SUM(W21:W23)</f>
        <v>3259159.65</v>
      </c>
      <c r="X24" s="103">
        <f t="shared" si="0"/>
        <v>3481001.29</v>
      </c>
      <c r="Y24" s="103">
        <f t="shared" si="0"/>
        <v>4094512.16</v>
      </c>
      <c r="Z24" s="103">
        <f t="shared" si="0"/>
        <v>3843085.67</v>
      </c>
      <c r="AA24" s="103">
        <f t="shared" si="0"/>
        <v>3545569.66</v>
      </c>
      <c r="AB24" s="103">
        <f t="shared" si="0"/>
        <v>3735124</v>
      </c>
      <c r="AC24" s="103">
        <f t="shared" si="0"/>
        <v>3858337</v>
      </c>
      <c r="AD24" s="103">
        <f>SUM(AD21:AD23)</f>
        <v>3986479</v>
      </c>
      <c r="AE24" s="103">
        <f>SUM(AE21:AE23)</f>
        <v>4119747</v>
      </c>
      <c r="AF24" s="103">
        <f>SUM(AF21:AF23)</f>
        <v>4258344</v>
      </c>
      <c r="AG24" s="2"/>
      <c r="AH24" s="216">
        <f>AC24-Z24</f>
        <v>15251.330000000075</v>
      </c>
      <c r="AI24" s="154">
        <f>AD24-AB24</f>
        <v>251355</v>
      </c>
      <c r="AJ24" s="2"/>
      <c r="AK24" s="2"/>
      <c r="AP24" s="2"/>
      <c r="AQ24" s="2"/>
      <c r="AV24" s="2"/>
      <c r="AW24" s="2"/>
      <c r="BB24" s="2"/>
      <c r="BC24" s="2"/>
      <c r="BD24" s="2"/>
      <c r="BE24" s="2"/>
      <c r="BF24" s="2"/>
      <c r="BG24" s="2"/>
      <c r="BH24" s="2"/>
      <c r="BI24" s="2"/>
    </row>
    <row r="25" spans="1:61" s="4" customFormat="1" ht="12.75">
      <c r="A25" s="49"/>
      <c r="B25" s="49"/>
      <c r="C25" s="49"/>
      <c r="D25" s="49"/>
      <c r="E25" s="49"/>
      <c r="F25" s="49"/>
      <c r="G25" s="49"/>
      <c r="H25" s="20"/>
      <c r="I25" s="20"/>
      <c r="J25" s="20"/>
      <c r="K25" s="20"/>
      <c r="L25" s="20"/>
      <c r="M25" s="20"/>
      <c r="O25" s="93"/>
      <c r="P25" s="31"/>
      <c r="Q25" s="55"/>
      <c r="R25" s="55"/>
      <c r="S25" s="55"/>
      <c r="T25" s="94"/>
      <c r="U25" s="94"/>
      <c r="V25" s="95"/>
      <c r="W25" s="72"/>
      <c r="X25" s="72"/>
      <c r="Y25" s="72"/>
      <c r="Z25" s="72"/>
      <c r="AA25" s="72"/>
      <c r="AB25" s="72"/>
      <c r="AC25" s="72"/>
      <c r="AD25" s="150"/>
      <c r="AE25" s="2"/>
      <c r="AG25" s="2"/>
      <c r="AH25" s="159"/>
      <c r="AJ25" s="2"/>
      <c r="AK25" s="2"/>
      <c r="AP25" s="2"/>
      <c r="AQ25" s="2"/>
      <c r="AV25" s="2"/>
      <c r="AW25" s="2"/>
      <c r="BB25" s="2"/>
      <c r="BC25" s="2"/>
      <c r="BD25" s="2"/>
      <c r="BE25" s="2"/>
      <c r="BF25" s="2"/>
      <c r="BG25" s="2"/>
      <c r="BH25" s="2"/>
      <c r="BI25" s="2"/>
    </row>
    <row r="26" spans="1:61" s="4" customFormat="1" ht="13.5" thickBot="1">
      <c r="A26" s="49"/>
      <c r="B26" s="49"/>
      <c r="C26" s="49"/>
      <c r="D26" s="49"/>
      <c r="E26" s="49"/>
      <c r="F26" s="49"/>
      <c r="G26" s="49"/>
      <c r="H26" s="20"/>
      <c r="I26" s="20"/>
      <c r="J26" s="20"/>
      <c r="K26" s="20"/>
      <c r="L26" s="20"/>
      <c r="M26" s="20"/>
      <c r="O26" s="162" t="s">
        <v>65</v>
      </c>
      <c r="P26" s="31"/>
      <c r="Q26" s="55"/>
      <c r="R26" s="55"/>
      <c r="S26" s="55"/>
      <c r="T26" s="94"/>
      <c r="U26" s="94"/>
      <c r="V26" s="95"/>
      <c r="W26" s="214">
        <f aca="true" t="shared" si="1" ref="W26:AC26">SUM(W7:W23)</f>
        <v>14529094.120000001</v>
      </c>
      <c r="X26" s="214">
        <f t="shared" si="1"/>
        <v>18436125.560000002</v>
      </c>
      <c r="Y26" s="214">
        <f t="shared" si="1"/>
        <v>20374548.82</v>
      </c>
      <c r="Z26" s="111">
        <f t="shared" si="1"/>
        <v>21776133.77</v>
      </c>
      <c r="AA26" s="214">
        <f t="shared" si="1"/>
        <v>22831328.19666667</v>
      </c>
      <c r="AB26" s="111">
        <f t="shared" si="1"/>
        <v>23379655</v>
      </c>
      <c r="AC26" s="111">
        <f t="shared" si="1"/>
        <v>25288551</v>
      </c>
      <c r="AD26" s="214">
        <f>SUM(AD7:AD23)</f>
        <v>26659594</v>
      </c>
      <c r="AE26" s="214">
        <f>SUM(AE7:AE23)</f>
        <v>24995503</v>
      </c>
      <c r="AF26" s="214">
        <f>SUM(AF7:AF23)</f>
        <v>25765414</v>
      </c>
      <c r="AG26" s="2"/>
      <c r="AH26" s="163">
        <f>AC26-Z26</f>
        <v>3512417.2300000004</v>
      </c>
      <c r="AI26" s="165">
        <f>AD26-AB26</f>
        <v>3279939</v>
      </c>
      <c r="AJ26" s="2"/>
      <c r="AK26" s="2"/>
      <c r="AP26" s="2"/>
      <c r="AQ26" s="2"/>
      <c r="AV26" s="2"/>
      <c r="AW26" s="2"/>
      <c r="BB26" s="2"/>
      <c r="BC26" s="2"/>
      <c r="BD26" s="2"/>
      <c r="BE26" s="2"/>
      <c r="BF26" s="2"/>
      <c r="BG26" s="2"/>
      <c r="BH26" s="2"/>
      <c r="BI26" s="2"/>
    </row>
    <row r="27" spans="1:29" ht="13.5" thickTop="1">
      <c r="A27" s="49"/>
      <c r="B27" s="49"/>
      <c r="C27" s="46"/>
      <c r="D27" s="46"/>
      <c r="E27" s="46"/>
      <c r="F27" s="49"/>
      <c r="G27" s="49"/>
      <c r="H27" s="20"/>
      <c r="I27" s="20"/>
      <c r="J27" s="20"/>
      <c r="K27" s="20"/>
      <c r="L27" s="20"/>
      <c r="M27" s="20"/>
      <c r="O27" s="93" t="s">
        <v>62</v>
      </c>
      <c r="P27" s="31"/>
      <c r="Q27" s="55"/>
      <c r="R27" s="55"/>
      <c r="S27" s="55"/>
      <c r="T27" s="94"/>
      <c r="U27" s="94"/>
      <c r="V27" s="95"/>
      <c r="W27" s="72"/>
      <c r="X27" s="72"/>
      <c r="Y27" s="72"/>
      <c r="Z27" s="72"/>
      <c r="AA27" s="72"/>
      <c r="AB27" s="72"/>
      <c r="AC27" s="72"/>
    </row>
    <row r="28" spans="1:35" ht="13.5" thickBot="1">
      <c r="A28" s="49"/>
      <c r="B28" s="49"/>
      <c r="C28" s="46"/>
      <c r="D28" s="46"/>
      <c r="E28" s="46"/>
      <c r="F28" s="49"/>
      <c r="G28" s="49"/>
      <c r="H28" s="20"/>
      <c r="I28" s="20"/>
      <c r="J28" s="20"/>
      <c r="K28" s="20"/>
      <c r="L28" s="20"/>
      <c r="M28" s="20"/>
      <c r="O28" s="93" t="s">
        <v>64</v>
      </c>
      <c r="P28" s="31" t="s">
        <v>59</v>
      </c>
      <c r="Q28" s="55"/>
      <c r="R28" s="55"/>
      <c r="S28" s="55"/>
      <c r="T28" s="94"/>
      <c r="U28" s="94"/>
      <c r="V28" s="95"/>
      <c r="W28" s="72">
        <v>1532254.29</v>
      </c>
      <c r="X28" s="72">
        <v>1862257.04</v>
      </c>
      <c r="Y28" s="72">
        <v>1940659.75</v>
      </c>
      <c r="Z28" s="72">
        <f>Hydro!H20</f>
        <v>2141554.37</v>
      </c>
      <c r="AA28" s="72">
        <v>2306752.683636364</v>
      </c>
      <c r="AB28" s="72">
        <v>3307582</v>
      </c>
      <c r="AC28" s="72">
        <v>3307582</v>
      </c>
      <c r="AF28" s="4"/>
      <c r="AG28" s="166"/>
      <c r="AH28" s="186" t="s">
        <v>199</v>
      </c>
      <c r="AI28" s="4"/>
    </row>
    <row r="29" spans="1:35" ht="12.75">
      <c r="A29" s="49"/>
      <c r="B29" s="49"/>
      <c r="C29" s="46"/>
      <c r="D29" s="46"/>
      <c r="E29" s="46"/>
      <c r="F29" s="49"/>
      <c r="G29" s="49"/>
      <c r="H29" s="20"/>
      <c r="I29" s="20"/>
      <c r="J29" s="20"/>
      <c r="K29" s="20"/>
      <c r="L29" s="20"/>
      <c r="M29" s="20"/>
      <c r="O29" s="93" t="s">
        <v>60</v>
      </c>
      <c r="P29" s="31"/>
      <c r="Q29" s="55"/>
      <c r="R29" s="55"/>
      <c r="S29" s="55"/>
      <c r="T29" s="94"/>
      <c r="U29" s="94"/>
      <c r="V29" s="95"/>
      <c r="W29" s="72">
        <v>0</v>
      </c>
      <c r="X29" s="72">
        <v>0</v>
      </c>
      <c r="Y29" s="72">
        <v>0</v>
      </c>
      <c r="Z29" s="72">
        <v>0</v>
      </c>
      <c r="AA29" s="72">
        <v>90198</v>
      </c>
      <c r="AB29" s="72">
        <v>5417912</v>
      </c>
      <c r="AC29" s="72">
        <v>5593136</v>
      </c>
      <c r="AF29" s="167" t="s">
        <v>201</v>
      </c>
      <c r="AG29" s="168"/>
      <c r="AH29" s="199" t="s">
        <v>186</v>
      </c>
      <c r="AI29" s="182" t="s">
        <v>187</v>
      </c>
    </row>
    <row r="30" spans="1:35" ht="12.75">
      <c r="A30" s="49"/>
      <c r="B30" s="49"/>
      <c r="C30" s="46"/>
      <c r="D30" s="46"/>
      <c r="E30" s="46"/>
      <c r="F30" s="49"/>
      <c r="G30" s="49"/>
      <c r="H30" s="20"/>
      <c r="I30" s="20"/>
      <c r="J30" s="20"/>
      <c r="K30" s="20"/>
      <c r="L30" s="20"/>
      <c r="M30" s="20"/>
      <c r="O30" s="104" t="s">
        <v>63</v>
      </c>
      <c r="P30" s="33"/>
      <c r="W30" s="103"/>
      <c r="X30" s="103"/>
      <c r="Y30" s="103"/>
      <c r="Z30" s="103"/>
      <c r="AA30" s="103"/>
      <c r="AB30" s="112"/>
      <c r="AC30" s="112"/>
      <c r="AF30" s="169" t="s">
        <v>185</v>
      </c>
      <c r="AG30" s="170"/>
      <c r="AH30" s="198">
        <v>0.6459</v>
      </c>
      <c r="AI30" s="183">
        <v>0.3541</v>
      </c>
    </row>
    <row r="31" spans="1:36" ht="13.5" thickBot="1">
      <c r="A31" s="49"/>
      <c r="B31" s="49"/>
      <c r="C31" s="46"/>
      <c r="D31" s="46"/>
      <c r="E31" s="46"/>
      <c r="F31" s="49"/>
      <c r="G31" s="49"/>
      <c r="H31" s="20"/>
      <c r="I31" s="20"/>
      <c r="J31" s="20"/>
      <c r="K31" s="20"/>
      <c r="L31" s="20"/>
      <c r="M31" s="20"/>
      <c r="O31" s="114" t="s">
        <v>68</v>
      </c>
      <c r="P31" s="33"/>
      <c r="W31" s="67">
        <f aca="true" t="shared" si="2" ref="W31:AC31">SUM(W28:W30)</f>
        <v>1532254.29</v>
      </c>
      <c r="X31" s="67">
        <f t="shared" si="2"/>
        <v>1862257.04</v>
      </c>
      <c r="Y31" s="67">
        <f t="shared" si="2"/>
        <v>1940659.75</v>
      </c>
      <c r="Z31" s="67">
        <f t="shared" si="2"/>
        <v>2141554.37</v>
      </c>
      <c r="AA31" s="67">
        <f t="shared" si="2"/>
        <v>2396950.683636364</v>
      </c>
      <c r="AB31" s="67">
        <f t="shared" si="2"/>
        <v>8725494</v>
      </c>
      <c r="AC31" s="67">
        <f t="shared" si="2"/>
        <v>8900718</v>
      </c>
      <c r="AF31" s="171"/>
      <c r="AG31" s="172"/>
      <c r="AH31" s="184">
        <f>AH30*AB58</f>
        <v>2548499.3589570005</v>
      </c>
      <c r="AI31" s="184">
        <f>AI30*AB58</f>
        <v>1397156.8710430004</v>
      </c>
      <c r="AJ31" s="213">
        <f>AH31+AI31</f>
        <v>3945656.230000001</v>
      </c>
    </row>
    <row r="32" spans="1:35" ht="13.5" thickBot="1">
      <c r="A32" s="46"/>
      <c r="B32" s="46"/>
      <c r="C32" s="46"/>
      <c r="D32" s="46"/>
      <c r="E32" s="46"/>
      <c r="F32" s="49"/>
      <c r="G32" s="49"/>
      <c r="H32" s="20"/>
      <c r="I32" s="20"/>
      <c r="J32" s="20"/>
      <c r="K32" s="20"/>
      <c r="L32" s="20"/>
      <c r="M32" s="20"/>
      <c r="O32" s="31"/>
      <c r="P32" s="31"/>
      <c r="Q32" s="32"/>
      <c r="R32" s="32"/>
      <c r="S32" s="32"/>
      <c r="T32" s="32"/>
      <c r="U32" s="32"/>
      <c r="V32" s="32"/>
      <c r="W32" s="92"/>
      <c r="X32" s="92"/>
      <c r="Y32" s="92"/>
      <c r="Z32" s="92"/>
      <c r="AA32" s="92"/>
      <c r="AB32" s="55"/>
      <c r="AC32" s="55"/>
      <c r="AE32" s="185"/>
      <c r="AF32" s="4"/>
      <c r="AG32" s="166"/>
      <c r="AI32" s="197" t="s">
        <v>204</v>
      </c>
    </row>
    <row r="33" spans="1:29" ht="12.75">
      <c r="A33" s="46"/>
      <c r="B33" s="46"/>
      <c r="C33" s="46"/>
      <c r="D33" s="46"/>
      <c r="E33" s="46"/>
      <c r="F33" s="49"/>
      <c r="G33" s="49"/>
      <c r="H33" s="20"/>
      <c r="I33" s="20"/>
      <c r="J33" s="20"/>
      <c r="K33" s="20"/>
      <c r="L33" s="20"/>
      <c r="M33" s="20"/>
      <c r="O33" s="113" t="s">
        <v>91</v>
      </c>
      <c r="P33" s="31"/>
      <c r="Q33" s="32"/>
      <c r="R33" s="32"/>
      <c r="S33" s="32"/>
      <c r="T33" s="32"/>
      <c r="U33" s="32"/>
      <c r="V33" s="32"/>
      <c r="W33" s="55">
        <f aca="true" t="shared" si="3" ref="W33:AC33">W7+W9</f>
        <v>7861485.49</v>
      </c>
      <c r="X33" s="55">
        <f t="shared" si="3"/>
        <v>10675748.53</v>
      </c>
      <c r="Y33" s="55">
        <f t="shared" si="3"/>
        <v>11502226.25</v>
      </c>
      <c r="Z33" s="55">
        <f>Z7+Z9</f>
        <v>10213942.11</v>
      </c>
      <c r="AA33" s="55">
        <f t="shared" si="3"/>
        <v>11542760.16</v>
      </c>
      <c r="AB33" s="55">
        <f t="shared" si="3"/>
        <v>14396733</v>
      </c>
      <c r="AC33" s="55">
        <f t="shared" si="3"/>
        <v>14653904</v>
      </c>
    </row>
    <row r="34" spans="1:34" ht="13.5" thickBot="1">
      <c r="A34" s="46"/>
      <c r="B34" s="46"/>
      <c r="C34" s="46"/>
      <c r="D34" s="46"/>
      <c r="E34" s="46"/>
      <c r="F34" s="49"/>
      <c r="G34" s="49"/>
      <c r="H34" s="20"/>
      <c r="I34" s="20"/>
      <c r="J34" s="20"/>
      <c r="K34" s="20"/>
      <c r="L34" s="20"/>
      <c r="M34" s="20"/>
      <c r="O34" s="113" t="s">
        <v>61</v>
      </c>
      <c r="P34" s="31"/>
      <c r="Q34" s="32"/>
      <c r="R34" s="32"/>
      <c r="S34" s="32"/>
      <c r="T34" s="32"/>
      <c r="U34" s="32"/>
      <c r="V34" s="32"/>
      <c r="W34" s="55">
        <f aca="true" t="shared" si="4" ref="W34:AC34">W24</f>
        <v>3259159.65</v>
      </c>
      <c r="X34" s="55">
        <f t="shared" si="4"/>
        <v>3481001.29</v>
      </c>
      <c r="Y34" s="55">
        <f t="shared" si="4"/>
        <v>4094512.16</v>
      </c>
      <c r="Z34" s="55">
        <f>Z24</f>
        <v>3843085.67</v>
      </c>
      <c r="AA34" s="55">
        <f t="shared" si="4"/>
        <v>3545569.66</v>
      </c>
      <c r="AB34" s="55">
        <f t="shared" si="4"/>
        <v>3735124</v>
      </c>
      <c r="AC34" s="55">
        <f t="shared" si="4"/>
        <v>3858337</v>
      </c>
      <c r="AH34" s="186" t="s">
        <v>198</v>
      </c>
    </row>
    <row r="35" spans="1:35" ht="12.75">
      <c r="A35" s="46"/>
      <c r="B35" s="46"/>
      <c r="C35" s="46"/>
      <c r="D35" s="46"/>
      <c r="E35" s="46"/>
      <c r="F35" s="49"/>
      <c r="G35" s="49"/>
      <c r="H35" s="20"/>
      <c r="I35" s="20"/>
      <c r="J35" s="20"/>
      <c r="K35" s="20"/>
      <c r="L35" s="20"/>
      <c r="M35" s="20"/>
      <c r="O35" s="113" t="s">
        <v>92</v>
      </c>
      <c r="P35" s="31"/>
      <c r="Q35" s="32"/>
      <c r="R35" s="32"/>
      <c r="S35" s="32"/>
      <c r="T35" s="32"/>
      <c r="U35" s="32"/>
      <c r="V35" s="32"/>
      <c r="W35" s="69">
        <f>W11+W13+W15+W17+W19</f>
        <v>3408448.98</v>
      </c>
      <c r="X35" s="69">
        <f>X11+X13+X15+X17+X19</f>
        <v>4279375.74</v>
      </c>
      <c r="Y35" s="69">
        <f>Y11+Y13+Y15+Y17+Y19</f>
        <v>4777810.41</v>
      </c>
      <c r="Z35" s="69">
        <f>Z11+Z13+Z15+Z17+Z19</f>
        <v>7719105.99</v>
      </c>
      <c r="AA35" s="69">
        <f>SUM(AA11:AA19)</f>
        <v>7742998.376666667</v>
      </c>
      <c r="AB35" s="69">
        <f>AB11+AB13+AB15+AB17+AB19</f>
        <v>5247798</v>
      </c>
      <c r="AC35" s="69">
        <f>AC11+AC13+AC15+AC17+AC19</f>
        <v>6776310</v>
      </c>
      <c r="AF35" s="202" t="s">
        <v>200</v>
      </c>
      <c r="AG35" s="203"/>
      <c r="AH35" s="200" t="s">
        <v>186</v>
      </c>
      <c r="AI35" s="204" t="s">
        <v>187</v>
      </c>
    </row>
    <row r="36" spans="1:35" ht="12.75">
      <c r="A36" s="54"/>
      <c r="B36" s="54"/>
      <c r="O36" s="66" t="s">
        <v>93</v>
      </c>
      <c r="P36" s="66" t="s">
        <v>50</v>
      </c>
      <c r="Q36" s="67" t="e">
        <f>#REF!+Q19+Q17+Q15+Q13+Q11+Q9+#REF!+Q7</f>
        <v>#REF!</v>
      </c>
      <c r="R36" s="67" t="e">
        <f>#REF!+R19+R17+R15+R13+R11+R9+#REF!+R7</f>
        <v>#REF!</v>
      </c>
      <c r="S36" s="67" t="e">
        <f>#REF!+S19+S17+S15+S13+S11+S9+#REF!+S7</f>
        <v>#REF!</v>
      </c>
      <c r="T36" s="67" t="e">
        <f>#REF!+T19+T17+T15+T13+T11+T9+#REF!+T7</f>
        <v>#REF!</v>
      </c>
      <c r="U36" s="67" t="e">
        <f>#REF!+U19+U17+U15+U13+U11+U9+#REF!+U7</f>
        <v>#REF!</v>
      </c>
      <c r="V36" s="67" t="e">
        <f>#REF!+V19+V17+V15+V13+V11+V9+#REF!+V7</f>
        <v>#REF!</v>
      </c>
      <c r="W36" s="67">
        <f aca="true" t="shared" si="5" ref="W36:AC36">SUM(W33:W35)</f>
        <v>14529094.120000001</v>
      </c>
      <c r="X36" s="67">
        <f t="shared" si="5"/>
        <v>18436125.560000002</v>
      </c>
      <c r="Y36" s="67">
        <f t="shared" si="5"/>
        <v>20374548.82</v>
      </c>
      <c r="Z36" s="110">
        <f t="shared" si="5"/>
        <v>21776133.77</v>
      </c>
      <c r="AA36" s="67">
        <f t="shared" si="5"/>
        <v>22831328.196666665</v>
      </c>
      <c r="AB36" s="110">
        <f t="shared" si="5"/>
        <v>23379655</v>
      </c>
      <c r="AC36" s="110">
        <f t="shared" si="5"/>
        <v>25288551</v>
      </c>
      <c r="AF36" s="205" t="s">
        <v>185</v>
      </c>
      <c r="AG36" s="206"/>
      <c r="AH36" s="201">
        <v>0.6459</v>
      </c>
      <c r="AI36" s="207">
        <v>0.3541</v>
      </c>
    </row>
    <row r="37" spans="1:36" ht="13.5" thickBot="1">
      <c r="A37" s="54"/>
      <c r="B37" s="54"/>
      <c r="O37" s="75"/>
      <c r="P37" s="66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F37" s="208"/>
      <c r="AG37" s="209"/>
      <c r="AH37" s="232">
        <f>AH36*AH26</f>
        <v>2268670.2888570004</v>
      </c>
      <c r="AI37" s="210">
        <f>AI36*AH26</f>
        <v>1243746.9411430003</v>
      </c>
      <c r="AJ37" s="213">
        <f>AH37+AI37</f>
        <v>3512417.2300000004</v>
      </c>
    </row>
    <row r="38" spans="6:35" ht="13.5" thickBot="1">
      <c r="F38" s="4"/>
      <c r="G38" s="4"/>
      <c r="H38" s="1"/>
      <c r="I38" s="1"/>
      <c r="J38" s="1"/>
      <c r="K38" s="1"/>
      <c r="L38" s="1"/>
      <c r="M38" s="1"/>
      <c r="O38" s="147" t="s">
        <v>178</v>
      </c>
      <c r="P38" s="147"/>
      <c r="Q38" s="51"/>
      <c r="R38" s="51"/>
      <c r="S38" s="50"/>
      <c r="T38" s="50"/>
      <c r="U38" s="50"/>
      <c r="V38" s="53"/>
      <c r="W38" s="3"/>
      <c r="X38" s="8"/>
      <c r="Y38" s="3"/>
      <c r="Z38" s="3"/>
      <c r="AA38" s="3"/>
      <c r="AB38" s="178">
        <v>2009</v>
      </c>
      <c r="AC38" s="179">
        <v>2010</v>
      </c>
      <c r="AF38" s="4"/>
      <c r="AG38" s="166"/>
      <c r="AH38" s="231" t="s">
        <v>197</v>
      </c>
      <c r="AI38" s="4"/>
    </row>
    <row r="39" spans="6:29" ht="12.75">
      <c r="F39" s="4"/>
      <c r="G39" s="4"/>
      <c r="H39" s="1"/>
      <c r="I39" s="1"/>
      <c r="J39" s="1"/>
      <c r="K39" s="1"/>
      <c r="L39" s="1"/>
      <c r="M39" s="1"/>
      <c r="O39" s="147" t="s">
        <v>179</v>
      </c>
      <c r="P39" s="147"/>
      <c r="W39" s="3"/>
      <c r="X39" s="151"/>
      <c r="Y39" s="3"/>
      <c r="Z39" s="3"/>
      <c r="AA39" s="3"/>
      <c r="AB39" s="180" t="s">
        <v>193</v>
      </c>
      <c r="AC39" s="180" t="s">
        <v>193</v>
      </c>
    </row>
    <row r="40" spans="23:29" ht="12.75">
      <c r="W40" s="3"/>
      <c r="X40" s="151"/>
      <c r="Y40" s="68"/>
      <c r="Z40" s="68"/>
      <c r="AA40" s="68"/>
      <c r="AB40" s="173">
        <f>AB26</f>
        <v>23379655</v>
      </c>
      <c r="AC40" s="173">
        <f>AC26</f>
        <v>25288551</v>
      </c>
    </row>
    <row r="41" spans="23:30" ht="12.75">
      <c r="W41" s="3"/>
      <c r="X41" s="151"/>
      <c r="Y41" s="3"/>
      <c r="Z41" s="174" t="s">
        <v>208</v>
      </c>
      <c r="AA41" s="179" t="s">
        <v>173</v>
      </c>
      <c r="AB41" s="173">
        <v>520000</v>
      </c>
      <c r="AC41" s="173"/>
      <c r="AD41" s="149" t="s">
        <v>203</v>
      </c>
    </row>
    <row r="42" spans="23:30" ht="12.75">
      <c r="W42" s="47"/>
      <c r="X42" s="151"/>
      <c r="Y42" s="3"/>
      <c r="Z42" s="174" t="s">
        <v>209</v>
      </c>
      <c r="AA42" s="179" t="s">
        <v>205</v>
      </c>
      <c r="AB42" s="233">
        <v>461374</v>
      </c>
      <c r="AC42" s="173"/>
      <c r="AD42" s="149" t="s">
        <v>203</v>
      </c>
    </row>
    <row r="43" spans="23:29" ht="12.75">
      <c r="W43" s="47"/>
      <c r="X43" s="151"/>
      <c r="Y43" s="3"/>
      <c r="Z43" s="174" t="s">
        <v>210</v>
      </c>
      <c r="AA43" s="179" t="s">
        <v>172</v>
      </c>
      <c r="AB43" s="173"/>
      <c r="AC43" s="233">
        <v>1200000</v>
      </c>
    </row>
    <row r="44" spans="23:29" ht="12.75">
      <c r="W44" s="3"/>
      <c r="X44" s="151"/>
      <c r="Y44" s="3"/>
      <c r="Z44" s="174" t="s">
        <v>206</v>
      </c>
      <c r="AA44" s="179" t="s">
        <v>173</v>
      </c>
      <c r="AB44" s="173"/>
      <c r="AC44" s="233">
        <v>345000</v>
      </c>
    </row>
    <row r="45" spans="23:29" ht="12.75">
      <c r="W45" s="3"/>
      <c r="X45" s="151"/>
      <c r="Y45" s="3"/>
      <c r="Z45" s="174" t="s">
        <v>206</v>
      </c>
      <c r="AA45" s="178" t="s">
        <v>207</v>
      </c>
      <c r="AB45" s="173"/>
      <c r="AC45" s="233">
        <v>125000</v>
      </c>
    </row>
    <row r="46" spans="23:29" ht="12.75">
      <c r="W46" s="3"/>
      <c r="X46" s="151"/>
      <c r="Y46" s="3"/>
      <c r="Z46" s="174" t="s">
        <v>211</v>
      </c>
      <c r="AA46" s="178" t="s">
        <v>205</v>
      </c>
      <c r="AB46" s="175"/>
      <c r="AC46" s="216">
        <v>1164000</v>
      </c>
    </row>
    <row r="47" spans="23:31" ht="12.75">
      <c r="W47" s="3"/>
      <c r="X47" s="151"/>
      <c r="Y47" s="3"/>
      <c r="Z47" s="174"/>
      <c r="AA47" s="178"/>
      <c r="AB47" s="212">
        <f>SUM(AB41:AB46)</f>
        <v>981374</v>
      </c>
      <c r="AC47" s="212">
        <f>SUM(AC41:AC46)</f>
        <v>2834000</v>
      </c>
      <c r="AD47" s="218">
        <f>AB42+AC43+AC44+AC45+AC46</f>
        <v>3295374</v>
      </c>
      <c r="AE47" s="217" t="s">
        <v>216</v>
      </c>
    </row>
    <row r="48" spans="24:29" ht="12.75">
      <c r="X48" s="151"/>
      <c r="AA48" s="174"/>
      <c r="AB48" s="175">
        <f>AB40-AB47</f>
        <v>22398281</v>
      </c>
      <c r="AC48" s="175">
        <f>AC40-AC47</f>
        <v>22454551</v>
      </c>
    </row>
    <row r="49" spans="24:29" ht="20.25" customHeight="1">
      <c r="X49" s="115"/>
      <c r="AB49" s="173"/>
      <c r="AC49" s="173"/>
    </row>
    <row r="50" spans="24:29" ht="12.75">
      <c r="X50" s="115"/>
      <c r="AA50" s="176" t="s">
        <v>190</v>
      </c>
      <c r="AB50" s="173">
        <f>AB48</f>
        <v>22398281</v>
      </c>
      <c r="AC50" s="173">
        <f>AC48</f>
        <v>22454551</v>
      </c>
    </row>
    <row r="51" spans="24:29" ht="12.75">
      <c r="X51" s="115"/>
      <c r="AB51" s="177" t="s">
        <v>192</v>
      </c>
      <c r="AC51" s="177" t="s">
        <v>192</v>
      </c>
    </row>
    <row r="52" spans="27:29" ht="12.75">
      <c r="AA52" s="176" t="s">
        <v>191</v>
      </c>
      <c r="AB52" s="187">
        <f>AB50/2</f>
        <v>11199140.5</v>
      </c>
      <c r="AC52" s="187">
        <f>AC50/2</f>
        <v>11227275.5</v>
      </c>
    </row>
    <row r="53" spans="28:29" ht="12.75">
      <c r="AB53" s="173"/>
      <c r="AC53" s="173"/>
    </row>
    <row r="54" spans="27:29" ht="12.75">
      <c r="AA54" s="176" t="s">
        <v>194</v>
      </c>
      <c r="AB54" s="173">
        <f>AB52+AC52</f>
        <v>22426416</v>
      </c>
      <c r="AC54" s="173"/>
    </row>
    <row r="55" spans="27:29" ht="13.5" thickBot="1">
      <c r="AA55" s="176" t="s">
        <v>195</v>
      </c>
      <c r="AB55" s="173">
        <f>AB42+AC43+AC44+AC45+AC46</f>
        <v>3295374</v>
      </c>
      <c r="AC55" s="173"/>
    </row>
    <row r="56" spans="26:29" ht="12.75">
      <c r="Z56" s="188"/>
      <c r="AA56" s="189" t="s">
        <v>212</v>
      </c>
      <c r="AB56" s="190">
        <f>SUM(AB54:AB55)</f>
        <v>25721790</v>
      </c>
      <c r="AC56" s="173" t="s">
        <v>213</v>
      </c>
    </row>
    <row r="57" spans="26:28" ht="12.75">
      <c r="Z57" s="191"/>
      <c r="AA57" s="192" t="s">
        <v>202</v>
      </c>
      <c r="AB57" s="193">
        <f>Z26</f>
        <v>21776133.77</v>
      </c>
    </row>
    <row r="58" spans="26:29" ht="13.5" thickBot="1">
      <c r="Z58" s="194"/>
      <c r="AA58" s="195" t="s">
        <v>215</v>
      </c>
      <c r="AB58" s="196">
        <f>AB56-AB57</f>
        <v>3945656.2300000004</v>
      </c>
      <c r="AC58" t="s">
        <v>214</v>
      </c>
    </row>
    <row r="61" spans="28:29" ht="12.75">
      <c r="AB61" s="173"/>
      <c r="AC61" s="173"/>
    </row>
    <row r="62" spans="28:29" ht="12.75">
      <c r="AB62" s="173"/>
      <c r="AC62" s="173"/>
    </row>
    <row r="63" ht="12.75">
      <c r="AC63" s="173"/>
    </row>
  </sheetData>
  <printOptions gridLines="1"/>
  <pageMargins left="0.41" right="0.31" top="0.5" bottom="0.5" header="0.25" footer="0.25"/>
  <pageSetup fitToHeight="1" fitToWidth="1" horizontalDpi="300" verticalDpi="300" orientation="landscape" scale="64" r:id="rId4"/>
  <headerFooter alignWithMargins="0">
    <oddFooter>&amp;L&amp;F&amp;C&amp;A&amp;R &amp;D  &amp;T</oddFooter>
  </headerFooter>
  <colBreaks count="3" manualBreakCount="3">
    <brk id="37" max="65535" man="1"/>
    <brk id="49" max="65535" man="1"/>
    <brk id="64" max="65535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1"/>
  <sheetViews>
    <sheetView zoomScale="85" zoomScaleNormal="85" workbookViewId="0" topLeftCell="A149">
      <selection activeCell="J9" sqref="J9"/>
    </sheetView>
  </sheetViews>
  <sheetFormatPr defaultColWidth="9.00390625" defaultRowHeight="12.75"/>
  <cols>
    <col min="1" max="1" width="17.00390625" style="2" customWidth="1"/>
    <col min="2" max="2" width="35.00390625" style="2" bestFit="1" customWidth="1"/>
    <col min="3" max="3" width="8.375" style="2" customWidth="1"/>
    <col min="4" max="4" width="16.25390625" style="2" bestFit="1" customWidth="1"/>
    <col min="5" max="5" width="17.00390625" style="2" bestFit="1" customWidth="1"/>
    <col min="6" max="6" width="13.125" style="2" bestFit="1" customWidth="1"/>
    <col min="7" max="7" width="14.25390625" style="2" bestFit="1" customWidth="1"/>
    <col min="8" max="8" width="11.75390625" style="2" bestFit="1" customWidth="1"/>
    <col min="9" max="16384" width="9.125" style="2" customWidth="1"/>
  </cols>
  <sheetData>
    <row r="1" spans="1:6" ht="12.75">
      <c r="A1" s="234" t="s">
        <v>37</v>
      </c>
      <c r="B1" s="234"/>
      <c r="C1" s="234"/>
      <c r="D1" s="234"/>
      <c r="E1" s="234"/>
      <c r="F1" s="234"/>
    </row>
    <row r="3" spans="1:7" ht="12.75">
      <c r="A3" s="96"/>
      <c r="B3" s="97"/>
      <c r="C3" s="98"/>
      <c r="D3" s="77"/>
      <c r="E3" s="78" t="s">
        <v>48</v>
      </c>
      <c r="F3" s="91"/>
      <c r="G3" s="79"/>
    </row>
    <row r="4" spans="1:7" ht="14.25">
      <c r="A4" s="80"/>
      <c r="B4" s="81"/>
      <c r="C4" s="82"/>
      <c r="D4" s="83" t="s">
        <v>36</v>
      </c>
      <c r="E4" s="83" t="s">
        <v>47</v>
      </c>
      <c r="F4" s="83" t="s">
        <v>35</v>
      </c>
      <c r="G4" s="77" t="s">
        <v>95</v>
      </c>
    </row>
    <row r="5" spans="1:7" ht="14.25">
      <c r="A5" s="83" t="s">
        <v>73</v>
      </c>
      <c r="B5" s="83" t="s">
        <v>96</v>
      </c>
      <c r="C5" s="76" t="s">
        <v>97</v>
      </c>
      <c r="D5" s="84"/>
      <c r="E5" s="84"/>
      <c r="F5" s="84"/>
      <c r="G5" s="84"/>
    </row>
    <row r="6" spans="1:7" ht="14.25">
      <c r="A6" s="85" t="s">
        <v>98</v>
      </c>
      <c r="B6" s="100" t="s">
        <v>99</v>
      </c>
      <c r="C6" s="76" t="s">
        <v>100</v>
      </c>
      <c r="D6" s="84"/>
      <c r="E6" s="86" t="s">
        <v>140</v>
      </c>
      <c r="F6" s="86">
        <v>363.31</v>
      </c>
      <c r="G6" s="86">
        <v>363.31</v>
      </c>
    </row>
    <row r="7" spans="1:7" ht="14.25">
      <c r="A7" s="87"/>
      <c r="B7" s="87"/>
      <c r="C7" s="106" t="s">
        <v>101</v>
      </c>
      <c r="D7" s="84"/>
      <c r="E7" s="86">
        <v>388174.33</v>
      </c>
      <c r="F7" s="86">
        <v>1160069.5</v>
      </c>
      <c r="G7" s="99">
        <v>1548243.83</v>
      </c>
    </row>
    <row r="8" spans="1:8" ht="14.25">
      <c r="A8" s="87"/>
      <c r="B8" s="87"/>
      <c r="C8" s="106" t="s">
        <v>102</v>
      </c>
      <c r="D8" s="84"/>
      <c r="E8" s="86">
        <v>20430.22</v>
      </c>
      <c r="F8" s="86">
        <v>61056.32</v>
      </c>
      <c r="G8" s="99">
        <v>81486.54</v>
      </c>
      <c r="H8" s="105">
        <f>G7+G8</f>
        <v>1629730.37</v>
      </c>
    </row>
    <row r="9" spans="1:7" ht="14.25">
      <c r="A9" s="87"/>
      <c r="B9" s="87"/>
      <c r="C9" s="76" t="s">
        <v>103</v>
      </c>
      <c r="D9" s="84"/>
      <c r="E9" s="86" t="s">
        <v>140</v>
      </c>
      <c r="F9" s="86">
        <v>28.33</v>
      </c>
      <c r="G9" s="86">
        <v>28.33</v>
      </c>
    </row>
    <row r="10" spans="1:7" ht="14.25">
      <c r="A10" s="88"/>
      <c r="B10" s="88"/>
      <c r="C10" s="89" t="s">
        <v>104</v>
      </c>
      <c r="D10" s="84"/>
      <c r="E10" s="90">
        <v>408604.55</v>
      </c>
      <c r="F10" s="90">
        <v>1221517.46</v>
      </c>
      <c r="G10" s="90">
        <v>1630122.01</v>
      </c>
    </row>
    <row r="11" spans="1:7" ht="14.25">
      <c r="A11" s="85" t="s">
        <v>105</v>
      </c>
      <c r="B11" s="100" t="s">
        <v>106</v>
      </c>
      <c r="C11" s="106" t="s">
        <v>101</v>
      </c>
      <c r="D11" s="84"/>
      <c r="E11" s="86">
        <v>121558.2</v>
      </c>
      <c r="F11" s="86">
        <v>364674.6</v>
      </c>
      <c r="G11" s="99">
        <v>486232.8</v>
      </c>
    </row>
    <row r="12" spans="1:8" ht="14.25">
      <c r="A12" s="87"/>
      <c r="B12" s="87"/>
      <c r="C12" s="106" t="s">
        <v>102</v>
      </c>
      <c r="D12" s="84"/>
      <c r="E12" s="86">
        <v>6397.8</v>
      </c>
      <c r="F12" s="86">
        <v>19193.4</v>
      </c>
      <c r="G12" s="99">
        <v>25591.2</v>
      </c>
      <c r="H12" s="126">
        <f>G11+G12</f>
        <v>511824</v>
      </c>
    </row>
    <row r="13" spans="1:8" ht="14.25">
      <c r="A13" s="88"/>
      <c r="B13" s="88"/>
      <c r="C13" s="89" t="s">
        <v>104</v>
      </c>
      <c r="D13" s="84"/>
      <c r="E13" s="90">
        <v>127956</v>
      </c>
      <c r="F13" s="90">
        <v>383868</v>
      </c>
      <c r="G13" s="90">
        <v>511824</v>
      </c>
      <c r="H13" s="127">
        <f>H8+H12</f>
        <v>2141554.37</v>
      </c>
    </row>
    <row r="14" spans="1:8" ht="14.25">
      <c r="A14" s="85" t="s">
        <v>108</v>
      </c>
      <c r="B14" s="100" t="s">
        <v>109</v>
      </c>
      <c r="C14" s="76" t="s">
        <v>8</v>
      </c>
      <c r="D14" s="84"/>
      <c r="E14" s="86">
        <v>488.77</v>
      </c>
      <c r="F14" s="86">
        <v>58008.37</v>
      </c>
      <c r="G14" s="86">
        <v>58497.14</v>
      </c>
      <c r="H14" s="125" t="s">
        <v>44</v>
      </c>
    </row>
    <row r="15" spans="1:7" ht="14.25">
      <c r="A15" s="87"/>
      <c r="B15" s="87"/>
      <c r="C15" s="76" t="s">
        <v>100</v>
      </c>
      <c r="D15" s="84"/>
      <c r="E15" s="86">
        <v>74369.49</v>
      </c>
      <c r="F15" s="86">
        <v>183147.43</v>
      </c>
      <c r="G15" s="86">
        <v>257516.92</v>
      </c>
    </row>
    <row r="16" spans="1:7" ht="14.25">
      <c r="A16" s="87"/>
      <c r="B16" s="87"/>
      <c r="C16" s="76" t="s">
        <v>110</v>
      </c>
      <c r="D16" s="84"/>
      <c r="E16" s="86">
        <v>186533.5</v>
      </c>
      <c r="F16" s="86">
        <v>544631.44</v>
      </c>
      <c r="G16" s="86">
        <v>731164.94</v>
      </c>
    </row>
    <row r="17" spans="1:7" ht="14.25">
      <c r="A17" s="87"/>
      <c r="B17" s="87"/>
      <c r="C17" s="76" t="s">
        <v>111</v>
      </c>
      <c r="D17" s="84"/>
      <c r="E17" s="86">
        <v>63691.97</v>
      </c>
      <c r="F17" s="86">
        <v>136534.22</v>
      </c>
      <c r="G17" s="86">
        <v>200226.19</v>
      </c>
    </row>
    <row r="18" spans="1:7" ht="14.25">
      <c r="A18" s="87"/>
      <c r="B18" s="87"/>
      <c r="C18" s="76" t="s">
        <v>101</v>
      </c>
      <c r="D18" s="84"/>
      <c r="E18" s="86">
        <v>1708.4</v>
      </c>
      <c r="F18" s="86">
        <v>10092.23</v>
      </c>
      <c r="G18" s="86">
        <v>11800.63</v>
      </c>
    </row>
    <row r="19" spans="1:7" ht="14.25">
      <c r="A19" s="87"/>
      <c r="B19" s="87"/>
      <c r="C19" s="76" t="s">
        <v>102</v>
      </c>
      <c r="D19" s="84"/>
      <c r="E19" s="86">
        <v>23359.48</v>
      </c>
      <c r="F19" s="86">
        <v>24085.22</v>
      </c>
      <c r="G19" s="86">
        <v>47444.7</v>
      </c>
    </row>
    <row r="20" spans="1:7" ht="14.25">
      <c r="A20" s="87"/>
      <c r="B20" s="87"/>
      <c r="C20" s="76" t="s">
        <v>112</v>
      </c>
      <c r="D20" s="84"/>
      <c r="E20" s="86">
        <v>2283.08</v>
      </c>
      <c r="F20" s="86">
        <v>11095.16</v>
      </c>
      <c r="G20" s="86">
        <v>13378.24</v>
      </c>
    </row>
    <row r="21" spans="1:7" ht="14.25">
      <c r="A21" s="87"/>
      <c r="B21" s="87"/>
      <c r="C21" s="76" t="s">
        <v>113</v>
      </c>
      <c r="D21" s="84"/>
      <c r="E21" s="86">
        <v>17766.41</v>
      </c>
      <c r="F21" s="86">
        <v>28065.62</v>
      </c>
      <c r="G21" s="86">
        <v>45832.03</v>
      </c>
    </row>
    <row r="22" spans="1:7" ht="14.25">
      <c r="A22" s="87"/>
      <c r="B22" s="87"/>
      <c r="C22" s="76" t="s">
        <v>107</v>
      </c>
      <c r="D22" s="84"/>
      <c r="E22" s="86" t="s">
        <v>140</v>
      </c>
      <c r="F22" s="86">
        <v>71307.64</v>
      </c>
      <c r="G22" s="86">
        <v>71307.64</v>
      </c>
    </row>
    <row r="23" spans="1:7" ht="14.25">
      <c r="A23" s="87"/>
      <c r="B23" s="87"/>
      <c r="C23" s="76" t="s">
        <v>103</v>
      </c>
      <c r="D23" s="84"/>
      <c r="E23" s="86">
        <v>714.79</v>
      </c>
      <c r="F23" s="86">
        <v>3594.11</v>
      </c>
      <c r="G23" s="86">
        <v>4308.9</v>
      </c>
    </row>
    <row r="24" spans="1:7" ht="14.25">
      <c r="A24" s="87"/>
      <c r="B24" s="87"/>
      <c r="C24" s="76" t="s">
        <v>114</v>
      </c>
      <c r="D24" s="84"/>
      <c r="E24" s="86">
        <v>2176.57</v>
      </c>
      <c r="F24" s="86">
        <v>659.06</v>
      </c>
      <c r="G24" s="86">
        <v>2835.63</v>
      </c>
    </row>
    <row r="25" spans="1:7" ht="14.25">
      <c r="A25" s="87"/>
      <c r="B25" s="87"/>
      <c r="C25" s="76" t="s">
        <v>115</v>
      </c>
      <c r="D25" s="84"/>
      <c r="E25" s="86">
        <v>154.98</v>
      </c>
      <c r="F25" s="86">
        <v>1556.4</v>
      </c>
      <c r="G25" s="86">
        <v>1711.38</v>
      </c>
    </row>
    <row r="26" spans="1:7" ht="14.25">
      <c r="A26" s="87"/>
      <c r="B26" s="87"/>
      <c r="C26" s="76" t="s">
        <v>116</v>
      </c>
      <c r="D26" s="84"/>
      <c r="E26" s="86">
        <v>24927.04</v>
      </c>
      <c r="F26" s="86">
        <v>69867</v>
      </c>
      <c r="G26" s="86">
        <v>94794.04</v>
      </c>
    </row>
    <row r="27" spans="1:7" ht="14.25">
      <c r="A27" s="87"/>
      <c r="B27" s="87"/>
      <c r="C27" s="76" t="s">
        <v>117</v>
      </c>
      <c r="D27" s="84"/>
      <c r="E27" s="86">
        <v>4345.36</v>
      </c>
      <c r="F27" s="86">
        <v>33766.14</v>
      </c>
      <c r="G27" s="86">
        <v>38111.5</v>
      </c>
    </row>
    <row r="28" spans="1:7" ht="14.25">
      <c r="A28" s="87"/>
      <c r="B28" s="87"/>
      <c r="C28" s="76" t="s">
        <v>33</v>
      </c>
      <c r="D28" s="84"/>
      <c r="E28" s="86" t="s">
        <v>140</v>
      </c>
      <c r="F28" s="86">
        <v>221.98</v>
      </c>
      <c r="G28" s="86">
        <v>221.98</v>
      </c>
    </row>
    <row r="29" spans="1:7" ht="14.25">
      <c r="A29" s="87"/>
      <c r="B29" s="87"/>
      <c r="C29" s="76" t="s">
        <v>19</v>
      </c>
      <c r="D29" s="84"/>
      <c r="E29" s="86" t="s">
        <v>140</v>
      </c>
      <c r="F29" s="86">
        <v>6379.33</v>
      </c>
      <c r="G29" s="86">
        <v>6379.33</v>
      </c>
    </row>
    <row r="30" spans="1:7" ht="14.25">
      <c r="A30" s="87"/>
      <c r="B30" s="87"/>
      <c r="C30" s="76" t="s">
        <v>18</v>
      </c>
      <c r="D30" s="84"/>
      <c r="E30" s="86">
        <v>22547.69</v>
      </c>
      <c r="F30" s="86">
        <v>86100.12</v>
      </c>
      <c r="G30" s="86">
        <v>108647.81</v>
      </c>
    </row>
    <row r="31" spans="1:7" ht="14.25">
      <c r="A31" s="87"/>
      <c r="B31" s="87"/>
      <c r="C31" s="76" t="s">
        <v>20</v>
      </c>
      <c r="D31" s="84"/>
      <c r="E31" s="86">
        <v>-8455.59</v>
      </c>
      <c r="F31" s="86">
        <v>-25366.77</v>
      </c>
      <c r="G31" s="86">
        <v>-33822.36</v>
      </c>
    </row>
    <row r="32" spans="1:7" ht="14.25">
      <c r="A32" s="87"/>
      <c r="B32" s="87"/>
      <c r="C32" s="76" t="s">
        <v>17</v>
      </c>
      <c r="D32" s="84"/>
      <c r="E32" s="86" t="s">
        <v>140</v>
      </c>
      <c r="F32" s="86">
        <v>963.67</v>
      </c>
      <c r="G32" s="86">
        <v>963.67</v>
      </c>
    </row>
    <row r="33" spans="1:7" ht="14.25">
      <c r="A33" s="87"/>
      <c r="B33" s="87"/>
      <c r="C33" s="76" t="s">
        <v>15</v>
      </c>
      <c r="D33" s="84"/>
      <c r="E33" s="86" t="s">
        <v>140</v>
      </c>
      <c r="F33" s="86">
        <v>50.61</v>
      </c>
      <c r="G33" s="86">
        <v>50.61</v>
      </c>
    </row>
    <row r="34" spans="1:7" ht="14.25">
      <c r="A34" s="88"/>
      <c r="B34" s="88"/>
      <c r="C34" s="89" t="s">
        <v>104</v>
      </c>
      <c r="D34" s="84"/>
      <c r="E34" s="90">
        <v>416611.94</v>
      </c>
      <c r="F34" s="90">
        <v>1244758.98</v>
      </c>
      <c r="G34" s="102">
        <v>1661370.92</v>
      </c>
    </row>
    <row r="35" spans="1:7" ht="14.25">
      <c r="A35" s="85" t="s">
        <v>118</v>
      </c>
      <c r="B35" s="85" t="s">
        <v>119</v>
      </c>
      <c r="C35" s="76" t="s">
        <v>113</v>
      </c>
      <c r="D35" s="84"/>
      <c r="E35" s="86" t="s">
        <v>140</v>
      </c>
      <c r="F35" s="86">
        <v>3052.43</v>
      </c>
      <c r="G35" s="86">
        <v>3052.43</v>
      </c>
    </row>
    <row r="36" spans="1:7" ht="14.25">
      <c r="A36" s="88"/>
      <c r="B36" s="88"/>
      <c r="C36" s="89" t="s">
        <v>104</v>
      </c>
      <c r="D36" s="84"/>
      <c r="E36" s="90"/>
      <c r="F36" s="90">
        <v>3052.43</v>
      </c>
      <c r="G36" s="90">
        <v>3052.43</v>
      </c>
    </row>
    <row r="37" spans="1:7" ht="14.25">
      <c r="A37" s="85" t="s">
        <v>120</v>
      </c>
      <c r="B37" s="85" t="s">
        <v>121</v>
      </c>
      <c r="C37" s="76" t="s">
        <v>100</v>
      </c>
      <c r="D37" s="84"/>
      <c r="E37" s="86">
        <v>9.71</v>
      </c>
      <c r="F37" s="86" t="s">
        <v>140</v>
      </c>
      <c r="G37" s="86">
        <v>9.71</v>
      </c>
    </row>
    <row r="38" spans="1:7" ht="14.25">
      <c r="A38" s="87"/>
      <c r="B38" s="87"/>
      <c r="C38" s="76" t="s">
        <v>110</v>
      </c>
      <c r="D38" s="84"/>
      <c r="E38" s="86" t="s">
        <v>140</v>
      </c>
      <c r="F38" s="86">
        <v>40.16</v>
      </c>
      <c r="G38" s="86">
        <v>40.16</v>
      </c>
    </row>
    <row r="39" spans="1:7" ht="14.25">
      <c r="A39" s="87"/>
      <c r="B39" s="87"/>
      <c r="C39" s="76" t="s">
        <v>111</v>
      </c>
      <c r="D39" s="84"/>
      <c r="E39" s="86">
        <v>1118.32</v>
      </c>
      <c r="F39" s="86">
        <v>2277.65</v>
      </c>
      <c r="G39" s="86">
        <v>3395.97</v>
      </c>
    </row>
    <row r="40" spans="1:7" ht="14.25">
      <c r="A40" s="87"/>
      <c r="B40" s="87"/>
      <c r="C40" s="76" t="s">
        <v>112</v>
      </c>
      <c r="D40" s="84"/>
      <c r="E40" s="86" t="s">
        <v>140</v>
      </c>
      <c r="F40" s="86">
        <v>342.65</v>
      </c>
      <c r="G40" s="86">
        <v>342.65</v>
      </c>
    </row>
    <row r="41" spans="1:7" ht="14.25">
      <c r="A41" s="87"/>
      <c r="B41" s="87"/>
      <c r="C41" s="76" t="s">
        <v>113</v>
      </c>
      <c r="D41" s="84"/>
      <c r="E41" s="86">
        <v>1822.36</v>
      </c>
      <c r="F41" s="86">
        <v>9999.9</v>
      </c>
      <c r="G41" s="86">
        <v>11822.26</v>
      </c>
    </row>
    <row r="42" spans="1:7" ht="14.25">
      <c r="A42" s="87"/>
      <c r="B42" s="87"/>
      <c r="C42" s="76" t="s">
        <v>103</v>
      </c>
      <c r="D42" s="84"/>
      <c r="E42" s="86">
        <v>160.36</v>
      </c>
      <c r="F42" s="86">
        <v>38.9</v>
      </c>
      <c r="G42" s="86">
        <v>199.26</v>
      </c>
    </row>
    <row r="43" spans="1:7" ht="14.25">
      <c r="A43" s="87"/>
      <c r="B43" s="87"/>
      <c r="C43" s="76" t="s">
        <v>114</v>
      </c>
      <c r="D43" s="84"/>
      <c r="E43" s="86" t="s">
        <v>140</v>
      </c>
      <c r="F43" s="86">
        <v>345.51</v>
      </c>
      <c r="G43" s="86">
        <v>345.51</v>
      </c>
    </row>
    <row r="44" spans="1:7" ht="14.25">
      <c r="A44" s="87"/>
      <c r="B44" s="87"/>
      <c r="C44" s="76" t="s">
        <v>115</v>
      </c>
      <c r="D44" s="84"/>
      <c r="E44" s="86">
        <v>2185.9</v>
      </c>
      <c r="F44" s="86">
        <v>18707.58</v>
      </c>
      <c r="G44" s="86">
        <v>20893.48</v>
      </c>
    </row>
    <row r="45" spans="1:7" ht="14.25">
      <c r="A45" s="87"/>
      <c r="B45" s="87"/>
      <c r="C45" s="76" t="s">
        <v>116</v>
      </c>
      <c r="D45" s="84"/>
      <c r="E45" s="86">
        <v>272.79</v>
      </c>
      <c r="F45" s="86">
        <v>2491.61</v>
      </c>
      <c r="G45" s="86">
        <v>2764.4</v>
      </c>
    </row>
    <row r="46" spans="1:7" ht="14.25">
      <c r="A46" s="87"/>
      <c r="B46" s="87"/>
      <c r="C46" s="76" t="s">
        <v>117</v>
      </c>
      <c r="D46" s="84"/>
      <c r="E46" s="86">
        <v>1006.39</v>
      </c>
      <c r="F46" s="86">
        <v>489.51</v>
      </c>
      <c r="G46" s="86">
        <v>1495.9</v>
      </c>
    </row>
    <row r="47" spans="1:7" ht="14.25">
      <c r="A47" s="88"/>
      <c r="B47" s="88"/>
      <c r="C47" s="89" t="s">
        <v>104</v>
      </c>
      <c r="D47" s="84"/>
      <c r="E47" s="90">
        <v>6575.83</v>
      </c>
      <c r="F47" s="90">
        <v>34733.47</v>
      </c>
      <c r="G47" s="90">
        <v>41309.3</v>
      </c>
    </row>
    <row r="48" spans="1:7" ht="14.25">
      <c r="A48" s="85" t="s">
        <v>122</v>
      </c>
      <c r="B48" s="85" t="s">
        <v>123</v>
      </c>
      <c r="C48" s="76" t="s">
        <v>111</v>
      </c>
      <c r="D48" s="84"/>
      <c r="E48" s="86" t="s">
        <v>140</v>
      </c>
      <c r="F48" s="86">
        <v>5470.46</v>
      </c>
      <c r="G48" s="86">
        <v>5470.46</v>
      </c>
    </row>
    <row r="49" spans="1:7" ht="14.25">
      <c r="A49" s="87"/>
      <c r="B49" s="87"/>
      <c r="C49" s="76" t="s">
        <v>112</v>
      </c>
      <c r="D49" s="84"/>
      <c r="E49" s="86">
        <v>7880.59</v>
      </c>
      <c r="F49" s="86">
        <v>4940.79</v>
      </c>
      <c r="G49" s="86">
        <v>12821.38</v>
      </c>
    </row>
    <row r="50" spans="1:7" ht="14.25">
      <c r="A50" s="87"/>
      <c r="B50" s="87"/>
      <c r="C50" s="76" t="s">
        <v>113</v>
      </c>
      <c r="D50" s="84"/>
      <c r="E50" s="86">
        <v>3826.24</v>
      </c>
      <c r="F50" s="86">
        <v>6591.7</v>
      </c>
      <c r="G50" s="86">
        <v>10417.94</v>
      </c>
    </row>
    <row r="51" spans="1:7" ht="14.25">
      <c r="A51" s="87"/>
      <c r="B51" s="87"/>
      <c r="C51" s="76" t="s">
        <v>107</v>
      </c>
      <c r="D51" s="84"/>
      <c r="E51" s="86">
        <v>171468.99</v>
      </c>
      <c r="F51" s="86">
        <v>480428</v>
      </c>
      <c r="G51" s="86">
        <v>651896.99</v>
      </c>
    </row>
    <row r="52" spans="1:7" ht="14.25">
      <c r="A52" s="87"/>
      <c r="B52" s="87"/>
      <c r="C52" s="76" t="s">
        <v>103</v>
      </c>
      <c r="D52" s="84"/>
      <c r="E52" s="86">
        <v>1699.65</v>
      </c>
      <c r="F52" s="86">
        <v>47805.63</v>
      </c>
      <c r="G52" s="86">
        <v>49505.28</v>
      </c>
    </row>
    <row r="53" spans="1:7" ht="14.25">
      <c r="A53" s="87"/>
      <c r="B53" s="87"/>
      <c r="C53" s="76" t="s">
        <v>114</v>
      </c>
      <c r="D53" s="84"/>
      <c r="E53" s="86" t="s">
        <v>140</v>
      </c>
      <c r="F53" s="86">
        <v>1121.92</v>
      </c>
      <c r="G53" s="86">
        <v>1121.92</v>
      </c>
    </row>
    <row r="54" spans="1:7" ht="14.25">
      <c r="A54" s="87"/>
      <c r="B54" s="87"/>
      <c r="C54" s="76" t="s">
        <v>115</v>
      </c>
      <c r="D54" s="84"/>
      <c r="E54" s="86">
        <v>177433.1</v>
      </c>
      <c r="F54" s="86">
        <v>8175.53</v>
      </c>
      <c r="G54" s="86">
        <v>185608.63</v>
      </c>
    </row>
    <row r="55" spans="1:7" ht="14.25">
      <c r="A55" s="87"/>
      <c r="B55" s="87"/>
      <c r="C55" s="76" t="s">
        <v>116</v>
      </c>
      <c r="D55" s="84"/>
      <c r="E55" s="86">
        <v>9979.95</v>
      </c>
      <c r="F55" s="86">
        <v>23706.42</v>
      </c>
      <c r="G55" s="86">
        <v>33686.37</v>
      </c>
    </row>
    <row r="56" spans="1:7" ht="14.25">
      <c r="A56" s="87"/>
      <c r="B56" s="87"/>
      <c r="C56" s="76" t="s">
        <v>117</v>
      </c>
      <c r="D56" s="84"/>
      <c r="E56" s="86">
        <v>775.02</v>
      </c>
      <c r="F56" s="86">
        <v>1358.93</v>
      </c>
      <c r="G56" s="86">
        <v>2133.95</v>
      </c>
    </row>
    <row r="57" spans="1:7" ht="14.25">
      <c r="A57" s="88"/>
      <c r="B57" s="88"/>
      <c r="C57" s="89" t="s">
        <v>104</v>
      </c>
      <c r="D57" s="84"/>
      <c r="E57" s="90">
        <v>373063.54</v>
      </c>
      <c r="F57" s="90">
        <v>579599.38</v>
      </c>
      <c r="G57" s="90">
        <v>952662.92</v>
      </c>
    </row>
    <row r="58" spans="1:7" ht="14.25">
      <c r="A58" s="85" t="s">
        <v>124</v>
      </c>
      <c r="B58" s="85" t="s">
        <v>125</v>
      </c>
      <c r="C58" s="76" t="s">
        <v>100</v>
      </c>
      <c r="D58" s="84"/>
      <c r="E58" s="86">
        <v>178.03</v>
      </c>
      <c r="F58" s="86">
        <v>138.04</v>
      </c>
      <c r="G58" s="86">
        <v>316.07</v>
      </c>
    </row>
    <row r="59" spans="1:7" ht="14.25">
      <c r="A59" s="87"/>
      <c r="B59" s="87"/>
      <c r="C59" s="76" t="s">
        <v>112</v>
      </c>
      <c r="D59" s="84"/>
      <c r="E59" s="86">
        <v>4485.19</v>
      </c>
      <c r="F59" s="86">
        <v>1760.53</v>
      </c>
      <c r="G59" s="86">
        <v>6245.72</v>
      </c>
    </row>
    <row r="60" spans="1:7" ht="14.25">
      <c r="A60" s="87"/>
      <c r="B60" s="87"/>
      <c r="C60" s="76" t="s">
        <v>113</v>
      </c>
      <c r="D60" s="84"/>
      <c r="E60" s="86">
        <v>10537.54</v>
      </c>
      <c r="F60" s="86">
        <v>27971.73</v>
      </c>
      <c r="G60" s="86">
        <v>38509.27</v>
      </c>
    </row>
    <row r="61" spans="1:7" ht="14.25">
      <c r="A61" s="87"/>
      <c r="B61" s="87"/>
      <c r="C61" s="76" t="s">
        <v>103</v>
      </c>
      <c r="D61" s="84"/>
      <c r="E61" s="86">
        <v>11417.5</v>
      </c>
      <c r="F61" s="86">
        <v>210.15</v>
      </c>
      <c r="G61" s="86">
        <v>11627.65</v>
      </c>
    </row>
    <row r="62" spans="1:7" ht="14.25">
      <c r="A62" s="87"/>
      <c r="B62" s="87"/>
      <c r="C62" s="76" t="s">
        <v>114</v>
      </c>
      <c r="D62" s="84"/>
      <c r="E62" s="86">
        <v>11615.96</v>
      </c>
      <c r="F62" s="86">
        <v>3862.05</v>
      </c>
      <c r="G62" s="86">
        <v>15478.01</v>
      </c>
    </row>
    <row r="63" spans="1:7" ht="14.25">
      <c r="A63" s="87"/>
      <c r="B63" s="87"/>
      <c r="C63" s="76" t="s">
        <v>115</v>
      </c>
      <c r="D63" s="84"/>
      <c r="E63" s="86">
        <v>3282.07</v>
      </c>
      <c r="F63" s="86">
        <v>1005.69</v>
      </c>
      <c r="G63" s="86">
        <v>4287.76</v>
      </c>
    </row>
    <row r="64" spans="1:7" ht="14.25">
      <c r="A64" s="87"/>
      <c r="B64" s="87"/>
      <c r="C64" s="76" t="s">
        <v>116</v>
      </c>
      <c r="D64" s="84"/>
      <c r="E64" s="86">
        <v>3241.15</v>
      </c>
      <c r="F64" s="86">
        <v>7719.59</v>
      </c>
      <c r="G64" s="86">
        <v>10960.74</v>
      </c>
    </row>
    <row r="65" spans="1:7" ht="14.25">
      <c r="A65" s="87"/>
      <c r="B65" s="87"/>
      <c r="C65" s="76" t="s">
        <v>117</v>
      </c>
      <c r="D65" s="84"/>
      <c r="E65" s="86">
        <v>2135.26</v>
      </c>
      <c r="F65" s="86">
        <v>500.12</v>
      </c>
      <c r="G65" s="86">
        <v>2635.38</v>
      </c>
    </row>
    <row r="66" spans="1:7" ht="14.25">
      <c r="A66" s="88"/>
      <c r="B66" s="88"/>
      <c r="C66" s="89" t="s">
        <v>104</v>
      </c>
      <c r="D66" s="84"/>
      <c r="E66" s="90">
        <v>46892.7</v>
      </c>
      <c r="F66" s="90">
        <v>43167.9</v>
      </c>
      <c r="G66" s="90">
        <v>90060.6</v>
      </c>
    </row>
    <row r="67" spans="1:7" ht="14.25">
      <c r="A67" s="85" t="s">
        <v>126</v>
      </c>
      <c r="B67" s="85" t="s">
        <v>127</v>
      </c>
      <c r="C67" s="76" t="s">
        <v>111</v>
      </c>
      <c r="D67" s="84"/>
      <c r="E67" s="86">
        <v>1023.28</v>
      </c>
      <c r="F67" s="86">
        <v>13775.07</v>
      </c>
      <c r="G67" s="86">
        <v>14798.35</v>
      </c>
    </row>
    <row r="68" spans="1:7" ht="14.25">
      <c r="A68" s="87"/>
      <c r="B68" s="87"/>
      <c r="C68" s="76" t="s">
        <v>112</v>
      </c>
      <c r="D68" s="84"/>
      <c r="E68" s="86" t="s">
        <v>140</v>
      </c>
      <c r="F68" s="86">
        <v>679.82</v>
      </c>
      <c r="G68" s="86">
        <v>679.82</v>
      </c>
    </row>
    <row r="69" spans="1:7" ht="14.25">
      <c r="A69" s="87"/>
      <c r="B69" s="87"/>
      <c r="C69" s="76" t="s">
        <v>113</v>
      </c>
      <c r="D69" s="84"/>
      <c r="E69" s="86">
        <v>7160.33</v>
      </c>
      <c r="F69" s="86">
        <v>22333.63</v>
      </c>
      <c r="G69" s="86">
        <v>29493.96</v>
      </c>
    </row>
    <row r="70" spans="1:7" ht="14.25">
      <c r="A70" s="87"/>
      <c r="B70" s="87"/>
      <c r="C70" s="76" t="s">
        <v>103</v>
      </c>
      <c r="D70" s="84"/>
      <c r="E70" s="86" t="s">
        <v>140</v>
      </c>
      <c r="F70" s="86">
        <v>58.54</v>
      </c>
      <c r="G70" s="86">
        <v>58.54</v>
      </c>
    </row>
    <row r="71" spans="1:7" ht="14.25">
      <c r="A71" s="87"/>
      <c r="B71" s="87"/>
      <c r="C71" s="76" t="s">
        <v>114</v>
      </c>
      <c r="D71" s="84"/>
      <c r="E71" s="86" t="s">
        <v>140</v>
      </c>
      <c r="F71" s="86">
        <v>480.34</v>
      </c>
      <c r="G71" s="86">
        <v>480.34</v>
      </c>
    </row>
    <row r="72" spans="1:7" ht="14.25">
      <c r="A72" s="87"/>
      <c r="B72" s="87"/>
      <c r="C72" s="76" t="s">
        <v>115</v>
      </c>
      <c r="D72" s="84"/>
      <c r="E72" s="86">
        <v>2111.18</v>
      </c>
      <c r="F72" s="86">
        <v>1746.06</v>
      </c>
      <c r="G72" s="86">
        <v>3857.24</v>
      </c>
    </row>
    <row r="73" spans="1:7" ht="14.25">
      <c r="A73" s="87"/>
      <c r="B73" s="87"/>
      <c r="C73" s="76" t="s">
        <v>116</v>
      </c>
      <c r="D73" s="84"/>
      <c r="E73" s="86" t="s">
        <v>140</v>
      </c>
      <c r="F73" s="86">
        <v>497.14</v>
      </c>
      <c r="G73" s="86">
        <v>497.14</v>
      </c>
    </row>
    <row r="74" spans="1:7" ht="14.25">
      <c r="A74" s="88"/>
      <c r="B74" s="88"/>
      <c r="C74" s="89" t="s">
        <v>104</v>
      </c>
      <c r="D74" s="84"/>
      <c r="E74" s="90">
        <v>10294.79</v>
      </c>
      <c r="F74" s="90">
        <v>39570.6</v>
      </c>
      <c r="G74" s="90">
        <v>49865.39</v>
      </c>
    </row>
    <row r="75" spans="1:7" ht="14.25">
      <c r="A75" s="85" t="s">
        <v>128</v>
      </c>
      <c r="B75" s="85" t="s">
        <v>129</v>
      </c>
      <c r="C75" s="76" t="s">
        <v>100</v>
      </c>
      <c r="D75" s="84"/>
      <c r="E75" s="86">
        <v>101.12</v>
      </c>
      <c r="F75" s="86" t="s">
        <v>140</v>
      </c>
      <c r="G75" s="86">
        <v>101.12</v>
      </c>
    </row>
    <row r="76" spans="1:7" ht="14.25">
      <c r="A76" s="87"/>
      <c r="B76" s="87"/>
      <c r="C76" s="76" t="s">
        <v>111</v>
      </c>
      <c r="D76" s="84"/>
      <c r="E76" s="86">
        <v>200.91</v>
      </c>
      <c r="F76" s="86">
        <v>960.01</v>
      </c>
      <c r="G76" s="86">
        <v>1160.92</v>
      </c>
    </row>
    <row r="77" spans="1:7" ht="14.25">
      <c r="A77" s="87"/>
      <c r="B77" s="87"/>
      <c r="C77" s="76" t="s">
        <v>112</v>
      </c>
      <c r="D77" s="84"/>
      <c r="E77" s="86" t="s">
        <v>140</v>
      </c>
      <c r="F77" s="86">
        <v>3093.8</v>
      </c>
      <c r="G77" s="86">
        <v>3093.8</v>
      </c>
    </row>
    <row r="78" spans="1:7" ht="14.25">
      <c r="A78" s="87"/>
      <c r="B78" s="87"/>
      <c r="C78" s="76" t="s">
        <v>113</v>
      </c>
      <c r="D78" s="84"/>
      <c r="E78" s="86">
        <v>3464.57</v>
      </c>
      <c r="F78" s="86">
        <v>17809.85</v>
      </c>
      <c r="G78" s="86">
        <v>21274.42</v>
      </c>
    </row>
    <row r="79" spans="1:7" ht="14.25">
      <c r="A79" s="87"/>
      <c r="B79" s="87"/>
      <c r="C79" s="76" t="s">
        <v>103</v>
      </c>
      <c r="D79" s="84"/>
      <c r="E79" s="86">
        <v>37.83</v>
      </c>
      <c r="F79" s="86">
        <v>38762</v>
      </c>
      <c r="G79" s="86">
        <v>38799.83</v>
      </c>
    </row>
    <row r="80" spans="1:7" ht="14.25">
      <c r="A80" s="87"/>
      <c r="B80" s="87"/>
      <c r="C80" s="76" t="s">
        <v>114</v>
      </c>
      <c r="D80" s="84"/>
      <c r="E80" s="86">
        <v>172.97</v>
      </c>
      <c r="F80" s="86">
        <v>936.83</v>
      </c>
      <c r="G80" s="86">
        <v>1109.8</v>
      </c>
    </row>
    <row r="81" spans="1:7" ht="14.25">
      <c r="A81" s="87"/>
      <c r="B81" s="87"/>
      <c r="C81" s="76" t="s">
        <v>115</v>
      </c>
      <c r="D81" s="84"/>
      <c r="E81" s="86">
        <v>12336.88</v>
      </c>
      <c r="F81" s="86">
        <v>12131.29</v>
      </c>
      <c r="G81" s="86">
        <v>24468.17</v>
      </c>
    </row>
    <row r="82" spans="1:7" ht="14.25">
      <c r="A82" s="87"/>
      <c r="B82" s="87"/>
      <c r="C82" s="76" t="s">
        <v>116</v>
      </c>
      <c r="D82" s="84"/>
      <c r="E82" s="86">
        <v>46429.82</v>
      </c>
      <c r="F82" s="86">
        <v>27068.47</v>
      </c>
      <c r="G82" s="86">
        <v>73498.29</v>
      </c>
    </row>
    <row r="83" spans="1:7" ht="14.25">
      <c r="A83" s="87"/>
      <c r="B83" s="87"/>
      <c r="C83" s="76" t="s">
        <v>117</v>
      </c>
      <c r="D83" s="84"/>
      <c r="E83" s="86" t="s">
        <v>140</v>
      </c>
      <c r="F83" s="86">
        <v>5607.44</v>
      </c>
      <c r="G83" s="86">
        <v>5607.44</v>
      </c>
    </row>
    <row r="84" spans="1:7" ht="14.25">
      <c r="A84" s="88"/>
      <c r="B84" s="88"/>
      <c r="C84" s="89" t="s">
        <v>104</v>
      </c>
      <c r="D84" s="84"/>
      <c r="E84" s="90">
        <v>62744.1</v>
      </c>
      <c r="F84" s="90">
        <v>106369.69</v>
      </c>
      <c r="G84" s="90">
        <v>169113.79</v>
      </c>
    </row>
    <row r="85" spans="1:7" ht="14.25">
      <c r="A85" s="85" t="s">
        <v>31</v>
      </c>
      <c r="B85" s="85" t="s">
        <v>30</v>
      </c>
      <c r="C85" s="76" t="s">
        <v>19</v>
      </c>
      <c r="D85" s="84"/>
      <c r="E85" s="86" t="s">
        <v>140</v>
      </c>
      <c r="F85" s="86">
        <v>181.05</v>
      </c>
      <c r="G85" s="86">
        <v>181.05</v>
      </c>
    </row>
    <row r="86" spans="1:7" ht="14.25">
      <c r="A86" s="87"/>
      <c r="B86" s="87"/>
      <c r="C86" s="76" t="s">
        <v>18</v>
      </c>
      <c r="D86" s="84"/>
      <c r="E86" s="86" t="s">
        <v>140</v>
      </c>
      <c r="F86" s="86">
        <v>83.02</v>
      </c>
      <c r="G86" s="86">
        <v>83.02</v>
      </c>
    </row>
    <row r="87" spans="1:7" ht="14.25">
      <c r="A87" s="87"/>
      <c r="B87" s="87"/>
      <c r="C87" s="76" t="s">
        <v>16</v>
      </c>
      <c r="D87" s="84"/>
      <c r="E87" s="86">
        <v>203.8</v>
      </c>
      <c r="F87" s="86">
        <v>4079.97</v>
      </c>
      <c r="G87" s="86">
        <v>4283.77</v>
      </c>
    </row>
    <row r="88" spans="1:7" ht="14.25">
      <c r="A88" s="88"/>
      <c r="B88" s="88"/>
      <c r="C88" s="89" t="s">
        <v>104</v>
      </c>
      <c r="D88" s="84"/>
      <c r="E88" s="90">
        <v>203.8</v>
      </c>
      <c r="F88" s="90">
        <v>4344.04</v>
      </c>
      <c r="G88" s="90">
        <v>4547.84</v>
      </c>
    </row>
    <row r="89" spans="1:7" ht="14.25">
      <c r="A89" s="85" t="s">
        <v>14</v>
      </c>
      <c r="B89" s="85" t="s">
        <v>13</v>
      </c>
      <c r="C89" s="76" t="s">
        <v>1</v>
      </c>
      <c r="D89" s="84"/>
      <c r="E89" s="86">
        <v>1003.69</v>
      </c>
      <c r="F89" s="86">
        <v>1203.68</v>
      </c>
      <c r="G89" s="86">
        <v>2207.37</v>
      </c>
    </row>
    <row r="90" spans="1:7" ht="14.25">
      <c r="A90" s="87"/>
      <c r="B90" s="87"/>
      <c r="C90" s="76" t="s">
        <v>0</v>
      </c>
      <c r="D90" s="84"/>
      <c r="E90" s="86">
        <v>93642.72</v>
      </c>
      <c r="F90" s="86">
        <v>108966.1</v>
      </c>
      <c r="G90" s="86">
        <v>202608.82</v>
      </c>
    </row>
    <row r="91" spans="1:7" ht="14.25">
      <c r="A91" s="87"/>
      <c r="B91" s="87"/>
      <c r="C91" s="76" t="s">
        <v>10</v>
      </c>
      <c r="D91" s="84"/>
      <c r="E91" s="86">
        <v>0</v>
      </c>
      <c r="F91" s="86">
        <v>-40.53</v>
      </c>
      <c r="G91" s="86">
        <v>-40.53</v>
      </c>
    </row>
    <row r="92" spans="1:7" ht="14.25">
      <c r="A92" s="87"/>
      <c r="B92" s="87"/>
      <c r="C92" s="76" t="s">
        <v>9</v>
      </c>
      <c r="D92" s="84"/>
      <c r="E92" s="86">
        <v>36450.32</v>
      </c>
      <c r="F92" s="86">
        <v>89995.05</v>
      </c>
      <c r="G92" s="86">
        <v>126445.37</v>
      </c>
    </row>
    <row r="93" spans="1:7" ht="14.25">
      <c r="A93" s="87"/>
      <c r="B93" s="87"/>
      <c r="C93" s="76" t="s">
        <v>8</v>
      </c>
      <c r="D93" s="84"/>
      <c r="E93" s="86">
        <v>67472.92</v>
      </c>
      <c r="F93" s="86">
        <v>181187.26</v>
      </c>
      <c r="G93" s="86">
        <v>248660.18</v>
      </c>
    </row>
    <row r="94" spans="1:7" ht="14.25">
      <c r="A94" s="87"/>
      <c r="B94" s="87"/>
      <c r="C94" s="76" t="s">
        <v>6</v>
      </c>
      <c r="D94" s="84"/>
      <c r="E94" s="86">
        <v>648.26</v>
      </c>
      <c r="F94" s="86">
        <v>2364.93</v>
      </c>
      <c r="G94" s="86">
        <v>3013.19</v>
      </c>
    </row>
    <row r="95" spans="1:7" ht="14.25">
      <c r="A95" s="87"/>
      <c r="B95" s="87"/>
      <c r="C95" s="76" t="s">
        <v>5</v>
      </c>
      <c r="D95" s="84"/>
      <c r="E95" s="86">
        <v>10356.8</v>
      </c>
      <c r="F95" s="86">
        <v>37556.42</v>
      </c>
      <c r="G95" s="86">
        <v>47913.22</v>
      </c>
    </row>
    <row r="96" spans="1:7" ht="14.25">
      <c r="A96" s="87"/>
      <c r="B96" s="87"/>
      <c r="C96" s="76" t="s">
        <v>4</v>
      </c>
      <c r="D96" s="84"/>
      <c r="E96" s="86">
        <v>77353.94</v>
      </c>
      <c r="F96" s="86">
        <v>449189.92</v>
      </c>
      <c r="G96" s="86">
        <v>526543.86</v>
      </c>
    </row>
    <row r="97" spans="1:7" ht="14.25">
      <c r="A97" s="87"/>
      <c r="B97" s="87"/>
      <c r="C97" s="76" t="s">
        <v>3</v>
      </c>
      <c r="D97" s="84"/>
      <c r="E97" s="86">
        <v>61192.6</v>
      </c>
      <c r="F97" s="86">
        <v>65232.58</v>
      </c>
      <c r="G97" s="86">
        <v>126425.18</v>
      </c>
    </row>
    <row r="98" spans="1:7" ht="14.25">
      <c r="A98" s="87"/>
      <c r="B98" s="87"/>
      <c r="C98" s="76" t="s">
        <v>2</v>
      </c>
      <c r="D98" s="84"/>
      <c r="E98" s="86">
        <v>19576.56</v>
      </c>
      <c r="F98" s="86">
        <v>52930.46</v>
      </c>
      <c r="G98" s="86">
        <v>72507.02</v>
      </c>
    </row>
    <row r="99" spans="1:7" ht="14.25">
      <c r="A99" s="88"/>
      <c r="B99" s="88"/>
      <c r="C99" s="89" t="s">
        <v>104</v>
      </c>
      <c r="D99" s="84"/>
      <c r="E99" s="90">
        <v>367697.81</v>
      </c>
      <c r="F99" s="90">
        <v>988585.87</v>
      </c>
      <c r="G99" s="90">
        <v>1356283.68</v>
      </c>
    </row>
    <row r="100" spans="1:7" ht="14.25">
      <c r="A100" s="85" t="s">
        <v>29</v>
      </c>
      <c r="B100" s="85" t="s">
        <v>28</v>
      </c>
      <c r="C100" s="76" t="s">
        <v>19</v>
      </c>
      <c r="D100" s="84"/>
      <c r="E100" s="86" t="s">
        <v>140</v>
      </c>
      <c r="F100" s="86">
        <v>51.85</v>
      </c>
      <c r="G100" s="86">
        <v>51.85</v>
      </c>
    </row>
    <row r="101" spans="1:7" ht="14.25">
      <c r="A101" s="87"/>
      <c r="B101" s="87"/>
      <c r="C101" s="76" t="s">
        <v>21</v>
      </c>
      <c r="D101" s="84"/>
      <c r="E101" s="86">
        <v>769.99</v>
      </c>
      <c r="F101" s="86">
        <v>1335.48</v>
      </c>
      <c r="G101" s="86">
        <v>2105.47</v>
      </c>
    </row>
    <row r="102" spans="1:7" ht="14.25">
      <c r="A102" s="87"/>
      <c r="B102" s="87"/>
      <c r="C102" s="76" t="s">
        <v>18</v>
      </c>
      <c r="D102" s="84"/>
      <c r="E102" s="86">
        <v>1160.19</v>
      </c>
      <c r="F102" s="86">
        <v>2325.75</v>
      </c>
      <c r="G102" s="86">
        <v>3485.94</v>
      </c>
    </row>
    <row r="103" spans="1:7" ht="14.25">
      <c r="A103" s="87"/>
      <c r="B103" s="87"/>
      <c r="C103" s="76" t="s">
        <v>17</v>
      </c>
      <c r="D103" s="84"/>
      <c r="E103" s="86" t="s">
        <v>140</v>
      </c>
      <c r="F103" s="86">
        <v>13811.74</v>
      </c>
      <c r="G103" s="86">
        <v>13811.74</v>
      </c>
    </row>
    <row r="104" spans="1:7" ht="14.25">
      <c r="A104" s="87"/>
      <c r="B104" s="87"/>
      <c r="C104" s="76" t="s">
        <v>16</v>
      </c>
      <c r="D104" s="84"/>
      <c r="E104" s="86">
        <v>7636.97</v>
      </c>
      <c r="F104" s="86">
        <v>40849.83</v>
      </c>
      <c r="G104" s="86">
        <v>48486.8</v>
      </c>
    </row>
    <row r="105" spans="1:7" ht="14.25">
      <c r="A105" s="87"/>
      <c r="B105" s="87"/>
      <c r="C105" s="76" t="s">
        <v>15</v>
      </c>
      <c r="D105" s="84"/>
      <c r="E105" s="86">
        <v>1061.2</v>
      </c>
      <c r="F105" s="86">
        <v>1134.42</v>
      </c>
      <c r="G105" s="86">
        <v>2195.62</v>
      </c>
    </row>
    <row r="106" spans="1:7" ht="14.25">
      <c r="A106" s="88"/>
      <c r="B106" s="88"/>
      <c r="C106" s="89" t="s">
        <v>104</v>
      </c>
      <c r="D106" s="84"/>
      <c r="E106" s="90">
        <v>10628.35</v>
      </c>
      <c r="F106" s="90">
        <v>59509.07</v>
      </c>
      <c r="G106" s="90">
        <v>70137.42</v>
      </c>
    </row>
    <row r="107" spans="1:7" ht="14.25">
      <c r="A107" s="85" t="s">
        <v>27</v>
      </c>
      <c r="B107" s="85" t="s">
        <v>26</v>
      </c>
      <c r="C107" s="76" t="s">
        <v>19</v>
      </c>
      <c r="D107" s="84"/>
      <c r="E107" s="86">
        <v>12.13</v>
      </c>
      <c r="F107" s="86">
        <v>74.15</v>
      </c>
      <c r="G107" s="86">
        <v>86.28</v>
      </c>
    </row>
    <row r="108" spans="1:7" ht="14.25">
      <c r="A108" s="87"/>
      <c r="B108" s="87"/>
      <c r="C108" s="76" t="s">
        <v>21</v>
      </c>
      <c r="D108" s="84"/>
      <c r="E108" s="86">
        <v>348.53</v>
      </c>
      <c r="F108" s="86">
        <v>-1955.61</v>
      </c>
      <c r="G108" s="86">
        <v>-1607.08</v>
      </c>
    </row>
    <row r="109" spans="1:7" ht="14.25">
      <c r="A109" s="87"/>
      <c r="B109" s="87"/>
      <c r="C109" s="76" t="s">
        <v>18</v>
      </c>
      <c r="D109" s="84"/>
      <c r="E109" s="86">
        <v>4443.21</v>
      </c>
      <c r="F109" s="86">
        <v>2903.26</v>
      </c>
      <c r="G109" s="86">
        <v>7346.47</v>
      </c>
    </row>
    <row r="110" spans="1:7" ht="14.25">
      <c r="A110" s="87"/>
      <c r="B110" s="87"/>
      <c r="C110" s="76" t="s">
        <v>17</v>
      </c>
      <c r="D110" s="84"/>
      <c r="E110" s="86">
        <v>86.08</v>
      </c>
      <c r="F110" s="86">
        <v>41826.12</v>
      </c>
      <c r="G110" s="86">
        <v>41912.2</v>
      </c>
    </row>
    <row r="111" spans="1:7" ht="14.25">
      <c r="A111" s="87"/>
      <c r="B111" s="87"/>
      <c r="C111" s="76" t="s">
        <v>16</v>
      </c>
      <c r="D111" s="84"/>
      <c r="E111" s="86">
        <v>31336.86</v>
      </c>
      <c r="F111" s="86">
        <v>84562.81</v>
      </c>
      <c r="G111" s="86">
        <v>115899.67</v>
      </c>
    </row>
    <row r="112" spans="1:7" ht="14.25">
      <c r="A112" s="87"/>
      <c r="B112" s="87"/>
      <c r="C112" s="76" t="s">
        <v>15</v>
      </c>
      <c r="D112" s="84"/>
      <c r="E112" s="86">
        <v>5598.77</v>
      </c>
      <c r="F112" s="86">
        <v>11328.91</v>
      </c>
      <c r="G112" s="86">
        <v>16927.68</v>
      </c>
    </row>
    <row r="113" spans="1:7" ht="14.25">
      <c r="A113" s="88"/>
      <c r="B113" s="88"/>
      <c r="C113" s="89" t="s">
        <v>104</v>
      </c>
      <c r="D113" s="84"/>
      <c r="E113" s="90">
        <v>41825.58</v>
      </c>
      <c r="F113" s="90">
        <v>138739.64</v>
      </c>
      <c r="G113" s="90">
        <v>180565.22</v>
      </c>
    </row>
    <row r="114" spans="1:7" ht="14.25">
      <c r="A114" s="85" t="s">
        <v>130</v>
      </c>
      <c r="B114" s="85" t="s">
        <v>131</v>
      </c>
      <c r="C114" s="76" t="s">
        <v>111</v>
      </c>
      <c r="D114" s="84"/>
      <c r="E114" s="86">
        <v>0</v>
      </c>
      <c r="F114" s="86">
        <v>94.97</v>
      </c>
      <c r="G114" s="86">
        <v>94.97</v>
      </c>
    </row>
    <row r="115" spans="1:7" ht="14.25">
      <c r="A115" s="87"/>
      <c r="B115" s="87"/>
      <c r="C115" s="76" t="s">
        <v>112</v>
      </c>
      <c r="D115" s="84"/>
      <c r="E115" s="86" t="s">
        <v>140</v>
      </c>
      <c r="F115" s="86">
        <v>3446.71</v>
      </c>
      <c r="G115" s="86">
        <v>3446.71</v>
      </c>
    </row>
    <row r="116" spans="1:7" ht="14.25">
      <c r="A116" s="87"/>
      <c r="B116" s="87"/>
      <c r="C116" s="76" t="s">
        <v>113</v>
      </c>
      <c r="D116" s="84"/>
      <c r="E116" s="86">
        <v>2467.43</v>
      </c>
      <c r="F116" s="86">
        <v>10701.72</v>
      </c>
      <c r="G116" s="86">
        <v>13169.15</v>
      </c>
    </row>
    <row r="117" spans="1:7" ht="14.25">
      <c r="A117" s="87"/>
      <c r="B117" s="87"/>
      <c r="C117" s="76" t="s">
        <v>103</v>
      </c>
      <c r="D117" s="84"/>
      <c r="E117" s="86">
        <v>249.45</v>
      </c>
      <c r="F117" s="86">
        <v>25.22</v>
      </c>
      <c r="G117" s="86">
        <v>274.67</v>
      </c>
    </row>
    <row r="118" spans="1:7" ht="14.25">
      <c r="A118" s="87"/>
      <c r="B118" s="87"/>
      <c r="C118" s="76" t="s">
        <v>114</v>
      </c>
      <c r="D118" s="84"/>
      <c r="E118" s="86">
        <v>28928</v>
      </c>
      <c r="F118" s="86">
        <v>879.08</v>
      </c>
      <c r="G118" s="86">
        <v>29807.08</v>
      </c>
    </row>
    <row r="119" spans="1:7" ht="14.25">
      <c r="A119" s="87"/>
      <c r="B119" s="87"/>
      <c r="C119" s="76" t="s">
        <v>115</v>
      </c>
      <c r="D119" s="84"/>
      <c r="E119" s="86">
        <v>193766.51</v>
      </c>
      <c r="F119" s="86">
        <v>2456.64</v>
      </c>
      <c r="G119" s="86">
        <v>196223.15</v>
      </c>
    </row>
    <row r="120" spans="1:7" ht="14.25">
      <c r="A120" s="87"/>
      <c r="B120" s="87"/>
      <c r="C120" s="76" t="s">
        <v>116</v>
      </c>
      <c r="D120" s="84"/>
      <c r="E120" s="86">
        <v>1541.68</v>
      </c>
      <c r="F120" s="86">
        <v>3420.88</v>
      </c>
      <c r="G120" s="86">
        <v>4962.56</v>
      </c>
    </row>
    <row r="121" spans="1:7" ht="14.25">
      <c r="A121" s="87"/>
      <c r="B121" s="87"/>
      <c r="C121" s="76" t="s">
        <v>117</v>
      </c>
      <c r="D121" s="84"/>
      <c r="E121" s="86" t="s">
        <v>140</v>
      </c>
      <c r="F121" s="86">
        <v>413.22</v>
      </c>
      <c r="G121" s="86">
        <v>413.22</v>
      </c>
    </row>
    <row r="122" spans="1:7" ht="14.25">
      <c r="A122" s="88"/>
      <c r="B122" s="88"/>
      <c r="C122" s="89" t="s">
        <v>104</v>
      </c>
      <c r="D122" s="84"/>
      <c r="E122" s="90">
        <v>226953.07</v>
      </c>
      <c r="F122" s="90">
        <v>21438.44</v>
      </c>
      <c r="G122" s="90">
        <v>248391.51</v>
      </c>
    </row>
    <row r="123" spans="1:7" ht="14.25">
      <c r="A123" s="85" t="s">
        <v>132</v>
      </c>
      <c r="B123" s="85" t="s">
        <v>133</v>
      </c>
      <c r="C123" s="76" t="s">
        <v>100</v>
      </c>
      <c r="D123" s="84"/>
      <c r="E123" s="86">
        <v>42352.93</v>
      </c>
      <c r="F123" s="86">
        <v>11881.87</v>
      </c>
      <c r="G123" s="86">
        <v>54234.8</v>
      </c>
    </row>
    <row r="124" spans="1:7" ht="14.25">
      <c r="A124" s="87"/>
      <c r="B124" s="87"/>
      <c r="C124" s="76" t="s">
        <v>111</v>
      </c>
      <c r="D124" s="84"/>
      <c r="E124" s="86">
        <v>2075.91</v>
      </c>
      <c r="F124" s="86">
        <v>2052.2</v>
      </c>
      <c r="G124" s="86">
        <v>4128.11</v>
      </c>
    </row>
    <row r="125" spans="1:7" ht="14.25">
      <c r="A125" s="87"/>
      <c r="B125" s="87"/>
      <c r="C125" s="76" t="s">
        <v>112</v>
      </c>
      <c r="D125" s="84"/>
      <c r="E125" s="86">
        <v>3035.92</v>
      </c>
      <c r="F125" s="86">
        <v>5136.91</v>
      </c>
      <c r="G125" s="86">
        <v>8172.83</v>
      </c>
    </row>
    <row r="126" spans="1:7" ht="14.25">
      <c r="A126" s="87"/>
      <c r="B126" s="87"/>
      <c r="C126" s="76" t="s">
        <v>113</v>
      </c>
      <c r="D126" s="84"/>
      <c r="E126" s="86">
        <v>19423.05</v>
      </c>
      <c r="F126" s="86">
        <v>56630.2</v>
      </c>
      <c r="G126" s="86">
        <v>76053.25</v>
      </c>
    </row>
    <row r="127" spans="1:7" ht="14.25">
      <c r="A127" s="87"/>
      <c r="B127" s="87"/>
      <c r="C127" s="76" t="s">
        <v>103</v>
      </c>
      <c r="D127" s="84"/>
      <c r="E127" s="86">
        <v>4288.55</v>
      </c>
      <c r="F127" s="86">
        <v>318.38</v>
      </c>
      <c r="G127" s="86">
        <v>4606.93</v>
      </c>
    </row>
    <row r="128" spans="1:7" ht="14.25">
      <c r="A128" s="87"/>
      <c r="B128" s="87"/>
      <c r="C128" s="76" t="s">
        <v>114</v>
      </c>
      <c r="D128" s="84"/>
      <c r="E128" s="86">
        <v>179.27</v>
      </c>
      <c r="F128" s="86">
        <v>28027.87</v>
      </c>
      <c r="G128" s="86">
        <v>28207.14</v>
      </c>
    </row>
    <row r="129" spans="1:7" ht="14.25">
      <c r="A129" s="87"/>
      <c r="B129" s="87"/>
      <c r="C129" s="76" t="s">
        <v>115</v>
      </c>
      <c r="D129" s="84"/>
      <c r="E129" s="86">
        <v>14171.68</v>
      </c>
      <c r="F129" s="86">
        <v>11343.1</v>
      </c>
      <c r="G129" s="86">
        <v>25514.78</v>
      </c>
    </row>
    <row r="130" spans="1:7" ht="14.25">
      <c r="A130" s="87"/>
      <c r="B130" s="87"/>
      <c r="C130" s="76" t="s">
        <v>116</v>
      </c>
      <c r="D130" s="84"/>
      <c r="E130" s="86">
        <v>25604.72</v>
      </c>
      <c r="F130" s="86">
        <v>40432.76</v>
      </c>
      <c r="G130" s="86">
        <v>66037.48</v>
      </c>
    </row>
    <row r="131" spans="1:7" ht="14.25">
      <c r="A131" s="87"/>
      <c r="B131" s="87"/>
      <c r="C131" s="76" t="s">
        <v>117</v>
      </c>
      <c r="D131" s="84"/>
      <c r="E131" s="86" t="s">
        <v>140</v>
      </c>
      <c r="F131" s="86">
        <v>2490.64</v>
      </c>
      <c r="G131" s="86">
        <v>2490.64</v>
      </c>
    </row>
    <row r="132" spans="1:7" ht="14.25">
      <c r="A132" s="87"/>
      <c r="B132" s="87"/>
      <c r="C132" s="76" t="s">
        <v>33</v>
      </c>
      <c r="D132" s="84"/>
      <c r="E132" s="86" t="s">
        <v>140</v>
      </c>
      <c r="F132" s="86">
        <v>794.03</v>
      </c>
      <c r="G132" s="86">
        <v>794.03</v>
      </c>
    </row>
    <row r="133" spans="1:7" ht="14.25">
      <c r="A133" s="88"/>
      <c r="B133" s="88"/>
      <c r="C133" s="89" t="s">
        <v>104</v>
      </c>
      <c r="D133" s="84"/>
      <c r="E133" s="90">
        <v>111132.03</v>
      </c>
      <c r="F133" s="90">
        <v>159107.96</v>
      </c>
      <c r="G133" s="90">
        <v>270239.99</v>
      </c>
    </row>
    <row r="134" spans="1:7" ht="14.25">
      <c r="A134" s="85" t="s">
        <v>134</v>
      </c>
      <c r="B134" s="85" t="s">
        <v>135</v>
      </c>
      <c r="C134" s="76" t="s">
        <v>100</v>
      </c>
      <c r="D134" s="84"/>
      <c r="E134" s="86" t="s">
        <v>140</v>
      </c>
      <c r="F134" s="86">
        <v>63.54</v>
      </c>
      <c r="G134" s="86">
        <v>63.54</v>
      </c>
    </row>
    <row r="135" spans="1:7" ht="14.25">
      <c r="A135" s="87"/>
      <c r="B135" s="87"/>
      <c r="C135" s="76" t="s">
        <v>113</v>
      </c>
      <c r="D135" s="84"/>
      <c r="E135" s="86">
        <v>21378.48</v>
      </c>
      <c r="F135" s="86">
        <v>29789.13</v>
      </c>
      <c r="G135" s="86">
        <v>51167.61</v>
      </c>
    </row>
    <row r="136" spans="1:7" ht="14.25">
      <c r="A136" s="87"/>
      <c r="B136" s="87"/>
      <c r="C136" s="76" t="s">
        <v>115</v>
      </c>
      <c r="D136" s="84"/>
      <c r="E136" s="86" t="s">
        <v>140</v>
      </c>
      <c r="F136" s="86">
        <v>33.75</v>
      </c>
      <c r="G136" s="86">
        <v>33.75</v>
      </c>
    </row>
    <row r="137" spans="1:7" ht="14.25">
      <c r="A137" s="88"/>
      <c r="B137" s="88"/>
      <c r="C137" s="89" t="s">
        <v>104</v>
      </c>
      <c r="D137" s="84"/>
      <c r="E137" s="90">
        <v>21378.48</v>
      </c>
      <c r="F137" s="90">
        <v>29886.42</v>
      </c>
      <c r="G137" s="90">
        <v>51264.9</v>
      </c>
    </row>
    <row r="138" spans="1:7" ht="14.25">
      <c r="A138" s="85" t="s">
        <v>25</v>
      </c>
      <c r="B138" s="85" t="s">
        <v>24</v>
      </c>
      <c r="C138" s="76" t="s">
        <v>19</v>
      </c>
      <c r="D138" s="84"/>
      <c r="E138" s="86">
        <v>33.95</v>
      </c>
      <c r="F138" s="86">
        <v>121167.03</v>
      </c>
      <c r="G138" s="86">
        <v>121200.98</v>
      </c>
    </row>
    <row r="139" spans="1:7" ht="14.25">
      <c r="A139" s="87"/>
      <c r="B139" s="87"/>
      <c r="C139" s="76" t="s">
        <v>21</v>
      </c>
      <c r="D139" s="84"/>
      <c r="E139" s="86">
        <v>5008.77</v>
      </c>
      <c r="F139" s="86">
        <v>34516.18</v>
      </c>
      <c r="G139" s="86">
        <v>39524.95</v>
      </c>
    </row>
    <row r="140" spans="1:7" ht="14.25">
      <c r="A140" s="87"/>
      <c r="B140" s="87"/>
      <c r="C140" s="76" t="s">
        <v>18</v>
      </c>
      <c r="D140" s="84"/>
      <c r="E140" s="86">
        <v>61989.26</v>
      </c>
      <c r="F140" s="86">
        <v>35915.56</v>
      </c>
      <c r="G140" s="86">
        <v>97904.82</v>
      </c>
    </row>
    <row r="141" spans="1:7" ht="14.25">
      <c r="A141" s="87"/>
      <c r="B141" s="87"/>
      <c r="C141" s="76" t="s">
        <v>17</v>
      </c>
      <c r="D141" s="84"/>
      <c r="E141" s="86" t="s">
        <v>140</v>
      </c>
      <c r="F141" s="86">
        <v>112.79</v>
      </c>
      <c r="G141" s="86">
        <v>112.79</v>
      </c>
    </row>
    <row r="142" spans="1:7" ht="14.25">
      <c r="A142" s="87"/>
      <c r="B142" s="87"/>
      <c r="C142" s="76" t="s">
        <v>16</v>
      </c>
      <c r="D142" s="84"/>
      <c r="E142" s="86">
        <v>18.53</v>
      </c>
      <c r="F142" s="86">
        <v>22773.3</v>
      </c>
      <c r="G142" s="86">
        <v>22791.83</v>
      </c>
    </row>
    <row r="143" spans="1:7" ht="14.25">
      <c r="A143" s="87"/>
      <c r="B143" s="87"/>
      <c r="C143" s="76" t="s">
        <v>15</v>
      </c>
      <c r="D143" s="84"/>
      <c r="E143" s="86">
        <v>3491.96</v>
      </c>
      <c r="F143" s="86">
        <v>11788.83</v>
      </c>
      <c r="G143" s="86">
        <v>15280.79</v>
      </c>
    </row>
    <row r="144" spans="1:7" ht="14.25">
      <c r="A144" s="88"/>
      <c r="B144" s="88"/>
      <c r="C144" s="89" t="s">
        <v>104</v>
      </c>
      <c r="D144" s="84"/>
      <c r="E144" s="90">
        <v>70542.47</v>
      </c>
      <c r="F144" s="90">
        <v>226273.69</v>
      </c>
      <c r="G144" s="90">
        <v>296816.16</v>
      </c>
    </row>
    <row r="145" spans="1:7" ht="14.25">
      <c r="A145" s="85" t="s">
        <v>136</v>
      </c>
      <c r="B145" s="85" t="s">
        <v>137</v>
      </c>
      <c r="C145" s="76" t="s">
        <v>100</v>
      </c>
      <c r="D145" s="84"/>
      <c r="E145" s="86">
        <v>1906.7</v>
      </c>
      <c r="F145" s="86">
        <v>3473.26</v>
      </c>
      <c r="G145" s="86">
        <v>5379.96</v>
      </c>
    </row>
    <row r="146" spans="1:7" ht="14.25">
      <c r="A146" s="87"/>
      <c r="B146" s="87"/>
      <c r="C146" s="76" t="s">
        <v>111</v>
      </c>
      <c r="D146" s="84"/>
      <c r="E146" s="86">
        <v>-300</v>
      </c>
      <c r="F146" s="86">
        <v>4246.51</v>
      </c>
      <c r="G146" s="86">
        <v>3946.51</v>
      </c>
    </row>
    <row r="147" spans="1:7" ht="14.25">
      <c r="A147" s="87"/>
      <c r="B147" s="87"/>
      <c r="C147" s="76" t="s">
        <v>112</v>
      </c>
      <c r="D147" s="84"/>
      <c r="E147" s="86">
        <v>6899.48</v>
      </c>
      <c r="F147" s="86">
        <v>10610.23</v>
      </c>
      <c r="G147" s="86">
        <v>17509.71</v>
      </c>
    </row>
    <row r="148" spans="1:7" ht="14.25">
      <c r="A148" s="87"/>
      <c r="B148" s="87"/>
      <c r="C148" s="76" t="s">
        <v>113</v>
      </c>
      <c r="D148" s="84"/>
      <c r="E148" s="86">
        <v>8273.11</v>
      </c>
      <c r="F148" s="86">
        <v>49510.69</v>
      </c>
      <c r="G148" s="86">
        <v>57783.8</v>
      </c>
    </row>
    <row r="149" spans="1:7" ht="14.25">
      <c r="A149" s="87"/>
      <c r="B149" s="87"/>
      <c r="C149" s="76" t="s">
        <v>103</v>
      </c>
      <c r="D149" s="84"/>
      <c r="E149" s="86">
        <v>25685.69</v>
      </c>
      <c r="F149" s="86">
        <v>3021.32</v>
      </c>
      <c r="G149" s="86">
        <v>28707.01</v>
      </c>
    </row>
    <row r="150" spans="1:7" ht="14.25">
      <c r="A150" s="87"/>
      <c r="B150" s="87"/>
      <c r="C150" s="76" t="s">
        <v>114</v>
      </c>
      <c r="D150" s="84"/>
      <c r="E150" s="86">
        <v>15972.87</v>
      </c>
      <c r="F150" s="86">
        <v>50161.05</v>
      </c>
      <c r="G150" s="86">
        <v>66133.92</v>
      </c>
    </row>
    <row r="151" spans="1:7" ht="14.25">
      <c r="A151" s="87"/>
      <c r="B151" s="87"/>
      <c r="C151" s="76" t="s">
        <v>115</v>
      </c>
      <c r="D151" s="84"/>
      <c r="E151" s="86">
        <v>16699.33</v>
      </c>
      <c r="F151" s="86">
        <v>11432.19</v>
      </c>
      <c r="G151" s="86">
        <v>28131.52</v>
      </c>
    </row>
    <row r="152" spans="1:7" ht="14.25">
      <c r="A152" s="87"/>
      <c r="B152" s="87"/>
      <c r="C152" s="76" t="s">
        <v>116</v>
      </c>
      <c r="D152" s="84"/>
      <c r="E152" s="86">
        <v>39569.6</v>
      </c>
      <c r="F152" s="86">
        <v>150883.39</v>
      </c>
      <c r="G152" s="86">
        <v>190452.99</v>
      </c>
    </row>
    <row r="153" spans="1:7" ht="14.25">
      <c r="A153" s="87"/>
      <c r="B153" s="87"/>
      <c r="C153" s="76" t="s">
        <v>117</v>
      </c>
      <c r="D153" s="84"/>
      <c r="E153" s="86">
        <v>-1188.89</v>
      </c>
      <c r="F153" s="86">
        <v>16678.14</v>
      </c>
      <c r="G153" s="86">
        <v>15489.25</v>
      </c>
    </row>
    <row r="154" spans="1:7" ht="14.25">
      <c r="A154" s="88"/>
      <c r="B154" s="88"/>
      <c r="C154" s="89" t="s">
        <v>104</v>
      </c>
      <c r="D154" s="84"/>
      <c r="E154" s="90">
        <v>113517.89</v>
      </c>
      <c r="F154" s="90">
        <v>300016.78</v>
      </c>
      <c r="G154" s="90">
        <v>413534.67</v>
      </c>
    </row>
    <row r="155" spans="1:7" ht="14.25">
      <c r="A155" s="85" t="s">
        <v>138</v>
      </c>
      <c r="B155" s="85" t="s">
        <v>139</v>
      </c>
      <c r="C155" s="76" t="s">
        <v>112</v>
      </c>
      <c r="D155" s="84"/>
      <c r="E155" s="86" t="s">
        <v>140</v>
      </c>
      <c r="F155" s="86">
        <v>365.69</v>
      </c>
      <c r="G155" s="86">
        <v>365.69</v>
      </c>
    </row>
    <row r="156" spans="1:7" ht="14.25">
      <c r="A156" s="87"/>
      <c r="B156" s="87"/>
      <c r="C156" s="76" t="s">
        <v>113</v>
      </c>
      <c r="D156" s="84"/>
      <c r="E156" s="86">
        <v>6072.15</v>
      </c>
      <c r="F156" s="86">
        <v>27059.14</v>
      </c>
      <c r="G156" s="86">
        <v>33131.29</v>
      </c>
    </row>
    <row r="157" spans="1:7" ht="14.25">
      <c r="A157" s="87"/>
      <c r="B157" s="87"/>
      <c r="C157" s="76" t="s">
        <v>114</v>
      </c>
      <c r="D157" s="84"/>
      <c r="E157" s="86" t="s">
        <v>140</v>
      </c>
      <c r="F157" s="86">
        <v>62.84</v>
      </c>
      <c r="G157" s="86">
        <v>62.84</v>
      </c>
    </row>
    <row r="158" spans="1:7" ht="14.25">
      <c r="A158" s="88"/>
      <c r="B158" s="88"/>
      <c r="C158" s="89" t="s">
        <v>104</v>
      </c>
      <c r="D158" s="84"/>
      <c r="E158" s="90">
        <v>6072.15</v>
      </c>
      <c r="F158" s="90">
        <v>27487.67</v>
      </c>
      <c r="G158" s="90">
        <v>33559.82</v>
      </c>
    </row>
    <row r="159" spans="1:7" ht="14.25">
      <c r="A159" s="85" t="s">
        <v>12</v>
      </c>
      <c r="B159" s="85" t="s">
        <v>11</v>
      </c>
      <c r="C159" s="76" t="s">
        <v>1</v>
      </c>
      <c r="D159" s="84"/>
      <c r="E159" s="86">
        <v>16549.78</v>
      </c>
      <c r="F159" s="86">
        <v>83646.51</v>
      </c>
      <c r="G159" s="86">
        <v>100196.29</v>
      </c>
    </row>
    <row r="160" spans="1:7" ht="14.25">
      <c r="A160" s="87"/>
      <c r="B160" s="87"/>
      <c r="C160" s="76" t="s">
        <v>0</v>
      </c>
      <c r="D160" s="84"/>
      <c r="E160" s="86">
        <v>87972.54</v>
      </c>
      <c r="F160" s="86">
        <v>287350.53</v>
      </c>
      <c r="G160" s="86">
        <v>375323.07</v>
      </c>
    </row>
    <row r="161" spans="1:7" ht="14.25">
      <c r="A161" s="87"/>
      <c r="B161" s="87"/>
      <c r="C161" s="76" t="s">
        <v>10</v>
      </c>
      <c r="D161" s="84"/>
      <c r="E161" s="86">
        <v>317082.54</v>
      </c>
      <c r="F161" s="86">
        <v>993563</v>
      </c>
      <c r="G161" s="86">
        <v>1310645.54</v>
      </c>
    </row>
    <row r="162" spans="1:7" ht="14.25">
      <c r="A162" s="87"/>
      <c r="B162" s="87"/>
      <c r="C162" s="76" t="s">
        <v>9</v>
      </c>
      <c r="D162" s="84"/>
      <c r="E162" s="86">
        <v>12878.2</v>
      </c>
      <c r="F162" s="86">
        <v>16490.55</v>
      </c>
      <c r="G162" s="86">
        <v>29368.75</v>
      </c>
    </row>
    <row r="163" spans="1:7" ht="14.25">
      <c r="A163" s="87"/>
      <c r="B163" s="87"/>
      <c r="C163" s="76" t="s">
        <v>8</v>
      </c>
      <c r="D163" s="84"/>
      <c r="E163" s="86">
        <v>442801.06</v>
      </c>
      <c r="F163" s="86">
        <v>1253019.87</v>
      </c>
      <c r="G163" s="86">
        <v>1695820.93</v>
      </c>
    </row>
    <row r="164" spans="1:7" ht="14.25">
      <c r="A164" s="87"/>
      <c r="B164" s="87"/>
      <c r="C164" s="76" t="s">
        <v>7</v>
      </c>
      <c r="D164" s="84"/>
      <c r="E164" s="86">
        <v>14921.22</v>
      </c>
      <c r="F164" s="86">
        <v>32242.96</v>
      </c>
      <c r="G164" s="86">
        <v>47164.18</v>
      </c>
    </row>
    <row r="165" spans="1:7" ht="14.25">
      <c r="A165" s="87"/>
      <c r="B165" s="87"/>
      <c r="C165" s="76" t="s">
        <v>6</v>
      </c>
      <c r="D165" s="84"/>
      <c r="E165" s="86">
        <v>86442.41</v>
      </c>
      <c r="F165" s="86">
        <v>269647.9</v>
      </c>
      <c r="G165" s="86">
        <v>356090.31</v>
      </c>
    </row>
    <row r="166" spans="1:7" ht="14.25">
      <c r="A166" s="87"/>
      <c r="B166" s="87"/>
      <c r="C166" s="76" t="s">
        <v>5</v>
      </c>
      <c r="D166" s="84"/>
      <c r="E166" s="86">
        <v>127259.56</v>
      </c>
      <c r="F166" s="86">
        <v>305703.83</v>
      </c>
      <c r="G166" s="86">
        <v>432963.39</v>
      </c>
    </row>
    <row r="167" spans="1:7" ht="14.25">
      <c r="A167" s="87"/>
      <c r="B167" s="87"/>
      <c r="C167" s="76" t="s">
        <v>4</v>
      </c>
      <c r="D167" s="84"/>
      <c r="E167" s="86">
        <v>879326.15</v>
      </c>
      <c r="F167" s="86">
        <v>2781868.54</v>
      </c>
      <c r="G167" s="86">
        <v>3661194.69</v>
      </c>
    </row>
    <row r="168" spans="1:7" ht="14.25">
      <c r="A168" s="87"/>
      <c r="B168" s="87"/>
      <c r="C168" s="76" t="s">
        <v>3</v>
      </c>
      <c r="D168" s="84"/>
      <c r="E168" s="86">
        <v>89604.34</v>
      </c>
      <c r="F168" s="86">
        <v>249108.73</v>
      </c>
      <c r="G168" s="86">
        <v>338713.07</v>
      </c>
    </row>
    <row r="169" spans="1:7" ht="14.25">
      <c r="A169" s="87"/>
      <c r="B169" s="87"/>
      <c r="C169" s="76" t="s">
        <v>2</v>
      </c>
      <c r="D169" s="84"/>
      <c r="E169" s="86">
        <v>87623.65</v>
      </c>
      <c r="F169" s="86">
        <v>364057.42</v>
      </c>
      <c r="G169" s="86">
        <v>451681.07</v>
      </c>
    </row>
    <row r="170" spans="1:7" ht="14.25">
      <c r="A170" s="88"/>
      <c r="B170" s="88"/>
      <c r="C170" s="89" t="s">
        <v>104</v>
      </c>
      <c r="D170" s="84"/>
      <c r="E170" s="90">
        <v>2162461.45</v>
      </c>
      <c r="F170" s="90">
        <v>6636699.84</v>
      </c>
      <c r="G170" s="90">
        <v>8799161.29</v>
      </c>
    </row>
    <row r="171" spans="1:7" ht="14.25">
      <c r="A171" s="85" t="s">
        <v>23</v>
      </c>
      <c r="B171" s="85" t="s">
        <v>22</v>
      </c>
      <c r="C171" s="76" t="s">
        <v>19</v>
      </c>
      <c r="D171" s="84"/>
      <c r="E171" s="86">
        <v>288330.52</v>
      </c>
      <c r="F171" s="86">
        <v>806748.95</v>
      </c>
      <c r="G171" s="86">
        <v>1095079.47</v>
      </c>
    </row>
    <row r="172" spans="1:7" ht="14.25">
      <c r="A172" s="87"/>
      <c r="B172" s="87"/>
      <c r="C172" s="76" t="s">
        <v>21</v>
      </c>
      <c r="D172" s="84"/>
      <c r="E172" s="86">
        <v>285881.12</v>
      </c>
      <c r="F172" s="86">
        <v>937629.27</v>
      </c>
      <c r="G172" s="86">
        <v>1223510.39</v>
      </c>
    </row>
    <row r="173" spans="1:7" ht="14.25">
      <c r="A173" s="87"/>
      <c r="B173" s="87"/>
      <c r="C173" s="76" t="s">
        <v>18</v>
      </c>
      <c r="D173" s="84"/>
      <c r="E173" s="86">
        <v>9148.23</v>
      </c>
      <c r="F173" s="86">
        <v>7610.82</v>
      </c>
      <c r="G173" s="86">
        <v>16759.05</v>
      </c>
    </row>
    <row r="174" spans="1:7" ht="14.25">
      <c r="A174" s="87"/>
      <c r="B174" s="87"/>
      <c r="C174" s="76" t="s">
        <v>20</v>
      </c>
      <c r="D174" s="84"/>
      <c r="E174" s="86" t="s">
        <v>140</v>
      </c>
      <c r="F174" s="86">
        <v>60930</v>
      </c>
      <c r="G174" s="86">
        <v>60930</v>
      </c>
    </row>
    <row r="175" spans="1:7" ht="14.25">
      <c r="A175" s="87"/>
      <c r="B175" s="87"/>
      <c r="C175" s="76" t="s">
        <v>17</v>
      </c>
      <c r="D175" s="84"/>
      <c r="E175" s="86">
        <v>261821.58</v>
      </c>
      <c r="F175" s="86">
        <v>169824.48</v>
      </c>
      <c r="G175" s="86">
        <v>431646.06</v>
      </c>
    </row>
    <row r="176" spans="1:7" ht="14.25">
      <c r="A176" s="87"/>
      <c r="B176" s="87"/>
      <c r="C176" s="76" t="s">
        <v>16</v>
      </c>
      <c r="D176" s="84"/>
      <c r="E176" s="86">
        <v>158980.96</v>
      </c>
      <c r="F176" s="86">
        <v>4097640.44</v>
      </c>
      <c r="G176" s="86">
        <v>4256621.4</v>
      </c>
    </row>
    <row r="177" spans="1:7" ht="14.25">
      <c r="A177" s="87"/>
      <c r="B177" s="87"/>
      <c r="C177" s="76" t="s">
        <v>15</v>
      </c>
      <c r="D177" s="84"/>
      <c r="E177" s="86">
        <v>73.92</v>
      </c>
      <c r="F177" s="86">
        <v>200</v>
      </c>
      <c r="G177" s="86">
        <v>273.92</v>
      </c>
    </row>
    <row r="178" spans="1:7" ht="14.25">
      <c r="A178" s="88"/>
      <c r="B178" s="88"/>
      <c r="C178" s="89" t="s">
        <v>104</v>
      </c>
      <c r="D178" s="84"/>
      <c r="E178" s="90">
        <v>1004236.33</v>
      </c>
      <c r="F178" s="90">
        <v>6080583.96</v>
      </c>
      <c r="G178" s="90">
        <v>7084820.29</v>
      </c>
    </row>
    <row r="179" spans="1:7" ht="12.75">
      <c r="A179" s="78" t="s">
        <v>95</v>
      </c>
      <c r="B179" s="91"/>
      <c r="C179" s="79"/>
      <c r="D179" s="84"/>
      <c r="E179" s="86">
        <v>5589392.86</v>
      </c>
      <c r="F179" s="86">
        <v>18329311.29</v>
      </c>
      <c r="G179" s="86">
        <v>23918704.15</v>
      </c>
    </row>
    <row r="180" ht="12.75">
      <c r="G180" s="105">
        <f>'[1]Steam'!G33+'[1]Hydro'!G117+'[1]Other'!G47</f>
        <v>23917688.14</v>
      </c>
    </row>
    <row r="181" ht="12.75">
      <c r="G181" s="116">
        <f>G179-G180</f>
        <v>1016.0099999979138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zoomScale="85" zoomScaleNormal="85" workbookViewId="0" topLeftCell="A1">
      <selection activeCell="J9" sqref="J9"/>
    </sheetView>
  </sheetViews>
  <sheetFormatPr defaultColWidth="9.00390625" defaultRowHeight="12.75"/>
  <cols>
    <col min="1" max="1" width="13.00390625" style="2" customWidth="1"/>
    <col min="2" max="2" width="30.75390625" style="2" bestFit="1" customWidth="1"/>
    <col min="3" max="3" width="8.375" style="2" customWidth="1"/>
    <col min="4" max="4" width="16.25390625" style="2" bestFit="1" customWidth="1"/>
    <col min="5" max="5" width="17.00390625" style="2" bestFit="1" customWidth="1"/>
    <col min="6" max="7" width="13.125" style="2" bestFit="1" customWidth="1"/>
    <col min="8" max="16384" width="9.125" style="2" customWidth="1"/>
  </cols>
  <sheetData>
    <row r="1" spans="1:7" ht="28.5" customHeight="1">
      <c r="A1" s="234" t="s">
        <v>38</v>
      </c>
      <c r="B1" s="234"/>
      <c r="C1" s="234"/>
      <c r="D1" s="234"/>
      <c r="E1" s="234"/>
      <c r="F1" s="234"/>
      <c r="G1" s="234"/>
    </row>
    <row r="3" ht="25.5">
      <c r="A3" s="76" t="s">
        <v>49</v>
      </c>
    </row>
    <row r="5" spans="1:7" ht="12.75">
      <c r="A5" s="96"/>
      <c r="B5" s="97"/>
      <c r="C5" s="98"/>
      <c r="D5" s="77"/>
      <c r="E5" s="78" t="s">
        <v>48</v>
      </c>
      <c r="F5" s="91"/>
      <c r="G5" s="79"/>
    </row>
    <row r="6" spans="1:7" ht="14.25">
      <c r="A6" s="80"/>
      <c r="B6" s="81"/>
      <c r="C6" s="82"/>
      <c r="D6" s="83" t="s">
        <v>36</v>
      </c>
      <c r="E6" s="83" t="s">
        <v>47</v>
      </c>
      <c r="F6" s="83" t="s">
        <v>35</v>
      </c>
      <c r="G6" s="77" t="s">
        <v>95</v>
      </c>
    </row>
    <row r="7" spans="1:7" ht="14.25">
      <c r="A7" s="83" t="s">
        <v>73</v>
      </c>
      <c r="B7" s="83" t="s">
        <v>96</v>
      </c>
      <c r="C7" s="76" t="s">
        <v>97</v>
      </c>
      <c r="D7" s="84"/>
      <c r="E7" s="84"/>
      <c r="F7" s="84"/>
      <c r="G7" s="84"/>
    </row>
    <row r="8" spans="1:7" ht="14.25">
      <c r="A8" s="146" t="s">
        <v>108</v>
      </c>
      <c r="B8" s="146" t="s">
        <v>109</v>
      </c>
      <c r="C8" s="76" t="s">
        <v>8</v>
      </c>
      <c r="D8" s="84"/>
      <c r="E8" s="86">
        <v>488.77</v>
      </c>
      <c r="F8" s="86">
        <v>58008.37</v>
      </c>
      <c r="G8" s="86">
        <v>58497.14</v>
      </c>
    </row>
    <row r="9" spans="1:8" ht="14.25">
      <c r="A9" s="88"/>
      <c r="B9" s="88"/>
      <c r="C9" s="89" t="s">
        <v>104</v>
      </c>
      <c r="D9" s="84"/>
      <c r="E9" s="90">
        <v>488.77</v>
      </c>
      <c r="F9" s="90">
        <v>58008.37</v>
      </c>
      <c r="G9" s="133">
        <v>58497.14</v>
      </c>
      <c r="H9" s="2" t="s">
        <v>173</v>
      </c>
    </row>
    <row r="10" spans="1:7" ht="14.25">
      <c r="A10" s="146" t="s">
        <v>14</v>
      </c>
      <c r="B10" s="146" t="s">
        <v>13</v>
      </c>
      <c r="C10" s="76" t="s">
        <v>1</v>
      </c>
      <c r="D10" s="84"/>
      <c r="E10" s="86">
        <v>1003.69</v>
      </c>
      <c r="F10" s="86">
        <v>1203.68</v>
      </c>
      <c r="G10" s="86">
        <v>2207.37</v>
      </c>
    </row>
    <row r="11" spans="1:7" ht="14.25">
      <c r="A11" s="87"/>
      <c r="B11" s="87"/>
      <c r="C11" s="76" t="s">
        <v>0</v>
      </c>
      <c r="D11" s="84"/>
      <c r="E11" s="86">
        <v>93642.72</v>
      </c>
      <c r="F11" s="86">
        <v>108966.1</v>
      </c>
      <c r="G11" s="86">
        <v>202608.82</v>
      </c>
    </row>
    <row r="12" spans="1:7" ht="14.25">
      <c r="A12" s="87"/>
      <c r="B12" s="87"/>
      <c r="C12" s="76" t="s">
        <v>10</v>
      </c>
      <c r="D12" s="84"/>
      <c r="E12" s="86">
        <v>0</v>
      </c>
      <c r="F12" s="86">
        <v>-40.53</v>
      </c>
      <c r="G12" s="86">
        <v>-40.53</v>
      </c>
    </row>
    <row r="13" spans="1:7" ht="14.25">
      <c r="A13" s="87"/>
      <c r="B13" s="87"/>
      <c r="C13" s="76" t="s">
        <v>9</v>
      </c>
      <c r="D13" s="84"/>
      <c r="E13" s="86">
        <v>36450.32</v>
      </c>
      <c r="F13" s="86">
        <v>89995.05</v>
      </c>
      <c r="G13" s="86">
        <v>126445.37</v>
      </c>
    </row>
    <row r="14" spans="1:7" ht="14.25">
      <c r="A14" s="87"/>
      <c r="B14" s="87"/>
      <c r="C14" s="76" t="s">
        <v>8</v>
      </c>
      <c r="D14" s="84"/>
      <c r="E14" s="86">
        <v>67472.92</v>
      </c>
      <c r="F14" s="86">
        <v>181187.26</v>
      </c>
      <c r="G14" s="86">
        <v>248660.18</v>
      </c>
    </row>
    <row r="15" spans="1:7" ht="14.25">
      <c r="A15" s="87"/>
      <c r="B15" s="87"/>
      <c r="C15" s="76" t="s">
        <v>6</v>
      </c>
      <c r="D15" s="84"/>
      <c r="E15" s="86">
        <v>648.26</v>
      </c>
      <c r="F15" s="86">
        <v>2364.93</v>
      </c>
      <c r="G15" s="86">
        <v>3013.19</v>
      </c>
    </row>
    <row r="16" spans="1:7" ht="14.25">
      <c r="A16" s="87"/>
      <c r="B16" s="87"/>
      <c r="C16" s="76" t="s">
        <v>5</v>
      </c>
      <c r="D16" s="84"/>
      <c r="E16" s="86">
        <v>10356.8</v>
      </c>
      <c r="F16" s="86">
        <v>37556.42</v>
      </c>
      <c r="G16" s="86">
        <v>47913.22</v>
      </c>
    </row>
    <row r="17" spans="1:7" ht="14.25">
      <c r="A17" s="87"/>
      <c r="B17" s="87"/>
      <c r="C17" s="76" t="s">
        <v>4</v>
      </c>
      <c r="D17" s="84"/>
      <c r="E17" s="86">
        <v>77353.94</v>
      </c>
      <c r="F17" s="86">
        <v>449189.92</v>
      </c>
      <c r="G17" s="86">
        <v>526543.86</v>
      </c>
    </row>
    <row r="18" spans="1:7" ht="14.25">
      <c r="A18" s="87"/>
      <c r="B18" s="87"/>
      <c r="C18" s="76" t="s">
        <v>3</v>
      </c>
      <c r="D18" s="84"/>
      <c r="E18" s="86">
        <v>61192.6</v>
      </c>
      <c r="F18" s="86">
        <v>65232.58</v>
      </c>
      <c r="G18" s="86">
        <v>126425.18</v>
      </c>
    </row>
    <row r="19" spans="1:7" ht="14.25">
      <c r="A19" s="87"/>
      <c r="B19" s="87"/>
      <c r="C19" s="76" t="s">
        <v>2</v>
      </c>
      <c r="D19" s="84"/>
      <c r="E19" s="86">
        <v>19576.56</v>
      </c>
      <c r="F19" s="86">
        <v>52930.46</v>
      </c>
      <c r="G19" s="86">
        <v>72507.02</v>
      </c>
    </row>
    <row r="20" spans="1:7" ht="14.25">
      <c r="A20" s="88"/>
      <c r="B20" s="88"/>
      <c r="C20" s="89" t="s">
        <v>104</v>
      </c>
      <c r="D20" s="84"/>
      <c r="E20" s="90">
        <v>367697.81</v>
      </c>
      <c r="F20" s="90">
        <v>988585.87</v>
      </c>
      <c r="G20" s="133">
        <v>1356283.68</v>
      </c>
    </row>
    <row r="21" spans="1:7" ht="14.25">
      <c r="A21" s="100" t="s">
        <v>12</v>
      </c>
      <c r="B21" s="100" t="s">
        <v>11</v>
      </c>
      <c r="C21" s="76" t="s">
        <v>1</v>
      </c>
      <c r="D21" s="84"/>
      <c r="E21" s="86">
        <v>16549.78</v>
      </c>
      <c r="F21" s="86">
        <v>83646.51</v>
      </c>
      <c r="G21" s="86">
        <v>100196.29</v>
      </c>
    </row>
    <row r="22" spans="1:7" ht="14.25">
      <c r="A22" s="87"/>
      <c r="B22" s="87"/>
      <c r="C22" s="76" t="s">
        <v>0</v>
      </c>
      <c r="D22" s="84"/>
      <c r="E22" s="86">
        <v>87972.54</v>
      </c>
      <c r="F22" s="86">
        <v>287350.53</v>
      </c>
      <c r="G22" s="86">
        <v>375323.07</v>
      </c>
    </row>
    <row r="23" spans="1:7" ht="14.25">
      <c r="A23" s="87"/>
      <c r="B23" s="87"/>
      <c r="C23" s="76" t="s">
        <v>10</v>
      </c>
      <c r="D23" s="84"/>
      <c r="E23" s="86">
        <v>317082.54</v>
      </c>
      <c r="F23" s="86">
        <v>993563</v>
      </c>
      <c r="G23" s="86">
        <v>1310645.54</v>
      </c>
    </row>
    <row r="24" spans="1:7" ht="14.25">
      <c r="A24" s="87"/>
      <c r="B24" s="87"/>
      <c r="C24" s="76" t="s">
        <v>9</v>
      </c>
      <c r="D24" s="84"/>
      <c r="E24" s="86">
        <v>12878.2</v>
      </c>
      <c r="F24" s="86">
        <v>16490.55</v>
      </c>
      <c r="G24" s="86">
        <v>29368.75</v>
      </c>
    </row>
    <row r="25" spans="1:7" ht="14.25">
      <c r="A25" s="87"/>
      <c r="B25" s="87"/>
      <c r="C25" s="76" t="s">
        <v>8</v>
      </c>
      <c r="D25" s="84"/>
      <c r="E25" s="86">
        <v>442801.06</v>
      </c>
      <c r="F25" s="86">
        <v>1253019.87</v>
      </c>
      <c r="G25" s="86">
        <v>1695820.93</v>
      </c>
    </row>
    <row r="26" spans="1:7" ht="14.25">
      <c r="A26" s="87"/>
      <c r="B26" s="87"/>
      <c r="C26" s="76" t="s">
        <v>7</v>
      </c>
      <c r="D26" s="84"/>
      <c r="E26" s="86">
        <v>14921.22</v>
      </c>
      <c r="F26" s="86">
        <v>32242.96</v>
      </c>
      <c r="G26" s="86">
        <v>47164.18</v>
      </c>
    </row>
    <row r="27" spans="1:7" ht="14.25">
      <c r="A27" s="87"/>
      <c r="B27" s="87"/>
      <c r="C27" s="76" t="s">
        <v>6</v>
      </c>
      <c r="D27" s="84"/>
      <c r="E27" s="86">
        <v>86442.41</v>
      </c>
      <c r="F27" s="86">
        <v>269647.9</v>
      </c>
      <c r="G27" s="86">
        <v>356090.31</v>
      </c>
    </row>
    <row r="28" spans="1:7" ht="14.25">
      <c r="A28" s="87"/>
      <c r="B28" s="87"/>
      <c r="C28" s="76" t="s">
        <v>5</v>
      </c>
      <c r="D28" s="84"/>
      <c r="E28" s="86">
        <v>127259.56</v>
      </c>
      <c r="F28" s="86">
        <v>305703.83</v>
      </c>
      <c r="G28" s="86">
        <v>432963.39</v>
      </c>
    </row>
    <row r="29" spans="1:7" ht="14.25">
      <c r="A29" s="87"/>
      <c r="B29" s="87"/>
      <c r="C29" s="76" t="s">
        <v>4</v>
      </c>
      <c r="D29" s="84"/>
      <c r="E29" s="86">
        <v>879326.15</v>
      </c>
      <c r="F29" s="86">
        <v>2781868.54</v>
      </c>
      <c r="G29" s="86">
        <v>3661194.69</v>
      </c>
    </row>
    <row r="30" spans="1:7" ht="14.25">
      <c r="A30" s="87"/>
      <c r="B30" s="87"/>
      <c r="C30" s="76" t="s">
        <v>3</v>
      </c>
      <c r="D30" s="84"/>
      <c r="E30" s="86">
        <v>89604.34</v>
      </c>
      <c r="F30" s="86">
        <v>249108.73</v>
      </c>
      <c r="G30" s="86">
        <v>338713.07</v>
      </c>
    </row>
    <row r="31" spans="1:7" ht="14.25">
      <c r="A31" s="87"/>
      <c r="B31" s="87"/>
      <c r="C31" s="76" t="s">
        <v>2</v>
      </c>
      <c r="D31" s="84"/>
      <c r="E31" s="86">
        <v>87623.65</v>
      </c>
      <c r="F31" s="86">
        <v>364057.42</v>
      </c>
      <c r="G31" s="86">
        <v>451681.07</v>
      </c>
    </row>
    <row r="32" spans="1:7" ht="14.25">
      <c r="A32" s="88"/>
      <c r="B32" s="88"/>
      <c r="C32" s="89" t="s">
        <v>104</v>
      </c>
      <c r="D32" s="84"/>
      <c r="E32" s="90">
        <v>2162461.45</v>
      </c>
      <c r="F32" s="90">
        <v>6636699.84</v>
      </c>
      <c r="G32" s="102">
        <v>8799161.29</v>
      </c>
    </row>
    <row r="33" spans="1:7" ht="12.75">
      <c r="A33" s="78" t="s">
        <v>95</v>
      </c>
      <c r="B33" s="91"/>
      <c r="C33" s="79"/>
      <c r="D33" s="84"/>
      <c r="E33" s="86">
        <v>2530648.03</v>
      </c>
      <c r="F33" s="86">
        <v>7683294.08</v>
      </c>
      <c r="G33" s="86">
        <v>10213942.11</v>
      </c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9"/>
  <sheetViews>
    <sheetView zoomScale="85" zoomScaleNormal="85" workbookViewId="0" topLeftCell="A101">
      <selection activeCell="G119" sqref="G119"/>
    </sheetView>
  </sheetViews>
  <sheetFormatPr defaultColWidth="9.00390625" defaultRowHeight="12.75"/>
  <cols>
    <col min="1" max="1" width="15.625" style="2" customWidth="1"/>
    <col min="2" max="2" width="35.00390625" style="2" bestFit="1" customWidth="1"/>
    <col min="3" max="3" width="8.375" style="2" customWidth="1"/>
    <col min="4" max="4" width="16.25390625" style="2" bestFit="1" customWidth="1"/>
    <col min="5" max="5" width="17.00390625" style="2" bestFit="1" customWidth="1"/>
    <col min="6" max="7" width="13.125" style="2" bestFit="1" customWidth="1"/>
    <col min="8" max="8" width="12.375" style="2" customWidth="1"/>
    <col min="9" max="16384" width="9.125" style="2" customWidth="1"/>
  </cols>
  <sheetData>
    <row r="1" spans="1:6" ht="33" customHeight="1">
      <c r="A1" s="234" t="s">
        <v>39</v>
      </c>
      <c r="B1" s="234"/>
      <c r="C1" s="234"/>
      <c r="D1" s="234"/>
      <c r="E1" s="234"/>
      <c r="F1" s="234"/>
    </row>
    <row r="3" ht="25.5">
      <c r="A3" s="76" t="s">
        <v>49</v>
      </c>
    </row>
    <row r="5" spans="1:7" ht="12.75">
      <c r="A5" s="96"/>
      <c r="B5" s="97"/>
      <c r="C5" s="98"/>
      <c r="D5" s="77"/>
      <c r="E5" s="78" t="s">
        <v>48</v>
      </c>
      <c r="F5" s="91"/>
      <c r="G5" s="79"/>
    </row>
    <row r="6" spans="1:7" ht="14.25">
      <c r="A6" s="80"/>
      <c r="B6" s="81"/>
      <c r="C6" s="82"/>
      <c r="D6" s="83" t="s">
        <v>36</v>
      </c>
      <c r="E6" s="83" t="s">
        <v>47</v>
      </c>
      <c r="F6" s="83" t="s">
        <v>35</v>
      </c>
      <c r="G6" s="77" t="s">
        <v>95</v>
      </c>
    </row>
    <row r="7" spans="1:7" ht="14.25">
      <c r="A7" s="83" t="s">
        <v>73</v>
      </c>
      <c r="B7" s="83" t="s">
        <v>96</v>
      </c>
      <c r="C7" s="76" t="s">
        <v>97</v>
      </c>
      <c r="D7" s="84"/>
      <c r="E7" s="84"/>
      <c r="F7" s="84"/>
      <c r="G7" s="84"/>
    </row>
    <row r="8" spans="1:7" ht="14.25">
      <c r="A8" s="120" t="s">
        <v>98</v>
      </c>
      <c r="B8" s="120" t="s">
        <v>99</v>
      </c>
      <c r="C8" s="76" t="s">
        <v>100</v>
      </c>
      <c r="D8" s="84"/>
      <c r="E8" s="86" t="s">
        <v>140</v>
      </c>
      <c r="F8" s="86">
        <v>363.31</v>
      </c>
      <c r="G8" s="86">
        <v>363.31</v>
      </c>
    </row>
    <row r="9" spans="1:7" ht="14.25">
      <c r="A9" s="87"/>
      <c r="B9" s="87"/>
      <c r="C9" s="106" t="s">
        <v>101</v>
      </c>
      <c r="D9" s="84"/>
      <c r="E9" s="86">
        <v>388174.33</v>
      </c>
      <c r="F9" s="86">
        <v>1160069.5</v>
      </c>
      <c r="G9" s="99">
        <v>1548243.83</v>
      </c>
    </row>
    <row r="10" spans="1:7" ht="14.25">
      <c r="A10" s="87"/>
      <c r="B10" s="87"/>
      <c r="C10" s="106" t="s">
        <v>102</v>
      </c>
      <c r="D10" s="84"/>
      <c r="E10" s="86">
        <v>20430.22</v>
      </c>
      <c r="F10" s="86">
        <v>61056.32</v>
      </c>
      <c r="G10" s="99">
        <v>81486.54</v>
      </c>
    </row>
    <row r="11" spans="1:7" ht="14.25">
      <c r="A11" s="87"/>
      <c r="B11" s="87"/>
      <c r="C11" s="76" t="s">
        <v>103</v>
      </c>
      <c r="D11" s="84"/>
      <c r="E11" s="86" t="s">
        <v>140</v>
      </c>
      <c r="F11" s="86">
        <v>28.33</v>
      </c>
      <c r="G11" s="86">
        <v>28.33</v>
      </c>
    </row>
    <row r="12" spans="1:7" ht="14.25">
      <c r="A12" s="88"/>
      <c r="B12" s="88"/>
      <c r="C12" s="89" t="s">
        <v>104</v>
      </c>
      <c r="D12" s="84"/>
      <c r="E12" s="90">
        <v>408604.55</v>
      </c>
      <c r="F12" s="90">
        <v>1221517.46</v>
      </c>
      <c r="G12" s="119">
        <v>1630122.01</v>
      </c>
    </row>
    <row r="13" spans="1:7" ht="14.25">
      <c r="A13" s="120" t="s">
        <v>105</v>
      </c>
      <c r="B13" s="120" t="s">
        <v>106</v>
      </c>
      <c r="C13" s="106" t="s">
        <v>101</v>
      </c>
      <c r="D13" s="84"/>
      <c r="E13" s="86">
        <v>121558.2</v>
      </c>
      <c r="F13" s="86">
        <v>364674.6</v>
      </c>
      <c r="G13" s="99">
        <v>486232.8</v>
      </c>
    </row>
    <row r="14" spans="1:7" ht="14.25">
      <c r="A14" s="87"/>
      <c r="B14" s="87"/>
      <c r="C14" s="106" t="s">
        <v>102</v>
      </c>
      <c r="D14" s="84"/>
      <c r="E14" s="86">
        <v>6397.8</v>
      </c>
      <c r="F14" s="86">
        <v>19193.4</v>
      </c>
      <c r="G14" s="99">
        <v>25591.2</v>
      </c>
    </row>
    <row r="15" spans="1:7" ht="14.25">
      <c r="A15" s="88"/>
      <c r="B15" s="88"/>
      <c r="C15" s="89" t="s">
        <v>104</v>
      </c>
      <c r="D15" s="84"/>
      <c r="E15" s="90">
        <v>127956</v>
      </c>
      <c r="F15" s="90">
        <v>383868</v>
      </c>
      <c r="G15" s="119">
        <v>511824</v>
      </c>
    </row>
    <row r="16" spans="1:7" ht="14.25">
      <c r="A16" s="120" t="s">
        <v>108</v>
      </c>
      <c r="B16" s="120" t="s">
        <v>109</v>
      </c>
      <c r="C16" s="76" t="s">
        <v>100</v>
      </c>
      <c r="D16" s="84"/>
      <c r="E16" s="86">
        <v>74369.49</v>
      </c>
      <c r="F16" s="86">
        <v>183147.43</v>
      </c>
      <c r="G16" s="86">
        <v>257516.92</v>
      </c>
    </row>
    <row r="17" spans="1:7" ht="14.25">
      <c r="A17" s="87"/>
      <c r="B17" s="87"/>
      <c r="C17" s="76" t="s">
        <v>110</v>
      </c>
      <c r="D17" s="84"/>
      <c r="E17" s="86">
        <v>186533.5</v>
      </c>
      <c r="F17" s="86">
        <v>544631.44</v>
      </c>
      <c r="G17" s="86">
        <v>731164.94</v>
      </c>
    </row>
    <row r="18" spans="1:7" ht="14.25">
      <c r="A18" s="87"/>
      <c r="B18" s="87"/>
      <c r="C18" s="76" t="s">
        <v>111</v>
      </c>
      <c r="D18" s="84"/>
      <c r="E18" s="86">
        <v>63691.97</v>
      </c>
      <c r="F18" s="86">
        <v>136534.22</v>
      </c>
      <c r="G18" s="86">
        <v>200226.19</v>
      </c>
    </row>
    <row r="19" spans="1:7" ht="14.25">
      <c r="A19" s="87"/>
      <c r="B19" s="87"/>
      <c r="C19" s="76" t="s">
        <v>101</v>
      </c>
      <c r="D19" s="84"/>
      <c r="E19" s="86">
        <v>1708.4</v>
      </c>
      <c r="F19" s="86">
        <v>10092.23</v>
      </c>
      <c r="G19" s="86">
        <v>11800.63</v>
      </c>
    </row>
    <row r="20" spans="1:8" ht="14.25">
      <c r="A20" s="87"/>
      <c r="B20" s="87"/>
      <c r="C20" s="76" t="s">
        <v>102</v>
      </c>
      <c r="D20" s="84"/>
      <c r="E20" s="86">
        <v>23359.48</v>
      </c>
      <c r="F20" s="86">
        <v>24085.22</v>
      </c>
      <c r="G20" s="86">
        <v>47444.7</v>
      </c>
      <c r="H20" s="108">
        <f>G9+G10+G13+G14</f>
        <v>2141554.37</v>
      </c>
    </row>
    <row r="21" spans="1:8" ht="14.25">
      <c r="A21" s="87"/>
      <c r="B21" s="87"/>
      <c r="C21" s="76" t="s">
        <v>112</v>
      </c>
      <c r="D21" s="84"/>
      <c r="E21" s="86">
        <v>2283.08</v>
      </c>
      <c r="F21" s="86">
        <v>11095.16</v>
      </c>
      <c r="G21" s="86">
        <v>13378.24</v>
      </c>
      <c r="H21" s="128" t="s">
        <v>44</v>
      </c>
    </row>
    <row r="22" spans="1:7" ht="14.25">
      <c r="A22" s="87"/>
      <c r="B22" s="87"/>
      <c r="C22" s="76" t="s">
        <v>113</v>
      </c>
      <c r="D22" s="84"/>
      <c r="E22" s="86">
        <v>17766.41</v>
      </c>
      <c r="F22" s="86">
        <v>28065.62</v>
      </c>
      <c r="G22" s="86">
        <v>45832.03</v>
      </c>
    </row>
    <row r="23" spans="1:7" ht="14.25">
      <c r="A23" s="87"/>
      <c r="B23" s="87"/>
      <c r="C23" s="76" t="s">
        <v>107</v>
      </c>
      <c r="D23" s="84"/>
      <c r="E23" s="86" t="s">
        <v>140</v>
      </c>
      <c r="F23" s="86">
        <v>71307.64</v>
      </c>
      <c r="G23" s="86">
        <v>71307.64</v>
      </c>
    </row>
    <row r="24" spans="1:7" ht="14.25">
      <c r="A24" s="87"/>
      <c r="B24" s="87"/>
      <c r="C24" s="76" t="s">
        <v>103</v>
      </c>
      <c r="D24" s="84"/>
      <c r="E24" s="86">
        <v>714.79</v>
      </c>
      <c r="F24" s="86">
        <v>3594.11</v>
      </c>
      <c r="G24" s="86">
        <v>4308.9</v>
      </c>
    </row>
    <row r="25" spans="1:7" ht="14.25">
      <c r="A25" s="87"/>
      <c r="B25" s="87"/>
      <c r="C25" s="76" t="s">
        <v>114</v>
      </c>
      <c r="D25" s="84"/>
      <c r="E25" s="86">
        <v>2176.57</v>
      </c>
      <c r="F25" s="86">
        <v>659.06</v>
      </c>
      <c r="G25" s="86">
        <v>2835.63</v>
      </c>
    </row>
    <row r="26" spans="1:7" ht="14.25">
      <c r="A26" s="87"/>
      <c r="B26" s="87"/>
      <c r="C26" s="76" t="s">
        <v>115</v>
      </c>
      <c r="D26" s="84"/>
      <c r="E26" s="86">
        <v>154.98</v>
      </c>
      <c r="F26" s="86">
        <v>1556.4</v>
      </c>
      <c r="G26" s="86">
        <v>1711.38</v>
      </c>
    </row>
    <row r="27" spans="1:7" ht="14.25">
      <c r="A27" s="87"/>
      <c r="B27" s="87"/>
      <c r="C27" s="76" t="s">
        <v>116</v>
      </c>
      <c r="D27" s="84"/>
      <c r="E27" s="86">
        <v>24927.04</v>
      </c>
      <c r="F27" s="86">
        <v>69867</v>
      </c>
      <c r="G27" s="86">
        <v>94794.04</v>
      </c>
    </row>
    <row r="28" spans="1:7" ht="14.25">
      <c r="A28" s="87"/>
      <c r="B28" s="87"/>
      <c r="C28" s="76" t="s">
        <v>117</v>
      </c>
      <c r="D28" s="84"/>
      <c r="E28" s="86">
        <v>4345.36</v>
      </c>
      <c r="F28" s="86">
        <v>33766.14</v>
      </c>
      <c r="G28" s="86">
        <v>38111.5</v>
      </c>
    </row>
    <row r="29" spans="1:7" ht="14.25">
      <c r="A29" s="88"/>
      <c r="B29" s="88"/>
      <c r="C29" s="89" t="s">
        <v>104</v>
      </c>
      <c r="D29" s="84"/>
      <c r="E29" s="90">
        <v>402031.07</v>
      </c>
      <c r="F29" s="90">
        <v>1118401.67</v>
      </c>
      <c r="G29" s="119">
        <v>1520432.74</v>
      </c>
    </row>
    <row r="30" spans="1:7" ht="14.25">
      <c r="A30" s="122" t="s">
        <v>118</v>
      </c>
      <c r="B30" s="122" t="s">
        <v>119</v>
      </c>
      <c r="C30" s="76" t="s">
        <v>113</v>
      </c>
      <c r="D30" s="84"/>
      <c r="E30" s="86" t="s">
        <v>140</v>
      </c>
      <c r="F30" s="86">
        <v>3052.43</v>
      </c>
      <c r="G30" s="86">
        <v>3052.43</v>
      </c>
    </row>
    <row r="31" spans="1:7" ht="14.25">
      <c r="A31" s="88"/>
      <c r="B31" s="88"/>
      <c r="C31" s="89" t="s">
        <v>104</v>
      </c>
      <c r="D31" s="84"/>
      <c r="E31" s="90"/>
      <c r="F31" s="90">
        <v>3052.43</v>
      </c>
      <c r="G31" s="123">
        <v>3052.43</v>
      </c>
    </row>
    <row r="32" spans="1:7" ht="14.25">
      <c r="A32" s="122" t="s">
        <v>120</v>
      </c>
      <c r="B32" s="122" t="s">
        <v>121</v>
      </c>
      <c r="C32" s="76" t="s">
        <v>100</v>
      </c>
      <c r="D32" s="84"/>
      <c r="E32" s="86">
        <v>9.71</v>
      </c>
      <c r="F32" s="86" t="s">
        <v>140</v>
      </c>
      <c r="G32" s="86">
        <v>9.71</v>
      </c>
    </row>
    <row r="33" spans="1:7" ht="14.25">
      <c r="A33" s="87"/>
      <c r="B33" s="87"/>
      <c r="C33" s="76" t="s">
        <v>110</v>
      </c>
      <c r="D33" s="84"/>
      <c r="E33" s="86" t="s">
        <v>140</v>
      </c>
      <c r="F33" s="86">
        <v>40.16</v>
      </c>
      <c r="G33" s="86">
        <v>40.16</v>
      </c>
    </row>
    <row r="34" spans="1:7" ht="14.25">
      <c r="A34" s="87"/>
      <c r="B34" s="87"/>
      <c r="C34" s="76" t="s">
        <v>111</v>
      </c>
      <c r="D34" s="84"/>
      <c r="E34" s="86">
        <v>1118.32</v>
      </c>
      <c r="F34" s="86">
        <v>2277.65</v>
      </c>
      <c r="G34" s="86">
        <v>3395.97</v>
      </c>
    </row>
    <row r="35" spans="1:7" ht="14.25">
      <c r="A35" s="87"/>
      <c r="B35" s="87"/>
      <c r="C35" s="76" t="s">
        <v>112</v>
      </c>
      <c r="D35" s="84"/>
      <c r="E35" s="86" t="s">
        <v>140</v>
      </c>
      <c r="F35" s="86">
        <v>342.65</v>
      </c>
      <c r="G35" s="86">
        <v>342.65</v>
      </c>
    </row>
    <row r="36" spans="1:7" ht="14.25">
      <c r="A36" s="87"/>
      <c r="B36" s="87"/>
      <c r="C36" s="76" t="s">
        <v>113</v>
      </c>
      <c r="D36" s="84"/>
      <c r="E36" s="86">
        <v>1822.36</v>
      </c>
      <c r="F36" s="86">
        <v>9999.9</v>
      </c>
      <c r="G36" s="86">
        <v>11822.26</v>
      </c>
    </row>
    <row r="37" spans="1:7" ht="14.25">
      <c r="A37" s="87"/>
      <c r="B37" s="87"/>
      <c r="C37" s="76" t="s">
        <v>103</v>
      </c>
      <c r="D37" s="84"/>
      <c r="E37" s="86">
        <v>160.36</v>
      </c>
      <c r="F37" s="86">
        <v>38.9</v>
      </c>
      <c r="G37" s="86">
        <v>199.26</v>
      </c>
    </row>
    <row r="38" spans="1:7" ht="14.25">
      <c r="A38" s="87"/>
      <c r="B38" s="87"/>
      <c r="C38" s="76" t="s">
        <v>114</v>
      </c>
      <c r="D38" s="84"/>
      <c r="E38" s="86" t="s">
        <v>140</v>
      </c>
      <c r="F38" s="86">
        <v>345.51</v>
      </c>
      <c r="G38" s="86">
        <v>345.51</v>
      </c>
    </row>
    <row r="39" spans="1:7" ht="14.25">
      <c r="A39" s="87"/>
      <c r="B39" s="87"/>
      <c r="C39" s="76" t="s">
        <v>115</v>
      </c>
      <c r="D39" s="84"/>
      <c r="E39" s="86">
        <v>2185.9</v>
      </c>
      <c r="F39" s="86">
        <v>18707.58</v>
      </c>
      <c r="G39" s="86">
        <v>20893.48</v>
      </c>
    </row>
    <row r="40" spans="1:7" ht="14.25">
      <c r="A40" s="87"/>
      <c r="B40" s="87"/>
      <c r="C40" s="76" t="s">
        <v>116</v>
      </c>
      <c r="D40" s="84"/>
      <c r="E40" s="86">
        <v>272.79</v>
      </c>
      <c r="F40" s="86">
        <v>2491.61</v>
      </c>
      <c r="G40" s="86">
        <v>2764.4</v>
      </c>
    </row>
    <row r="41" spans="1:7" ht="14.25">
      <c r="A41" s="87"/>
      <c r="B41" s="87"/>
      <c r="C41" s="76" t="s">
        <v>117</v>
      </c>
      <c r="D41" s="84"/>
      <c r="E41" s="86">
        <v>1006.39</v>
      </c>
      <c r="F41" s="86">
        <v>489.51</v>
      </c>
      <c r="G41" s="86">
        <v>1495.9</v>
      </c>
    </row>
    <row r="42" spans="1:7" ht="14.25">
      <c r="A42" s="88"/>
      <c r="B42" s="88"/>
      <c r="C42" s="89" t="s">
        <v>104</v>
      </c>
      <c r="D42" s="84"/>
      <c r="E42" s="90">
        <v>6575.83</v>
      </c>
      <c r="F42" s="90">
        <v>34733.47</v>
      </c>
      <c r="G42" s="123">
        <v>41309.3</v>
      </c>
    </row>
    <row r="43" spans="1:7" ht="14.25">
      <c r="A43" s="100" t="s">
        <v>122</v>
      </c>
      <c r="B43" s="100" t="s">
        <v>123</v>
      </c>
      <c r="C43" s="76" t="s">
        <v>111</v>
      </c>
      <c r="D43" s="84"/>
      <c r="E43" s="86" t="s">
        <v>140</v>
      </c>
      <c r="F43" s="86">
        <v>5470.46</v>
      </c>
      <c r="G43" s="86">
        <v>5470.46</v>
      </c>
    </row>
    <row r="44" spans="1:7" ht="14.25">
      <c r="A44" s="87"/>
      <c r="B44" s="87"/>
      <c r="C44" s="76" t="s">
        <v>112</v>
      </c>
      <c r="D44" s="84"/>
      <c r="E44" s="86">
        <v>7880.59</v>
      </c>
      <c r="F44" s="86">
        <v>4940.79</v>
      </c>
      <c r="G44" s="86">
        <v>12821.38</v>
      </c>
    </row>
    <row r="45" spans="1:7" ht="14.25">
      <c r="A45" s="87"/>
      <c r="B45" s="87"/>
      <c r="C45" s="76" t="s">
        <v>113</v>
      </c>
      <c r="D45" s="84"/>
      <c r="E45" s="86">
        <v>3826.24</v>
      </c>
      <c r="F45" s="86">
        <v>6591.7</v>
      </c>
      <c r="G45" s="86">
        <v>10417.94</v>
      </c>
    </row>
    <row r="46" spans="1:8" ht="14.25">
      <c r="A46" s="87"/>
      <c r="B46" s="87"/>
      <c r="C46" s="106" t="s">
        <v>107</v>
      </c>
      <c r="D46" s="84"/>
      <c r="E46" s="86">
        <v>171468.99</v>
      </c>
      <c r="F46" s="86">
        <v>480428</v>
      </c>
      <c r="G46" s="99">
        <v>651896.99</v>
      </c>
      <c r="H46" s="109" t="s">
        <v>41</v>
      </c>
    </row>
    <row r="47" spans="1:7" ht="14.25">
      <c r="A47" s="87"/>
      <c r="B47" s="87"/>
      <c r="C47" s="76" t="s">
        <v>103</v>
      </c>
      <c r="D47" s="84"/>
      <c r="E47" s="86">
        <v>1699.65</v>
      </c>
      <c r="F47" s="86">
        <v>47805.63</v>
      </c>
      <c r="G47" s="86">
        <v>49505.28</v>
      </c>
    </row>
    <row r="48" spans="1:7" ht="14.25">
      <c r="A48" s="87"/>
      <c r="B48" s="87"/>
      <c r="C48" s="76" t="s">
        <v>114</v>
      </c>
      <c r="D48" s="84"/>
      <c r="E48" s="86" t="s">
        <v>140</v>
      </c>
      <c r="F48" s="86">
        <v>1121.92</v>
      </c>
      <c r="G48" s="86">
        <v>1121.92</v>
      </c>
    </row>
    <row r="49" spans="1:7" ht="14.25">
      <c r="A49" s="87"/>
      <c r="B49" s="87"/>
      <c r="C49" s="76" t="s">
        <v>115</v>
      </c>
      <c r="D49" s="84"/>
      <c r="E49" s="86">
        <v>177433.1</v>
      </c>
      <c r="F49" s="86">
        <v>8175.53</v>
      </c>
      <c r="G49" s="86">
        <v>185608.63</v>
      </c>
    </row>
    <row r="50" spans="1:7" ht="14.25">
      <c r="A50" s="87"/>
      <c r="B50" s="87"/>
      <c r="C50" s="76" t="s">
        <v>116</v>
      </c>
      <c r="D50" s="84"/>
      <c r="E50" s="86">
        <v>9979.95</v>
      </c>
      <c r="F50" s="86">
        <v>23706.42</v>
      </c>
      <c r="G50" s="86">
        <v>33686.37</v>
      </c>
    </row>
    <row r="51" spans="1:7" ht="14.25">
      <c r="A51" s="87"/>
      <c r="B51" s="87"/>
      <c r="C51" s="76" t="s">
        <v>117</v>
      </c>
      <c r="D51" s="84"/>
      <c r="E51" s="86">
        <v>775.02</v>
      </c>
      <c r="F51" s="86">
        <v>1358.93</v>
      </c>
      <c r="G51" s="86">
        <v>2133.95</v>
      </c>
    </row>
    <row r="52" spans="1:8" ht="14.25">
      <c r="A52" s="88"/>
      <c r="B52" s="88"/>
      <c r="C52" s="89" t="s">
        <v>104</v>
      </c>
      <c r="D52" s="84"/>
      <c r="E52" s="90">
        <v>373063.54</v>
      </c>
      <c r="F52" s="90">
        <v>579599.38</v>
      </c>
      <c r="G52" s="90">
        <v>952662.92</v>
      </c>
      <c r="H52" s="124">
        <f>G52-G46</f>
        <v>300765.93000000005</v>
      </c>
    </row>
    <row r="53" spans="1:7" ht="14.25">
      <c r="A53" s="122" t="s">
        <v>124</v>
      </c>
      <c r="B53" s="122" t="s">
        <v>125</v>
      </c>
      <c r="C53" s="76" t="s">
        <v>100</v>
      </c>
      <c r="D53" s="84"/>
      <c r="E53" s="86">
        <v>178.03</v>
      </c>
      <c r="F53" s="86">
        <v>138.04</v>
      </c>
      <c r="G53" s="86">
        <v>316.07</v>
      </c>
    </row>
    <row r="54" spans="1:7" ht="14.25">
      <c r="A54" s="87"/>
      <c r="B54" s="87"/>
      <c r="C54" s="76" t="s">
        <v>112</v>
      </c>
      <c r="D54" s="84"/>
      <c r="E54" s="86">
        <v>4485.19</v>
      </c>
      <c r="F54" s="86">
        <v>1760.53</v>
      </c>
      <c r="G54" s="86">
        <v>6245.72</v>
      </c>
    </row>
    <row r="55" spans="1:7" ht="14.25">
      <c r="A55" s="87"/>
      <c r="B55" s="87"/>
      <c r="C55" s="76" t="s">
        <v>113</v>
      </c>
      <c r="D55" s="84"/>
      <c r="E55" s="86">
        <v>10537.54</v>
      </c>
      <c r="F55" s="86">
        <v>27971.73</v>
      </c>
      <c r="G55" s="86">
        <v>38509.27</v>
      </c>
    </row>
    <row r="56" spans="1:7" ht="14.25">
      <c r="A56" s="87"/>
      <c r="B56" s="87"/>
      <c r="C56" s="76" t="s">
        <v>103</v>
      </c>
      <c r="D56" s="84"/>
      <c r="E56" s="86">
        <v>11417.5</v>
      </c>
      <c r="F56" s="86">
        <v>210.15</v>
      </c>
      <c r="G56" s="86">
        <v>11627.65</v>
      </c>
    </row>
    <row r="57" spans="1:7" ht="14.25">
      <c r="A57" s="87"/>
      <c r="B57" s="87"/>
      <c r="C57" s="76" t="s">
        <v>114</v>
      </c>
      <c r="D57" s="84"/>
      <c r="E57" s="86">
        <v>11615.96</v>
      </c>
      <c r="F57" s="86">
        <v>3862.05</v>
      </c>
      <c r="G57" s="86">
        <v>15478.01</v>
      </c>
    </row>
    <row r="58" spans="1:7" ht="14.25">
      <c r="A58" s="87"/>
      <c r="B58" s="87"/>
      <c r="C58" s="76" t="s">
        <v>115</v>
      </c>
      <c r="D58" s="84"/>
      <c r="E58" s="86">
        <v>3282.07</v>
      </c>
      <c r="F58" s="86">
        <v>1005.69</v>
      </c>
      <c r="G58" s="86">
        <v>4287.76</v>
      </c>
    </row>
    <row r="59" spans="1:7" ht="14.25">
      <c r="A59" s="87"/>
      <c r="B59" s="87"/>
      <c r="C59" s="76" t="s">
        <v>116</v>
      </c>
      <c r="D59" s="84"/>
      <c r="E59" s="86">
        <v>3241.15</v>
      </c>
      <c r="F59" s="86">
        <v>7719.59</v>
      </c>
      <c r="G59" s="86">
        <v>10960.74</v>
      </c>
    </row>
    <row r="60" spans="1:7" ht="14.25">
      <c r="A60" s="87"/>
      <c r="B60" s="87"/>
      <c r="C60" s="76" t="s">
        <v>117</v>
      </c>
      <c r="D60" s="84"/>
      <c r="E60" s="86">
        <v>2135.26</v>
      </c>
      <c r="F60" s="86">
        <v>500.12</v>
      </c>
      <c r="G60" s="86">
        <v>2635.38</v>
      </c>
    </row>
    <row r="61" spans="1:7" ht="14.25">
      <c r="A61" s="88"/>
      <c r="B61" s="88"/>
      <c r="C61" s="89" t="s">
        <v>104</v>
      </c>
      <c r="D61" s="84"/>
      <c r="E61" s="90">
        <v>46892.7</v>
      </c>
      <c r="F61" s="90">
        <v>43167.9</v>
      </c>
      <c r="G61" s="123">
        <v>90060.6</v>
      </c>
    </row>
    <row r="62" spans="1:7" ht="14.25">
      <c r="A62" s="122" t="s">
        <v>126</v>
      </c>
      <c r="B62" s="122" t="s">
        <v>127</v>
      </c>
      <c r="C62" s="76" t="s">
        <v>111</v>
      </c>
      <c r="D62" s="84"/>
      <c r="E62" s="86">
        <v>1023.28</v>
      </c>
      <c r="F62" s="86">
        <v>13775.07</v>
      </c>
      <c r="G62" s="86">
        <v>14798.35</v>
      </c>
    </row>
    <row r="63" spans="1:7" ht="14.25">
      <c r="A63" s="87"/>
      <c r="B63" s="87"/>
      <c r="C63" s="76" t="s">
        <v>112</v>
      </c>
      <c r="D63" s="84"/>
      <c r="E63" s="86" t="s">
        <v>140</v>
      </c>
      <c r="F63" s="86">
        <v>679.82</v>
      </c>
      <c r="G63" s="86">
        <v>679.82</v>
      </c>
    </row>
    <row r="64" spans="1:7" ht="14.25">
      <c r="A64" s="87"/>
      <c r="B64" s="87"/>
      <c r="C64" s="76" t="s">
        <v>113</v>
      </c>
      <c r="D64" s="84"/>
      <c r="E64" s="86">
        <v>7160.33</v>
      </c>
      <c r="F64" s="86">
        <v>22333.63</v>
      </c>
      <c r="G64" s="86">
        <v>29493.96</v>
      </c>
    </row>
    <row r="65" spans="1:7" ht="14.25">
      <c r="A65" s="87"/>
      <c r="B65" s="87"/>
      <c r="C65" s="76" t="s">
        <v>103</v>
      </c>
      <c r="D65" s="84"/>
      <c r="E65" s="86" t="s">
        <v>140</v>
      </c>
      <c r="F65" s="86">
        <v>58.54</v>
      </c>
      <c r="G65" s="86">
        <v>58.54</v>
      </c>
    </row>
    <row r="66" spans="1:7" ht="14.25">
      <c r="A66" s="87"/>
      <c r="B66" s="87"/>
      <c r="C66" s="76" t="s">
        <v>114</v>
      </c>
      <c r="D66" s="84"/>
      <c r="E66" s="86" t="s">
        <v>140</v>
      </c>
      <c r="F66" s="86">
        <v>480.34</v>
      </c>
      <c r="G66" s="86">
        <v>480.34</v>
      </c>
    </row>
    <row r="67" spans="1:7" ht="14.25">
      <c r="A67" s="87"/>
      <c r="B67" s="87"/>
      <c r="C67" s="76" t="s">
        <v>115</v>
      </c>
      <c r="D67" s="84"/>
      <c r="E67" s="86">
        <v>2111.18</v>
      </c>
      <c r="F67" s="86">
        <v>1746.06</v>
      </c>
      <c r="G67" s="86">
        <v>3857.24</v>
      </c>
    </row>
    <row r="68" spans="1:7" ht="14.25">
      <c r="A68" s="87"/>
      <c r="B68" s="87"/>
      <c r="C68" s="76" t="s">
        <v>116</v>
      </c>
      <c r="D68" s="84"/>
      <c r="E68" s="86" t="s">
        <v>140</v>
      </c>
      <c r="F68" s="86">
        <v>497.14</v>
      </c>
      <c r="G68" s="86">
        <v>497.14</v>
      </c>
    </row>
    <row r="69" spans="1:7" ht="14.25">
      <c r="A69" s="88"/>
      <c r="B69" s="88"/>
      <c r="C69" s="89" t="s">
        <v>104</v>
      </c>
      <c r="D69" s="84"/>
      <c r="E69" s="90">
        <v>10294.79</v>
      </c>
      <c r="F69" s="90">
        <v>39570.6</v>
      </c>
      <c r="G69" s="123">
        <v>49865.39</v>
      </c>
    </row>
    <row r="70" spans="1:7" ht="14.25">
      <c r="A70" s="122" t="s">
        <v>128</v>
      </c>
      <c r="B70" s="122" t="s">
        <v>129</v>
      </c>
      <c r="C70" s="76" t="s">
        <v>100</v>
      </c>
      <c r="D70" s="84"/>
      <c r="E70" s="86">
        <v>101.12</v>
      </c>
      <c r="F70" s="86" t="s">
        <v>140</v>
      </c>
      <c r="G70" s="86">
        <v>101.12</v>
      </c>
    </row>
    <row r="71" spans="1:7" ht="14.25">
      <c r="A71" s="87"/>
      <c r="B71" s="87"/>
      <c r="C71" s="76" t="s">
        <v>111</v>
      </c>
      <c r="D71" s="84"/>
      <c r="E71" s="86">
        <v>200.91</v>
      </c>
      <c r="F71" s="86">
        <v>960.01</v>
      </c>
      <c r="G71" s="86">
        <v>1160.92</v>
      </c>
    </row>
    <row r="72" spans="1:7" ht="14.25">
      <c r="A72" s="87"/>
      <c r="B72" s="87"/>
      <c r="C72" s="76" t="s">
        <v>112</v>
      </c>
      <c r="D72" s="84"/>
      <c r="E72" s="86" t="s">
        <v>140</v>
      </c>
      <c r="F72" s="86">
        <v>3093.8</v>
      </c>
      <c r="G72" s="86">
        <v>3093.8</v>
      </c>
    </row>
    <row r="73" spans="1:7" ht="14.25">
      <c r="A73" s="87"/>
      <c r="B73" s="87"/>
      <c r="C73" s="76" t="s">
        <v>113</v>
      </c>
      <c r="D73" s="84"/>
      <c r="E73" s="86">
        <v>3464.57</v>
      </c>
      <c r="F73" s="86">
        <v>17809.85</v>
      </c>
      <c r="G73" s="86">
        <v>21274.42</v>
      </c>
    </row>
    <row r="74" spans="1:7" ht="14.25">
      <c r="A74" s="87"/>
      <c r="B74" s="87"/>
      <c r="C74" s="76" t="s">
        <v>103</v>
      </c>
      <c r="D74" s="84"/>
      <c r="E74" s="86">
        <v>37.83</v>
      </c>
      <c r="F74" s="86">
        <v>38762</v>
      </c>
      <c r="G74" s="86">
        <v>38799.83</v>
      </c>
    </row>
    <row r="75" spans="1:7" ht="14.25">
      <c r="A75" s="87"/>
      <c r="B75" s="87"/>
      <c r="C75" s="76" t="s">
        <v>114</v>
      </c>
      <c r="D75" s="84"/>
      <c r="E75" s="86">
        <v>172.97</v>
      </c>
      <c r="F75" s="86">
        <v>936.83</v>
      </c>
      <c r="G75" s="86">
        <v>1109.8</v>
      </c>
    </row>
    <row r="76" spans="1:7" ht="14.25">
      <c r="A76" s="87"/>
      <c r="B76" s="87"/>
      <c r="C76" s="76" t="s">
        <v>115</v>
      </c>
      <c r="D76" s="84"/>
      <c r="E76" s="86">
        <v>12336.88</v>
      </c>
      <c r="F76" s="86">
        <v>12131.29</v>
      </c>
      <c r="G76" s="86">
        <v>24468.17</v>
      </c>
    </row>
    <row r="77" spans="1:7" ht="14.25">
      <c r="A77" s="87"/>
      <c r="B77" s="87"/>
      <c r="C77" s="76" t="s">
        <v>116</v>
      </c>
      <c r="D77" s="84"/>
      <c r="E77" s="86">
        <v>46429.82</v>
      </c>
      <c r="F77" s="86">
        <v>27068.47</v>
      </c>
      <c r="G77" s="86">
        <v>73498.29</v>
      </c>
    </row>
    <row r="78" spans="1:7" ht="14.25">
      <c r="A78" s="87"/>
      <c r="B78" s="87"/>
      <c r="C78" s="76" t="s">
        <v>117</v>
      </c>
      <c r="D78" s="84"/>
      <c r="E78" s="86" t="s">
        <v>140</v>
      </c>
      <c r="F78" s="86">
        <v>5607.44</v>
      </c>
      <c r="G78" s="86">
        <v>5607.44</v>
      </c>
    </row>
    <row r="79" spans="1:7" ht="14.25">
      <c r="A79" s="88"/>
      <c r="B79" s="88"/>
      <c r="C79" s="89" t="s">
        <v>104</v>
      </c>
      <c r="D79" s="84"/>
      <c r="E79" s="90">
        <v>62744.1</v>
      </c>
      <c r="F79" s="90">
        <v>106369.69</v>
      </c>
      <c r="G79" s="123">
        <v>169113.79</v>
      </c>
    </row>
    <row r="80" spans="1:7" ht="14.25">
      <c r="A80" s="122" t="s">
        <v>130</v>
      </c>
      <c r="B80" s="122" t="s">
        <v>131</v>
      </c>
      <c r="C80" s="76" t="s">
        <v>111</v>
      </c>
      <c r="D80" s="84"/>
      <c r="E80" s="86">
        <v>0</v>
      </c>
      <c r="F80" s="86">
        <v>94.97</v>
      </c>
      <c r="G80" s="86">
        <v>94.97</v>
      </c>
    </row>
    <row r="81" spans="1:7" ht="14.25">
      <c r="A81" s="87"/>
      <c r="B81" s="87"/>
      <c r="C81" s="76" t="s">
        <v>112</v>
      </c>
      <c r="D81" s="84"/>
      <c r="E81" s="86" t="s">
        <v>140</v>
      </c>
      <c r="F81" s="86">
        <v>3446.71</v>
      </c>
      <c r="G81" s="86">
        <v>3446.71</v>
      </c>
    </row>
    <row r="82" spans="1:7" ht="14.25">
      <c r="A82" s="87"/>
      <c r="B82" s="87"/>
      <c r="C82" s="76" t="s">
        <v>113</v>
      </c>
      <c r="D82" s="84"/>
      <c r="E82" s="86">
        <v>2467.43</v>
      </c>
      <c r="F82" s="86">
        <v>10701.72</v>
      </c>
      <c r="G82" s="86">
        <v>13169.15</v>
      </c>
    </row>
    <row r="83" spans="1:7" ht="14.25">
      <c r="A83" s="87"/>
      <c r="B83" s="87"/>
      <c r="C83" s="76" t="s">
        <v>103</v>
      </c>
      <c r="D83" s="84"/>
      <c r="E83" s="86">
        <v>249.45</v>
      </c>
      <c r="F83" s="86">
        <v>25.22</v>
      </c>
      <c r="G83" s="86">
        <v>274.67</v>
      </c>
    </row>
    <row r="84" spans="1:7" ht="14.25">
      <c r="A84" s="87"/>
      <c r="B84" s="87"/>
      <c r="C84" s="76" t="s">
        <v>114</v>
      </c>
      <c r="D84" s="84"/>
      <c r="E84" s="86">
        <v>28928</v>
      </c>
      <c r="F84" s="86">
        <v>879.08</v>
      </c>
      <c r="G84" s="86">
        <v>29807.08</v>
      </c>
    </row>
    <row r="85" spans="1:7" ht="14.25">
      <c r="A85" s="87"/>
      <c r="B85" s="87"/>
      <c r="C85" s="76" t="s">
        <v>115</v>
      </c>
      <c r="D85" s="84"/>
      <c r="E85" s="86">
        <v>193766.51</v>
      </c>
      <c r="F85" s="86">
        <v>2456.64</v>
      </c>
      <c r="G85" s="86">
        <v>196223.15</v>
      </c>
    </row>
    <row r="86" spans="1:7" ht="14.25">
      <c r="A86" s="87"/>
      <c r="B86" s="87"/>
      <c r="C86" s="76" t="s">
        <v>116</v>
      </c>
      <c r="D86" s="84"/>
      <c r="E86" s="86">
        <v>1541.68</v>
      </c>
      <c r="F86" s="86">
        <v>3420.88</v>
      </c>
      <c r="G86" s="86">
        <v>4962.56</v>
      </c>
    </row>
    <row r="87" spans="1:7" ht="14.25">
      <c r="A87" s="87"/>
      <c r="B87" s="87"/>
      <c r="C87" s="76" t="s">
        <v>117</v>
      </c>
      <c r="D87" s="84"/>
      <c r="E87" s="86" t="s">
        <v>140</v>
      </c>
      <c r="F87" s="86">
        <v>413.22</v>
      </c>
      <c r="G87" s="86">
        <v>413.22</v>
      </c>
    </row>
    <row r="88" spans="1:7" ht="14.25">
      <c r="A88" s="88"/>
      <c r="B88" s="88"/>
      <c r="C88" s="89" t="s">
        <v>104</v>
      </c>
      <c r="D88" s="84"/>
      <c r="E88" s="90">
        <v>226953.07</v>
      </c>
      <c r="F88" s="90">
        <v>21438.44</v>
      </c>
      <c r="G88" s="123">
        <v>248391.51</v>
      </c>
    </row>
    <row r="89" spans="1:7" ht="14.25">
      <c r="A89" s="122" t="s">
        <v>132</v>
      </c>
      <c r="B89" s="122" t="s">
        <v>133</v>
      </c>
      <c r="C89" s="76" t="s">
        <v>100</v>
      </c>
      <c r="D89" s="84"/>
      <c r="E89" s="86">
        <v>42352.93</v>
      </c>
      <c r="F89" s="86">
        <v>11881.87</v>
      </c>
      <c r="G89" s="86">
        <v>54234.8</v>
      </c>
    </row>
    <row r="90" spans="1:7" ht="14.25">
      <c r="A90" s="87"/>
      <c r="B90" s="87"/>
      <c r="C90" s="76" t="s">
        <v>111</v>
      </c>
      <c r="D90" s="84"/>
      <c r="E90" s="86">
        <v>2075.91</v>
      </c>
      <c r="F90" s="86">
        <v>2052.2</v>
      </c>
      <c r="G90" s="86">
        <v>4128.11</v>
      </c>
    </row>
    <row r="91" spans="1:7" ht="14.25">
      <c r="A91" s="87"/>
      <c r="B91" s="87"/>
      <c r="C91" s="76" t="s">
        <v>112</v>
      </c>
      <c r="D91" s="84"/>
      <c r="E91" s="86">
        <v>3035.92</v>
      </c>
      <c r="F91" s="86">
        <v>5136.91</v>
      </c>
      <c r="G91" s="86">
        <v>8172.83</v>
      </c>
    </row>
    <row r="92" spans="1:7" ht="14.25">
      <c r="A92" s="87"/>
      <c r="B92" s="87"/>
      <c r="C92" s="76" t="s">
        <v>113</v>
      </c>
      <c r="D92" s="84"/>
      <c r="E92" s="86">
        <v>19423.05</v>
      </c>
      <c r="F92" s="86">
        <v>56630.2</v>
      </c>
      <c r="G92" s="86">
        <v>76053.25</v>
      </c>
    </row>
    <row r="93" spans="1:7" ht="14.25">
      <c r="A93" s="87"/>
      <c r="B93" s="87"/>
      <c r="C93" s="76" t="s">
        <v>103</v>
      </c>
      <c r="D93" s="84"/>
      <c r="E93" s="86">
        <v>4288.55</v>
      </c>
      <c r="F93" s="86">
        <v>318.38</v>
      </c>
      <c r="G93" s="86">
        <v>4606.93</v>
      </c>
    </row>
    <row r="94" spans="1:7" ht="14.25">
      <c r="A94" s="87"/>
      <c r="B94" s="87"/>
      <c r="C94" s="76" t="s">
        <v>114</v>
      </c>
      <c r="D94" s="84"/>
      <c r="E94" s="86">
        <v>179.27</v>
      </c>
      <c r="F94" s="86">
        <v>28027.87</v>
      </c>
      <c r="G94" s="86">
        <v>28207.14</v>
      </c>
    </row>
    <row r="95" spans="1:7" ht="14.25">
      <c r="A95" s="87"/>
      <c r="B95" s="87"/>
      <c r="C95" s="76" t="s">
        <v>115</v>
      </c>
      <c r="D95" s="84"/>
      <c r="E95" s="86">
        <v>14171.68</v>
      </c>
      <c r="F95" s="86">
        <v>11343.1</v>
      </c>
      <c r="G95" s="86">
        <v>25514.78</v>
      </c>
    </row>
    <row r="96" spans="1:7" ht="14.25">
      <c r="A96" s="87"/>
      <c r="B96" s="87"/>
      <c r="C96" s="76" t="s">
        <v>116</v>
      </c>
      <c r="D96" s="84"/>
      <c r="E96" s="86">
        <v>25604.72</v>
      </c>
      <c r="F96" s="86">
        <v>40432.76</v>
      </c>
      <c r="G96" s="86">
        <v>66037.48</v>
      </c>
    </row>
    <row r="97" spans="1:7" ht="14.25">
      <c r="A97" s="87"/>
      <c r="B97" s="87"/>
      <c r="C97" s="76" t="s">
        <v>117</v>
      </c>
      <c r="D97" s="84"/>
      <c r="E97" s="86" t="s">
        <v>140</v>
      </c>
      <c r="F97" s="86">
        <v>2490.64</v>
      </c>
      <c r="G97" s="86">
        <v>2490.64</v>
      </c>
    </row>
    <row r="98" spans="1:7" ht="14.25">
      <c r="A98" s="88"/>
      <c r="B98" s="88"/>
      <c r="C98" s="89" t="s">
        <v>104</v>
      </c>
      <c r="D98" s="84"/>
      <c r="E98" s="90">
        <v>111132.03</v>
      </c>
      <c r="F98" s="90">
        <v>158313.93</v>
      </c>
      <c r="G98" s="123">
        <v>269445.96</v>
      </c>
    </row>
    <row r="99" spans="1:7" ht="14.25">
      <c r="A99" s="122" t="s">
        <v>134</v>
      </c>
      <c r="B99" s="122" t="s">
        <v>135</v>
      </c>
      <c r="C99" s="76" t="s">
        <v>100</v>
      </c>
      <c r="D99" s="84"/>
      <c r="E99" s="86" t="s">
        <v>140</v>
      </c>
      <c r="F99" s="86">
        <v>63.54</v>
      </c>
      <c r="G99" s="86">
        <v>63.54</v>
      </c>
    </row>
    <row r="100" spans="1:7" ht="14.25">
      <c r="A100" s="87"/>
      <c r="B100" s="87"/>
      <c r="C100" s="76" t="s">
        <v>113</v>
      </c>
      <c r="D100" s="84"/>
      <c r="E100" s="86">
        <v>21378.48</v>
      </c>
      <c r="F100" s="86">
        <v>29789.13</v>
      </c>
      <c r="G100" s="86">
        <v>51167.61</v>
      </c>
    </row>
    <row r="101" spans="1:7" ht="14.25">
      <c r="A101" s="87"/>
      <c r="B101" s="87"/>
      <c r="C101" s="76" t="s">
        <v>115</v>
      </c>
      <c r="D101" s="84"/>
      <c r="E101" s="86" t="s">
        <v>140</v>
      </c>
      <c r="F101" s="86">
        <v>33.75</v>
      </c>
      <c r="G101" s="86">
        <v>33.75</v>
      </c>
    </row>
    <row r="102" spans="1:7" ht="14.25">
      <c r="A102" s="88"/>
      <c r="B102" s="88"/>
      <c r="C102" s="89" t="s">
        <v>104</v>
      </c>
      <c r="D102" s="84"/>
      <c r="E102" s="90">
        <v>21378.48</v>
      </c>
      <c r="F102" s="90">
        <v>29886.42</v>
      </c>
      <c r="G102" s="123">
        <v>51264.9</v>
      </c>
    </row>
    <row r="103" spans="1:7" ht="14.25">
      <c r="A103" s="122" t="s">
        <v>136</v>
      </c>
      <c r="B103" s="122" t="s">
        <v>137</v>
      </c>
      <c r="C103" s="76" t="s">
        <v>100</v>
      </c>
      <c r="D103" s="84"/>
      <c r="E103" s="86">
        <v>1906.7</v>
      </c>
      <c r="F103" s="86">
        <v>3473.26</v>
      </c>
      <c r="G103" s="86">
        <v>5379.96</v>
      </c>
    </row>
    <row r="104" spans="1:7" ht="14.25">
      <c r="A104" s="87"/>
      <c r="B104" s="87"/>
      <c r="C104" s="76" t="s">
        <v>111</v>
      </c>
      <c r="D104" s="84"/>
      <c r="E104" s="86">
        <v>-300</v>
      </c>
      <c r="F104" s="86">
        <v>4246.51</v>
      </c>
      <c r="G104" s="86">
        <v>3946.51</v>
      </c>
    </row>
    <row r="105" spans="1:7" ht="14.25">
      <c r="A105" s="87"/>
      <c r="B105" s="87"/>
      <c r="C105" s="76" t="s">
        <v>112</v>
      </c>
      <c r="D105" s="84"/>
      <c r="E105" s="86">
        <v>6899.48</v>
      </c>
      <c r="F105" s="86">
        <v>10610.23</v>
      </c>
      <c r="G105" s="86">
        <v>17509.71</v>
      </c>
    </row>
    <row r="106" spans="1:7" ht="14.25">
      <c r="A106" s="87"/>
      <c r="B106" s="87"/>
      <c r="C106" s="76" t="s">
        <v>113</v>
      </c>
      <c r="D106" s="84"/>
      <c r="E106" s="86">
        <v>8273.11</v>
      </c>
      <c r="F106" s="86">
        <v>49510.69</v>
      </c>
      <c r="G106" s="86">
        <v>57783.8</v>
      </c>
    </row>
    <row r="107" spans="1:7" ht="14.25">
      <c r="A107" s="87"/>
      <c r="B107" s="87"/>
      <c r="C107" s="76" t="s">
        <v>103</v>
      </c>
      <c r="D107" s="84"/>
      <c r="E107" s="86">
        <v>25685.69</v>
      </c>
      <c r="F107" s="86">
        <v>3021.32</v>
      </c>
      <c r="G107" s="86">
        <v>28707.01</v>
      </c>
    </row>
    <row r="108" spans="1:7" ht="14.25">
      <c r="A108" s="87"/>
      <c r="B108" s="87"/>
      <c r="C108" s="76" t="s">
        <v>114</v>
      </c>
      <c r="D108" s="84"/>
      <c r="E108" s="86">
        <v>15972.87</v>
      </c>
      <c r="F108" s="86">
        <v>50161.05</v>
      </c>
      <c r="G108" s="86">
        <v>66133.92</v>
      </c>
    </row>
    <row r="109" spans="1:7" ht="14.25">
      <c r="A109" s="87"/>
      <c r="B109" s="87"/>
      <c r="C109" s="76" t="s">
        <v>115</v>
      </c>
      <c r="D109" s="84"/>
      <c r="E109" s="86">
        <v>16699.33</v>
      </c>
      <c r="F109" s="86">
        <v>11432.19</v>
      </c>
      <c r="G109" s="86">
        <v>28131.52</v>
      </c>
    </row>
    <row r="110" spans="1:7" ht="14.25">
      <c r="A110" s="87"/>
      <c r="B110" s="87"/>
      <c r="C110" s="76" t="s">
        <v>116</v>
      </c>
      <c r="D110" s="84"/>
      <c r="E110" s="86">
        <v>39569.6</v>
      </c>
      <c r="F110" s="86">
        <v>150883.39</v>
      </c>
      <c r="G110" s="86">
        <v>190452.99</v>
      </c>
    </row>
    <row r="111" spans="1:7" ht="14.25">
      <c r="A111" s="87"/>
      <c r="B111" s="87"/>
      <c r="C111" s="76" t="s">
        <v>117</v>
      </c>
      <c r="D111" s="84"/>
      <c r="E111" s="86">
        <v>-1188.89</v>
      </c>
      <c r="F111" s="86">
        <v>16678.14</v>
      </c>
      <c r="G111" s="86">
        <v>15489.25</v>
      </c>
    </row>
    <row r="112" spans="1:7" ht="14.25">
      <c r="A112" s="88"/>
      <c r="B112" s="88"/>
      <c r="C112" s="89" t="s">
        <v>104</v>
      </c>
      <c r="D112" s="84"/>
      <c r="E112" s="90">
        <v>113517.89</v>
      </c>
      <c r="F112" s="90">
        <v>300016.78</v>
      </c>
      <c r="G112" s="123">
        <v>413534.67</v>
      </c>
    </row>
    <row r="113" spans="1:7" ht="14.25">
      <c r="A113" s="122" t="s">
        <v>138</v>
      </c>
      <c r="B113" s="122" t="s">
        <v>139</v>
      </c>
      <c r="C113" s="76" t="s">
        <v>112</v>
      </c>
      <c r="D113" s="84"/>
      <c r="E113" s="86" t="s">
        <v>140</v>
      </c>
      <c r="F113" s="86">
        <v>365.69</v>
      </c>
      <c r="G113" s="86">
        <v>365.69</v>
      </c>
    </row>
    <row r="114" spans="1:7" ht="14.25">
      <c r="A114" s="87"/>
      <c r="B114" s="87"/>
      <c r="C114" s="76" t="s">
        <v>113</v>
      </c>
      <c r="D114" s="84"/>
      <c r="E114" s="86">
        <v>6072.15</v>
      </c>
      <c r="F114" s="86">
        <v>27059.14</v>
      </c>
      <c r="G114" s="86">
        <v>33131.29</v>
      </c>
    </row>
    <row r="115" spans="1:7" ht="14.25">
      <c r="A115" s="87"/>
      <c r="B115" s="87"/>
      <c r="C115" s="76" t="s">
        <v>114</v>
      </c>
      <c r="D115" s="84"/>
      <c r="E115" s="86" t="s">
        <v>140</v>
      </c>
      <c r="F115" s="86">
        <v>62.84</v>
      </c>
      <c r="G115" s="86">
        <v>62.84</v>
      </c>
    </row>
    <row r="116" spans="1:7" ht="14.25">
      <c r="A116" s="88"/>
      <c r="B116" s="88"/>
      <c r="C116" s="89" t="s">
        <v>104</v>
      </c>
      <c r="D116" s="84"/>
      <c r="E116" s="90">
        <v>6072.15</v>
      </c>
      <c r="F116" s="90">
        <v>27487.67</v>
      </c>
      <c r="G116" s="123">
        <v>33559.82</v>
      </c>
    </row>
    <row r="117" spans="1:7" ht="12.75">
      <c r="A117" s="78" t="s">
        <v>95</v>
      </c>
      <c r="B117" s="91"/>
      <c r="C117" s="79"/>
      <c r="D117" s="84"/>
      <c r="E117" s="86">
        <v>1917216.2</v>
      </c>
      <c r="F117" s="86">
        <v>4067423.84</v>
      </c>
      <c r="G117" s="86">
        <v>5984640.04</v>
      </c>
    </row>
    <row r="119" ht="12.75">
      <c r="G119" s="124">
        <f>G31+G42+H52+G61+G69+G79+G88+G98+G102+G112+G116</f>
        <v>1670364.3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zoomScale="85" zoomScaleNormal="85" workbookViewId="0" topLeftCell="A1">
      <selection activeCell="H12" sqref="H12"/>
    </sheetView>
  </sheetViews>
  <sheetFormatPr defaultColWidth="9.00390625" defaultRowHeight="12.75"/>
  <cols>
    <col min="1" max="1" width="11.375" style="2" customWidth="1"/>
    <col min="2" max="2" width="19.75390625" style="2" bestFit="1" customWidth="1"/>
    <col min="3" max="3" width="20.00390625" style="2" bestFit="1" customWidth="1"/>
    <col min="4" max="4" width="8.375" style="2" customWidth="1"/>
    <col min="5" max="5" width="16.25390625" style="2" bestFit="1" customWidth="1"/>
    <col min="6" max="6" width="17.125" style="2" bestFit="1" customWidth="1"/>
    <col min="7" max="8" width="11.625" style="2" bestFit="1" customWidth="1"/>
    <col min="9" max="16384" width="9.125" style="2" customWidth="1"/>
  </cols>
  <sheetData>
    <row r="1" spans="1:6" ht="12.75">
      <c r="A1" s="234" t="s">
        <v>43</v>
      </c>
      <c r="B1" s="234"/>
      <c r="C1" s="234"/>
      <c r="D1" s="234"/>
      <c r="E1" s="234"/>
      <c r="F1" s="234"/>
    </row>
    <row r="3" spans="1:2" ht="25.5">
      <c r="A3" s="76" t="s">
        <v>49</v>
      </c>
      <c r="B3" s="101" t="s">
        <v>42</v>
      </c>
    </row>
    <row r="5" spans="1:8" ht="12.75">
      <c r="A5" s="96"/>
      <c r="B5" s="97"/>
      <c r="C5" s="97"/>
      <c r="D5" s="98"/>
      <c r="E5" s="77"/>
      <c r="F5" s="78" t="s">
        <v>48</v>
      </c>
      <c r="G5" s="91"/>
      <c r="H5" s="79"/>
    </row>
    <row r="6" spans="1:8" ht="14.25">
      <c r="A6" s="80"/>
      <c r="B6" s="81"/>
      <c r="C6" s="81"/>
      <c r="D6" s="82"/>
      <c r="E6" s="83" t="s">
        <v>36</v>
      </c>
      <c r="F6" s="83" t="s">
        <v>47</v>
      </c>
      <c r="G6" s="83" t="s">
        <v>35</v>
      </c>
      <c r="H6" s="77" t="s">
        <v>95</v>
      </c>
    </row>
    <row r="7" spans="1:8" ht="14.25">
      <c r="A7" s="83" t="s">
        <v>73</v>
      </c>
      <c r="B7" s="83" t="s">
        <v>46</v>
      </c>
      <c r="C7" s="83" t="s">
        <v>96</v>
      </c>
      <c r="D7" s="76" t="s">
        <v>97</v>
      </c>
      <c r="E7" s="84"/>
      <c r="F7" s="84"/>
      <c r="G7" s="84"/>
      <c r="H7" s="84"/>
    </row>
    <row r="8" spans="1:8" ht="14.25">
      <c r="A8" s="85" t="s">
        <v>108</v>
      </c>
      <c r="B8" s="100" t="s">
        <v>52</v>
      </c>
      <c r="C8" s="85" t="s">
        <v>109</v>
      </c>
      <c r="D8" s="76" t="s">
        <v>110</v>
      </c>
      <c r="E8" s="84"/>
      <c r="F8" s="86">
        <v>99999</v>
      </c>
      <c r="G8" s="86">
        <v>269664</v>
      </c>
      <c r="H8" s="86">
        <v>369663</v>
      </c>
    </row>
    <row r="9" spans="1:8" ht="14.25">
      <c r="A9" s="87"/>
      <c r="B9" s="88"/>
      <c r="C9" s="88"/>
      <c r="D9" s="89" t="s">
        <v>104</v>
      </c>
      <c r="E9" s="84"/>
      <c r="F9" s="90">
        <v>99999</v>
      </c>
      <c r="G9" s="90">
        <v>269664</v>
      </c>
      <c r="H9" s="90">
        <v>369663</v>
      </c>
    </row>
    <row r="10" spans="1:8" ht="14.25">
      <c r="A10" s="87"/>
      <c r="B10" s="100" t="s">
        <v>51</v>
      </c>
      <c r="C10" s="85" t="s">
        <v>109</v>
      </c>
      <c r="D10" s="76" t="s">
        <v>110</v>
      </c>
      <c r="E10" s="84"/>
      <c r="F10" s="86">
        <v>64806</v>
      </c>
      <c r="G10" s="86">
        <v>219947</v>
      </c>
      <c r="H10" s="86">
        <v>284753</v>
      </c>
    </row>
    <row r="11" spans="1:8" ht="14.25">
      <c r="A11" s="88"/>
      <c r="B11" s="88"/>
      <c r="C11" s="88"/>
      <c r="D11" s="89" t="s">
        <v>104</v>
      </c>
      <c r="E11" s="84"/>
      <c r="F11" s="90">
        <v>64806</v>
      </c>
      <c r="G11" s="90">
        <v>219947</v>
      </c>
      <c r="H11" s="90">
        <v>284753</v>
      </c>
    </row>
    <row r="12" spans="1:8" ht="12.75">
      <c r="A12" s="78" t="s">
        <v>95</v>
      </c>
      <c r="B12" s="91"/>
      <c r="C12" s="91"/>
      <c r="D12" s="79"/>
      <c r="E12" s="84"/>
      <c r="F12" s="86">
        <v>164805</v>
      </c>
      <c r="G12" s="86">
        <v>489611</v>
      </c>
      <c r="H12" s="99">
        <v>654416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5"/>
  <sheetViews>
    <sheetView zoomScale="85" zoomScaleNormal="85" workbookViewId="0" topLeftCell="A1">
      <selection activeCell="E14" sqref="E14"/>
    </sheetView>
  </sheetViews>
  <sheetFormatPr defaultColWidth="9.00390625" defaultRowHeight="12.75"/>
  <cols>
    <col min="1" max="1" width="11.875" style="2" customWidth="1"/>
    <col min="2" max="2" width="32.375" style="2" bestFit="1" customWidth="1"/>
    <col min="3" max="3" width="8.375" style="2" customWidth="1"/>
    <col min="4" max="4" width="16.25390625" style="2" bestFit="1" customWidth="1"/>
    <col min="5" max="5" width="17.00390625" style="2" bestFit="1" customWidth="1"/>
    <col min="6" max="7" width="13.125" style="2" bestFit="1" customWidth="1"/>
    <col min="8" max="16384" width="9.125" style="2" customWidth="1"/>
  </cols>
  <sheetData>
    <row r="1" spans="1:7" ht="30.75" customHeight="1">
      <c r="A1" s="234" t="s">
        <v>40</v>
      </c>
      <c r="B1" s="234"/>
      <c r="C1" s="234"/>
      <c r="D1" s="234"/>
      <c r="E1" s="234"/>
      <c r="F1" s="234"/>
      <c r="G1" s="234"/>
    </row>
    <row r="3" spans="1:7" ht="12.75">
      <c r="A3" s="96"/>
      <c r="B3" s="97"/>
      <c r="C3" s="98"/>
      <c r="D3" s="77"/>
      <c r="E3" s="78" t="s">
        <v>48</v>
      </c>
      <c r="F3" s="91"/>
      <c r="G3" s="79"/>
    </row>
    <row r="4" spans="1:7" ht="14.25">
      <c r="A4" s="80"/>
      <c r="B4" s="81"/>
      <c r="C4" s="82"/>
      <c r="D4" s="83" t="s">
        <v>36</v>
      </c>
      <c r="E4" s="83" t="s">
        <v>47</v>
      </c>
      <c r="F4" s="83" t="s">
        <v>35</v>
      </c>
      <c r="G4" s="77" t="s">
        <v>95</v>
      </c>
    </row>
    <row r="5" spans="1:7" ht="14.25">
      <c r="A5" s="83" t="s">
        <v>73</v>
      </c>
      <c r="B5" s="83" t="s">
        <v>96</v>
      </c>
      <c r="C5" s="76" t="s">
        <v>97</v>
      </c>
      <c r="D5" s="84"/>
      <c r="E5" s="84"/>
      <c r="F5" s="84"/>
      <c r="G5" s="84"/>
    </row>
    <row r="6" spans="1:7" ht="14.25">
      <c r="A6" s="85" t="s">
        <v>108</v>
      </c>
      <c r="B6" s="120" t="s">
        <v>109</v>
      </c>
      <c r="C6" s="76" t="s">
        <v>19</v>
      </c>
      <c r="D6" s="84"/>
      <c r="E6" s="86" t="s">
        <v>140</v>
      </c>
      <c r="F6" s="86">
        <v>6379.33</v>
      </c>
      <c r="G6" s="86">
        <v>6379.33</v>
      </c>
    </row>
    <row r="7" spans="1:7" ht="14.25">
      <c r="A7" s="87"/>
      <c r="B7" s="87"/>
      <c r="C7" s="76" t="s">
        <v>18</v>
      </c>
      <c r="D7" s="84"/>
      <c r="E7" s="86">
        <v>22547.69</v>
      </c>
      <c r="F7" s="86">
        <v>86100.12</v>
      </c>
      <c r="G7" s="86">
        <v>108647.81</v>
      </c>
    </row>
    <row r="8" spans="1:9" ht="14.25">
      <c r="A8" s="87"/>
      <c r="B8" s="87"/>
      <c r="C8" s="76" t="s">
        <v>20</v>
      </c>
      <c r="D8" s="84"/>
      <c r="E8" s="86">
        <v>-8455.59</v>
      </c>
      <c r="F8" s="86">
        <v>-25366.77</v>
      </c>
      <c r="G8" s="107">
        <v>-33822.36</v>
      </c>
      <c r="H8" s="131" t="s">
        <v>45</v>
      </c>
      <c r="I8" s="131"/>
    </row>
    <row r="9" spans="1:7" ht="14.25">
      <c r="A9" s="87"/>
      <c r="B9" s="87"/>
      <c r="C9" s="76" t="s">
        <v>17</v>
      </c>
      <c r="D9" s="84"/>
      <c r="E9" s="86" t="s">
        <v>140</v>
      </c>
      <c r="F9" s="86">
        <v>963.67</v>
      </c>
      <c r="G9" s="86">
        <v>963.67</v>
      </c>
    </row>
    <row r="10" spans="1:7" ht="14.25">
      <c r="A10" s="87"/>
      <c r="B10" s="87"/>
      <c r="C10" s="76" t="s">
        <v>15</v>
      </c>
      <c r="D10" s="84"/>
      <c r="E10" s="86" t="s">
        <v>140</v>
      </c>
      <c r="F10" s="86">
        <v>50.61</v>
      </c>
      <c r="G10" s="86">
        <v>50.61</v>
      </c>
    </row>
    <row r="11" spans="1:7" ht="14.25">
      <c r="A11" s="88"/>
      <c r="B11" s="88"/>
      <c r="C11" s="89" t="s">
        <v>104</v>
      </c>
      <c r="D11" s="84"/>
      <c r="E11" s="90">
        <v>14092.1</v>
      </c>
      <c r="F11" s="90">
        <v>68126.96</v>
      </c>
      <c r="G11" s="130">
        <v>82219.06</v>
      </c>
    </row>
    <row r="12" spans="1:7" ht="14.25">
      <c r="A12" s="100" t="s">
        <v>31</v>
      </c>
      <c r="B12" s="100" t="s">
        <v>30</v>
      </c>
      <c r="C12" s="76" t="s">
        <v>19</v>
      </c>
      <c r="D12" s="84"/>
      <c r="E12" s="86" t="s">
        <v>140</v>
      </c>
      <c r="F12" s="86">
        <v>181.05</v>
      </c>
      <c r="G12" s="86">
        <v>181.05</v>
      </c>
    </row>
    <row r="13" spans="1:7" ht="14.25">
      <c r="A13" s="87"/>
      <c r="B13" s="87"/>
      <c r="C13" s="76" t="s">
        <v>18</v>
      </c>
      <c r="D13" s="84"/>
      <c r="E13" s="86" t="s">
        <v>140</v>
      </c>
      <c r="F13" s="86">
        <v>83.02</v>
      </c>
      <c r="G13" s="86">
        <v>83.02</v>
      </c>
    </row>
    <row r="14" spans="1:7" ht="14.25">
      <c r="A14" s="87"/>
      <c r="B14" s="87"/>
      <c r="C14" s="76" t="s">
        <v>16</v>
      </c>
      <c r="D14" s="84"/>
      <c r="E14" s="86">
        <v>203.8</v>
      </c>
      <c r="F14" s="86">
        <v>4079.97</v>
      </c>
      <c r="G14" s="86">
        <v>4283.77</v>
      </c>
    </row>
    <row r="15" spans="1:7" ht="14.25">
      <c r="A15" s="88"/>
      <c r="B15" s="88"/>
      <c r="C15" s="89" t="s">
        <v>104</v>
      </c>
      <c r="D15" s="84"/>
      <c r="E15" s="90">
        <v>203.8</v>
      </c>
      <c r="F15" s="90">
        <v>4344.04</v>
      </c>
      <c r="G15" s="102">
        <v>4547.84</v>
      </c>
    </row>
    <row r="16" spans="1:7" ht="14.25">
      <c r="A16" s="100" t="s">
        <v>29</v>
      </c>
      <c r="B16" s="100" t="s">
        <v>28</v>
      </c>
      <c r="C16" s="76" t="s">
        <v>19</v>
      </c>
      <c r="D16" s="84"/>
      <c r="E16" s="86" t="s">
        <v>140</v>
      </c>
      <c r="F16" s="86">
        <v>51.85</v>
      </c>
      <c r="G16" s="86">
        <v>51.85</v>
      </c>
    </row>
    <row r="17" spans="1:7" ht="14.25">
      <c r="A17" s="87"/>
      <c r="B17" s="87"/>
      <c r="C17" s="76" t="s">
        <v>21</v>
      </c>
      <c r="D17" s="84"/>
      <c r="E17" s="86">
        <v>769.99</v>
      </c>
      <c r="F17" s="86">
        <v>1335.48</v>
      </c>
      <c r="G17" s="86">
        <v>2105.47</v>
      </c>
    </row>
    <row r="18" spans="1:7" ht="14.25">
      <c r="A18" s="87"/>
      <c r="B18" s="87"/>
      <c r="C18" s="76" t="s">
        <v>18</v>
      </c>
      <c r="D18" s="84"/>
      <c r="E18" s="86">
        <v>1160.19</v>
      </c>
      <c r="F18" s="86">
        <v>2325.75</v>
      </c>
      <c r="G18" s="86">
        <v>3485.94</v>
      </c>
    </row>
    <row r="19" spans="1:7" ht="14.25">
      <c r="A19" s="87"/>
      <c r="B19" s="87"/>
      <c r="C19" s="76" t="s">
        <v>17</v>
      </c>
      <c r="D19" s="84"/>
      <c r="E19" s="86" t="s">
        <v>140</v>
      </c>
      <c r="F19" s="86">
        <v>13811.74</v>
      </c>
      <c r="G19" s="86">
        <v>13811.74</v>
      </c>
    </row>
    <row r="20" spans="1:7" ht="14.25">
      <c r="A20" s="87"/>
      <c r="B20" s="87"/>
      <c r="C20" s="76" t="s">
        <v>16</v>
      </c>
      <c r="D20" s="84"/>
      <c r="E20" s="86">
        <v>7636.97</v>
      </c>
      <c r="F20" s="86">
        <v>40849.83</v>
      </c>
      <c r="G20" s="86">
        <v>48486.8</v>
      </c>
    </row>
    <row r="21" spans="1:7" ht="14.25">
      <c r="A21" s="87"/>
      <c r="B21" s="87"/>
      <c r="C21" s="76" t="s">
        <v>15</v>
      </c>
      <c r="D21" s="84"/>
      <c r="E21" s="86">
        <v>1061.2</v>
      </c>
      <c r="F21" s="86">
        <v>1134.42</v>
      </c>
      <c r="G21" s="86">
        <v>2195.62</v>
      </c>
    </row>
    <row r="22" spans="1:7" ht="14.25">
      <c r="A22" s="88"/>
      <c r="B22" s="88"/>
      <c r="C22" s="89" t="s">
        <v>104</v>
      </c>
      <c r="D22" s="84"/>
      <c r="E22" s="90">
        <v>10628.35</v>
      </c>
      <c r="F22" s="90">
        <v>59509.07</v>
      </c>
      <c r="G22" s="102">
        <v>70137.42</v>
      </c>
    </row>
    <row r="23" spans="1:7" ht="14.25">
      <c r="A23" s="100" t="s">
        <v>27</v>
      </c>
      <c r="B23" s="100" t="s">
        <v>26</v>
      </c>
      <c r="C23" s="76" t="s">
        <v>19</v>
      </c>
      <c r="D23" s="84"/>
      <c r="E23" s="86">
        <v>12.13</v>
      </c>
      <c r="F23" s="86">
        <v>74.15</v>
      </c>
      <c r="G23" s="86">
        <v>86.28</v>
      </c>
    </row>
    <row r="24" spans="1:7" ht="14.25">
      <c r="A24" s="87"/>
      <c r="B24" s="87"/>
      <c r="C24" s="76" t="s">
        <v>21</v>
      </c>
      <c r="D24" s="84"/>
      <c r="E24" s="86">
        <v>348.53</v>
      </c>
      <c r="F24" s="86">
        <v>-1955.61</v>
      </c>
      <c r="G24" s="86">
        <v>-1607.08</v>
      </c>
    </row>
    <row r="25" spans="1:7" ht="14.25">
      <c r="A25" s="87"/>
      <c r="B25" s="87"/>
      <c r="C25" s="76" t="s">
        <v>18</v>
      </c>
      <c r="D25" s="84"/>
      <c r="E25" s="86">
        <v>4443.21</v>
      </c>
      <c r="F25" s="86">
        <v>2903.26</v>
      </c>
      <c r="G25" s="86">
        <v>7346.47</v>
      </c>
    </row>
    <row r="26" spans="1:7" ht="14.25">
      <c r="A26" s="87"/>
      <c r="B26" s="87"/>
      <c r="C26" s="76" t="s">
        <v>17</v>
      </c>
      <c r="D26" s="84"/>
      <c r="E26" s="86">
        <v>86.08</v>
      </c>
      <c r="F26" s="86">
        <v>41826.12</v>
      </c>
      <c r="G26" s="86">
        <v>41912.2</v>
      </c>
    </row>
    <row r="27" spans="1:7" ht="14.25">
      <c r="A27" s="87"/>
      <c r="B27" s="87"/>
      <c r="C27" s="76" t="s">
        <v>16</v>
      </c>
      <c r="D27" s="84"/>
      <c r="E27" s="86">
        <v>31336.86</v>
      </c>
      <c r="F27" s="86">
        <v>84562.81</v>
      </c>
      <c r="G27" s="86">
        <v>115899.67</v>
      </c>
    </row>
    <row r="28" spans="1:7" ht="14.25">
      <c r="A28" s="87"/>
      <c r="B28" s="87"/>
      <c r="C28" s="76" t="s">
        <v>15</v>
      </c>
      <c r="D28" s="84"/>
      <c r="E28" s="86">
        <v>5598.77</v>
      </c>
      <c r="F28" s="86">
        <v>11328.91</v>
      </c>
      <c r="G28" s="86">
        <v>16927.68</v>
      </c>
    </row>
    <row r="29" spans="1:7" ht="14.25">
      <c r="A29" s="88"/>
      <c r="B29" s="88"/>
      <c r="C29" s="89" t="s">
        <v>104</v>
      </c>
      <c r="D29" s="84"/>
      <c r="E29" s="90">
        <v>41825.58</v>
      </c>
      <c r="F29" s="90">
        <v>138739.64</v>
      </c>
      <c r="G29" s="102">
        <v>180565.22</v>
      </c>
    </row>
    <row r="30" spans="1:7" ht="14.25">
      <c r="A30" s="100" t="s">
        <v>25</v>
      </c>
      <c r="B30" s="100" t="s">
        <v>24</v>
      </c>
      <c r="C30" s="76" t="s">
        <v>19</v>
      </c>
      <c r="D30" s="84"/>
      <c r="E30" s="86">
        <v>33.95</v>
      </c>
      <c r="F30" s="86">
        <v>121167.03</v>
      </c>
      <c r="G30" s="86">
        <v>121200.98</v>
      </c>
    </row>
    <row r="31" spans="1:7" ht="14.25">
      <c r="A31" s="87"/>
      <c r="B31" s="87"/>
      <c r="C31" s="76" t="s">
        <v>21</v>
      </c>
      <c r="D31" s="84"/>
      <c r="E31" s="86">
        <v>5008.77</v>
      </c>
      <c r="F31" s="86">
        <v>34516.18</v>
      </c>
      <c r="G31" s="86">
        <v>39524.95</v>
      </c>
    </row>
    <row r="32" spans="1:7" ht="14.25">
      <c r="A32" s="87"/>
      <c r="B32" s="87"/>
      <c r="C32" s="76" t="s">
        <v>18</v>
      </c>
      <c r="D32" s="84"/>
      <c r="E32" s="86">
        <v>61989.26</v>
      </c>
      <c r="F32" s="86">
        <v>35915.56</v>
      </c>
      <c r="G32" s="86">
        <v>97904.82</v>
      </c>
    </row>
    <row r="33" spans="1:7" ht="14.25">
      <c r="A33" s="87"/>
      <c r="B33" s="87"/>
      <c r="C33" s="76" t="s">
        <v>17</v>
      </c>
      <c r="D33" s="84"/>
      <c r="E33" s="86" t="s">
        <v>140</v>
      </c>
      <c r="F33" s="86">
        <v>112.79</v>
      </c>
      <c r="G33" s="86">
        <v>112.79</v>
      </c>
    </row>
    <row r="34" spans="1:7" ht="14.25">
      <c r="A34" s="87"/>
      <c r="B34" s="87"/>
      <c r="C34" s="76" t="s">
        <v>16</v>
      </c>
      <c r="D34" s="84"/>
      <c r="E34" s="86">
        <v>18.53</v>
      </c>
      <c r="F34" s="86">
        <v>22773.3</v>
      </c>
      <c r="G34" s="86">
        <v>22791.83</v>
      </c>
    </row>
    <row r="35" spans="1:7" ht="14.25">
      <c r="A35" s="87"/>
      <c r="B35" s="87"/>
      <c r="C35" s="76" t="s">
        <v>15</v>
      </c>
      <c r="D35" s="84"/>
      <c r="E35" s="86">
        <v>3491.96</v>
      </c>
      <c r="F35" s="86">
        <v>11788.83</v>
      </c>
      <c r="G35" s="86">
        <v>15280.79</v>
      </c>
    </row>
    <row r="36" spans="1:7" ht="14.25">
      <c r="A36" s="88"/>
      <c r="B36" s="88"/>
      <c r="C36" s="89" t="s">
        <v>104</v>
      </c>
      <c r="D36" s="84"/>
      <c r="E36" s="90">
        <v>70542.47</v>
      </c>
      <c r="F36" s="90">
        <v>226273.69</v>
      </c>
      <c r="G36" s="102">
        <v>296816.16</v>
      </c>
    </row>
    <row r="37" spans="1:7" ht="14.25">
      <c r="A37" s="100" t="s">
        <v>23</v>
      </c>
      <c r="B37" s="100" t="s">
        <v>22</v>
      </c>
      <c r="C37" s="76" t="s">
        <v>19</v>
      </c>
      <c r="D37" s="84"/>
      <c r="E37" s="86">
        <v>288330.52</v>
      </c>
      <c r="F37" s="86">
        <v>806748.95</v>
      </c>
      <c r="G37" s="86">
        <v>1095079.47</v>
      </c>
    </row>
    <row r="38" spans="1:7" ht="14.25">
      <c r="A38" s="87"/>
      <c r="B38" s="87"/>
      <c r="C38" s="76" t="s">
        <v>21</v>
      </c>
      <c r="D38" s="84"/>
      <c r="E38" s="86">
        <v>285881.12</v>
      </c>
      <c r="F38" s="86">
        <v>937629.27</v>
      </c>
      <c r="G38" s="86">
        <v>1223510.39</v>
      </c>
    </row>
    <row r="39" spans="1:7" ht="14.25">
      <c r="A39" s="87"/>
      <c r="B39" s="87"/>
      <c r="C39" s="76" t="s">
        <v>18</v>
      </c>
      <c r="D39" s="84"/>
      <c r="E39" s="86">
        <v>9148.23</v>
      </c>
      <c r="F39" s="86">
        <v>7610.82</v>
      </c>
      <c r="G39" s="86">
        <v>16759.05</v>
      </c>
    </row>
    <row r="40" spans="1:7" ht="14.25">
      <c r="A40" s="87"/>
      <c r="B40" s="87"/>
      <c r="C40" s="76" t="s">
        <v>20</v>
      </c>
      <c r="D40" s="84"/>
      <c r="E40" s="86" t="s">
        <v>140</v>
      </c>
      <c r="F40" s="86">
        <v>60930</v>
      </c>
      <c r="G40" s="86">
        <v>60930</v>
      </c>
    </row>
    <row r="41" spans="1:7" ht="14.25">
      <c r="A41" s="87"/>
      <c r="B41" s="87"/>
      <c r="C41" s="76" t="s">
        <v>17</v>
      </c>
      <c r="D41" s="84"/>
      <c r="E41" s="86">
        <v>261821.58</v>
      </c>
      <c r="F41" s="86">
        <v>169824.48</v>
      </c>
      <c r="G41" s="86">
        <v>431646.06</v>
      </c>
    </row>
    <row r="42" spans="1:7" ht="14.25">
      <c r="A42" s="87"/>
      <c r="B42" s="87"/>
      <c r="C42" s="76" t="s">
        <v>16</v>
      </c>
      <c r="D42" s="84"/>
      <c r="E42" s="86">
        <v>158980.96</v>
      </c>
      <c r="F42" s="86">
        <v>4097640.44</v>
      </c>
      <c r="G42" s="86">
        <v>4256621.4</v>
      </c>
    </row>
    <row r="43" spans="1:7" ht="14.25">
      <c r="A43" s="87"/>
      <c r="B43" s="87"/>
      <c r="C43" s="76" t="s">
        <v>15</v>
      </c>
      <c r="D43" s="84"/>
      <c r="E43" s="86">
        <v>73.92</v>
      </c>
      <c r="F43" s="86">
        <v>200</v>
      </c>
      <c r="G43" s="86">
        <v>273.92</v>
      </c>
    </row>
    <row r="44" spans="1:7" ht="14.25">
      <c r="A44" s="88"/>
      <c r="B44" s="88"/>
      <c r="C44" s="89" t="s">
        <v>104</v>
      </c>
      <c r="D44" s="84"/>
      <c r="E44" s="90">
        <v>1004236.33</v>
      </c>
      <c r="F44" s="90">
        <v>6080583.96</v>
      </c>
      <c r="G44" s="102">
        <v>7084820.29</v>
      </c>
    </row>
    <row r="45" spans="1:7" ht="12.75">
      <c r="A45" s="78" t="s">
        <v>95</v>
      </c>
      <c r="B45" s="91"/>
      <c r="C45" s="79"/>
      <c r="D45" s="84"/>
      <c r="E45" s="86">
        <v>1141528.63</v>
      </c>
      <c r="F45" s="86">
        <v>6577577.36</v>
      </c>
      <c r="G45" s="86">
        <v>7719105.99</v>
      </c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4"/>
  <sheetViews>
    <sheetView zoomScale="75" zoomScaleNormal="75" workbookViewId="0" topLeftCell="A34">
      <selection activeCell="H72" sqref="H72"/>
    </sheetView>
  </sheetViews>
  <sheetFormatPr defaultColWidth="9.00390625" defaultRowHeight="12.75"/>
  <cols>
    <col min="1" max="1" width="36.00390625" style="2" customWidth="1"/>
    <col min="2" max="2" width="20.00390625" style="2" bestFit="1" customWidth="1"/>
    <col min="3" max="3" width="19.75390625" style="2" customWidth="1"/>
    <col min="4" max="4" width="17.00390625" style="2" bestFit="1" customWidth="1"/>
    <col min="5" max="6" width="10.875" style="2" bestFit="1" customWidth="1"/>
    <col min="7" max="7" width="11.25390625" style="2" bestFit="1" customWidth="1"/>
    <col min="8" max="16384" width="9.125" style="2" customWidth="1"/>
  </cols>
  <sheetData>
    <row r="1" spans="1:3" ht="12.75">
      <c r="A1" s="234" t="s">
        <v>40</v>
      </c>
      <c r="B1" s="234"/>
      <c r="C1" s="234"/>
    </row>
    <row r="3" spans="1:4" ht="28.5">
      <c r="A3" s="76" t="s">
        <v>49</v>
      </c>
      <c r="B3" s="83" t="s">
        <v>171</v>
      </c>
      <c r="C3" s="89" t="s">
        <v>170</v>
      </c>
      <c r="D3" s="83" t="s">
        <v>169</v>
      </c>
    </row>
    <row r="4" spans="1:6" ht="14.25">
      <c r="A4" s="80"/>
      <c r="B4" s="81"/>
      <c r="C4" s="82"/>
      <c r="D4" s="83" t="s">
        <v>47</v>
      </c>
      <c r="E4" s="83" t="s">
        <v>35</v>
      </c>
      <c r="F4" s="77" t="s">
        <v>95</v>
      </c>
    </row>
    <row r="5" spans="1:6" ht="14.25">
      <c r="A5" s="83" t="s">
        <v>46</v>
      </c>
      <c r="B5" s="83" t="s">
        <v>96</v>
      </c>
      <c r="C5" s="76" t="s">
        <v>97</v>
      </c>
      <c r="D5" s="84"/>
      <c r="E5" s="84"/>
      <c r="F5" s="84"/>
    </row>
    <row r="6" spans="1:6" ht="14.25">
      <c r="A6" s="85" t="s">
        <v>168</v>
      </c>
      <c r="B6" s="85" t="s">
        <v>109</v>
      </c>
      <c r="C6" s="76" t="s">
        <v>19</v>
      </c>
      <c r="D6" s="86" t="s">
        <v>140</v>
      </c>
      <c r="E6" s="86">
        <v>2676.75</v>
      </c>
      <c r="F6" s="86">
        <v>2676.75</v>
      </c>
    </row>
    <row r="7" spans="1:8" ht="14.25">
      <c r="A7" s="88"/>
      <c r="B7" s="88"/>
      <c r="C7" s="89" t="s">
        <v>104</v>
      </c>
      <c r="D7" s="90"/>
      <c r="E7" s="90">
        <v>2676.75</v>
      </c>
      <c r="F7" s="134">
        <v>2676.75</v>
      </c>
      <c r="G7" s="148" t="s">
        <v>181</v>
      </c>
      <c r="H7" s="148"/>
    </row>
    <row r="8" spans="1:6" ht="14.25">
      <c r="A8" s="85" t="s">
        <v>167</v>
      </c>
      <c r="B8" s="85" t="s">
        <v>109</v>
      </c>
      <c r="C8" s="76" t="s">
        <v>19</v>
      </c>
      <c r="D8" s="86" t="s">
        <v>140</v>
      </c>
      <c r="E8" s="86">
        <v>866.42</v>
      </c>
      <c r="F8" s="86">
        <v>866.42</v>
      </c>
    </row>
    <row r="9" spans="1:8" ht="14.25">
      <c r="A9" s="88"/>
      <c r="B9" s="88"/>
      <c r="C9" s="89" t="s">
        <v>104</v>
      </c>
      <c r="D9" s="90"/>
      <c r="E9" s="90">
        <v>866.42</v>
      </c>
      <c r="F9" s="134">
        <v>866.42</v>
      </c>
      <c r="G9" s="148" t="s">
        <v>181</v>
      </c>
      <c r="H9" s="148"/>
    </row>
    <row r="10" spans="1:6" ht="14.25">
      <c r="A10" s="85" t="s">
        <v>166</v>
      </c>
      <c r="B10" s="85" t="s">
        <v>109</v>
      </c>
      <c r="C10" s="76" t="s">
        <v>18</v>
      </c>
      <c r="D10" s="86" t="s">
        <v>140</v>
      </c>
      <c r="E10" s="86">
        <v>1076.5</v>
      </c>
      <c r="F10" s="86">
        <v>1076.5</v>
      </c>
    </row>
    <row r="11" spans="1:8" ht="14.25">
      <c r="A11" s="88"/>
      <c r="B11" s="88"/>
      <c r="C11" s="89" t="s">
        <v>104</v>
      </c>
      <c r="D11" s="90"/>
      <c r="E11" s="90">
        <v>1076.5</v>
      </c>
      <c r="F11" s="134">
        <v>1076.5</v>
      </c>
      <c r="G11" s="148" t="s">
        <v>181</v>
      </c>
      <c r="H11" s="148"/>
    </row>
    <row r="12" spans="1:6" ht="14.25">
      <c r="A12" s="85" t="s">
        <v>165</v>
      </c>
      <c r="B12" s="85" t="s">
        <v>109</v>
      </c>
      <c r="C12" s="76" t="s">
        <v>18</v>
      </c>
      <c r="D12" s="86" t="s">
        <v>140</v>
      </c>
      <c r="E12" s="86">
        <v>1260</v>
      </c>
      <c r="F12" s="86">
        <v>1260</v>
      </c>
    </row>
    <row r="13" spans="1:8" ht="14.25">
      <c r="A13" s="88"/>
      <c r="B13" s="88"/>
      <c r="C13" s="89" t="s">
        <v>104</v>
      </c>
      <c r="D13" s="90"/>
      <c r="E13" s="90">
        <v>1260</v>
      </c>
      <c r="F13" s="134">
        <v>1260</v>
      </c>
      <c r="G13" s="148" t="s">
        <v>181</v>
      </c>
      <c r="H13" s="148"/>
    </row>
    <row r="14" spans="1:7" ht="14.25">
      <c r="A14" s="85" t="s">
        <v>164</v>
      </c>
      <c r="B14" s="85" t="s">
        <v>109</v>
      </c>
      <c r="C14" s="76" t="s">
        <v>18</v>
      </c>
      <c r="D14" s="86" t="s">
        <v>140</v>
      </c>
      <c r="E14" s="86">
        <v>8609.06</v>
      </c>
      <c r="F14" s="86">
        <v>8609.06</v>
      </c>
      <c r="G14" s="105"/>
    </row>
    <row r="15" spans="1:7" ht="14.25">
      <c r="A15" s="88"/>
      <c r="B15" s="88"/>
      <c r="C15" s="89" t="s">
        <v>104</v>
      </c>
      <c r="D15" s="90"/>
      <c r="E15" s="90">
        <v>8609.06</v>
      </c>
      <c r="F15" s="123">
        <v>8609.06</v>
      </c>
      <c r="G15" s="143" t="s">
        <v>172</v>
      </c>
    </row>
    <row r="16" spans="1:8" ht="14.25">
      <c r="A16" s="100" t="s">
        <v>163</v>
      </c>
      <c r="B16" s="85" t="s">
        <v>109</v>
      </c>
      <c r="C16" s="76" t="s">
        <v>18</v>
      </c>
      <c r="D16" s="86">
        <v>4509.69</v>
      </c>
      <c r="E16" s="86" t="s">
        <v>140</v>
      </c>
      <c r="F16" s="135">
        <v>4509.69</v>
      </c>
      <c r="G16" s="136"/>
      <c r="H16" s="105"/>
    </row>
    <row r="17" spans="1:8" ht="14.25">
      <c r="A17" s="88"/>
      <c r="B17" s="88"/>
      <c r="C17" s="89" t="s">
        <v>104</v>
      </c>
      <c r="D17" s="90">
        <v>4509.69</v>
      </c>
      <c r="E17" s="90"/>
      <c r="F17" s="102">
        <v>4509.69</v>
      </c>
      <c r="G17" s="144" t="s">
        <v>177</v>
      </c>
      <c r="H17" s="105"/>
    </row>
    <row r="18" spans="1:8" ht="14.25">
      <c r="A18" s="100" t="s">
        <v>162</v>
      </c>
      <c r="B18" s="85" t="s">
        <v>109</v>
      </c>
      <c r="C18" s="76" t="s">
        <v>18</v>
      </c>
      <c r="D18" s="86" t="s">
        <v>140</v>
      </c>
      <c r="E18" s="86">
        <v>630</v>
      </c>
      <c r="F18" s="135">
        <v>630</v>
      </c>
      <c r="G18" s="136"/>
      <c r="H18" s="105"/>
    </row>
    <row r="19" spans="1:7" ht="14.25">
      <c r="A19" s="88"/>
      <c r="B19" s="88"/>
      <c r="C19" s="89" t="s">
        <v>104</v>
      </c>
      <c r="D19" s="90"/>
      <c r="E19" s="90">
        <v>630</v>
      </c>
      <c r="F19" s="102">
        <v>630</v>
      </c>
      <c r="G19" s="145" t="s">
        <v>174</v>
      </c>
    </row>
    <row r="20" spans="1:6" ht="14.25">
      <c r="A20" s="100" t="s">
        <v>161</v>
      </c>
      <c r="B20" s="85" t="s">
        <v>109</v>
      </c>
      <c r="C20" s="76" t="s">
        <v>18</v>
      </c>
      <c r="D20" s="86" t="s">
        <v>140</v>
      </c>
      <c r="E20" s="86">
        <v>367.5</v>
      </c>
      <c r="F20" s="86">
        <v>367.5</v>
      </c>
    </row>
    <row r="21" spans="1:8" ht="14.25">
      <c r="A21" s="88"/>
      <c r="B21" s="88"/>
      <c r="C21" s="89" t="s">
        <v>104</v>
      </c>
      <c r="D21" s="90"/>
      <c r="E21" s="90">
        <v>367.5</v>
      </c>
      <c r="F21" s="102">
        <v>367.5</v>
      </c>
      <c r="G21" s="109" t="s">
        <v>174</v>
      </c>
      <c r="H21" s="105"/>
    </row>
    <row r="22" spans="1:6" ht="14.25">
      <c r="A22" s="122" t="s">
        <v>160</v>
      </c>
      <c r="B22" s="85" t="s">
        <v>109</v>
      </c>
      <c r="C22" s="76" t="s">
        <v>18</v>
      </c>
      <c r="D22" s="86" t="s">
        <v>140</v>
      </c>
      <c r="E22" s="86">
        <v>570.42</v>
      </c>
      <c r="F22" s="86">
        <v>570.42</v>
      </c>
    </row>
    <row r="23" spans="1:7" ht="14.25">
      <c r="A23" s="88"/>
      <c r="B23" s="88"/>
      <c r="C23" s="89" t="s">
        <v>104</v>
      </c>
      <c r="D23" s="90"/>
      <c r="E23" s="90">
        <v>570.42</v>
      </c>
      <c r="F23" s="123">
        <v>570.42</v>
      </c>
      <c r="G23" s="143" t="s">
        <v>172</v>
      </c>
    </row>
    <row r="24" spans="1:6" ht="14.25">
      <c r="A24" s="100" t="s">
        <v>159</v>
      </c>
      <c r="B24" s="85" t="s">
        <v>109</v>
      </c>
      <c r="C24" s="76" t="s">
        <v>18</v>
      </c>
      <c r="D24" s="86" t="s">
        <v>140</v>
      </c>
      <c r="E24" s="86">
        <v>16115.5</v>
      </c>
      <c r="F24" s="86">
        <v>16115.5</v>
      </c>
    </row>
    <row r="25" spans="1:7" ht="14.25">
      <c r="A25" s="88"/>
      <c r="B25" s="88"/>
      <c r="C25" s="89" t="s">
        <v>104</v>
      </c>
      <c r="D25" s="90"/>
      <c r="E25" s="90">
        <v>16115.5</v>
      </c>
      <c r="F25" s="102">
        <v>16115.5</v>
      </c>
      <c r="G25" s="109" t="s">
        <v>174</v>
      </c>
    </row>
    <row r="26" spans="1:6" ht="14.25">
      <c r="A26" s="100" t="s">
        <v>158</v>
      </c>
      <c r="B26" s="85" t="s">
        <v>109</v>
      </c>
      <c r="C26" s="76" t="s">
        <v>18</v>
      </c>
      <c r="D26" s="86" t="s">
        <v>140</v>
      </c>
      <c r="E26" s="86">
        <v>24363.75</v>
      </c>
      <c r="F26" s="86">
        <v>24363.75</v>
      </c>
    </row>
    <row r="27" spans="1:7" ht="14.25">
      <c r="A27" s="88"/>
      <c r="B27" s="88"/>
      <c r="C27" s="89" t="s">
        <v>104</v>
      </c>
      <c r="D27" s="90"/>
      <c r="E27" s="90">
        <v>24363.75</v>
      </c>
      <c r="F27" s="102">
        <v>24363.75</v>
      </c>
      <c r="G27" s="109" t="s">
        <v>174</v>
      </c>
    </row>
    <row r="28" spans="1:6" ht="14.25">
      <c r="A28" s="100" t="s">
        <v>157</v>
      </c>
      <c r="B28" s="85" t="s">
        <v>109</v>
      </c>
      <c r="C28" s="76" t="s">
        <v>18</v>
      </c>
      <c r="D28" s="86" t="s">
        <v>140</v>
      </c>
      <c r="E28" s="86">
        <v>19420</v>
      </c>
      <c r="F28" s="86">
        <v>19420</v>
      </c>
    </row>
    <row r="29" spans="1:7" ht="14.25">
      <c r="A29" s="88"/>
      <c r="B29" s="88"/>
      <c r="C29" s="89" t="s">
        <v>104</v>
      </c>
      <c r="D29" s="90"/>
      <c r="E29" s="90">
        <v>19420</v>
      </c>
      <c r="F29" s="102">
        <v>19420</v>
      </c>
      <c r="G29" s="109" t="s">
        <v>174</v>
      </c>
    </row>
    <row r="30" spans="1:6" ht="14.25">
      <c r="A30" s="122" t="s">
        <v>156</v>
      </c>
      <c r="B30" s="85" t="s">
        <v>109</v>
      </c>
      <c r="C30" s="76" t="s">
        <v>17</v>
      </c>
      <c r="D30" s="86" t="s">
        <v>140</v>
      </c>
      <c r="E30" s="86">
        <v>924.25</v>
      </c>
      <c r="F30" s="86">
        <v>924.25</v>
      </c>
    </row>
    <row r="31" spans="1:7" ht="14.25">
      <c r="A31" s="88"/>
      <c r="B31" s="88"/>
      <c r="C31" s="89" t="s">
        <v>104</v>
      </c>
      <c r="D31" s="90"/>
      <c r="E31" s="90">
        <v>924.25</v>
      </c>
      <c r="F31" s="123">
        <v>924.25</v>
      </c>
      <c r="G31" s="143" t="s">
        <v>172</v>
      </c>
    </row>
    <row r="32" spans="1:6" ht="14.25">
      <c r="A32" s="100" t="s">
        <v>155</v>
      </c>
      <c r="B32" s="85" t="s">
        <v>109</v>
      </c>
      <c r="C32" s="76" t="s">
        <v>18</v>
      </c>
      <c r="D32" s="86" t="s">
        <v>140</v>
      </c>
      <c r="E32" s="86">
        <v>2238.63</v>
      </c>
      <c r="F32" s="86">
        <v>2238.63</v>
      </c>
    </row>
    <row r="33" spans="1:7" ht="14.25">
      <c r="A33" s="88"/>
      <c r="B33" s="88"/>
      <c r="C33" s="89" t="s">
        <v>104</v>
      </c>
      <c r="D33" s="90"/>
      <c r="E33" s="90">
        <v>2238.63</v>
      </c>
      <c r="F33" s="102">
        <v>2238.63</v>
      </c>
      <c r="G33" s="109" t="s">
        <v>174</v>
      </c>
    </row>
    <row r="34" spans="1:6" ht="14.25">
      <c r="A34" s="122" t="s">
        <v>154</v>
      </c>
      <c r="B34" s="85" t="s">
        <v>109</v>
      </c>
      <c r="C34" s="76" t="s">
        <v>18</v>
      </c>
      <c r="D34" s="86" t="s">
        <v>140</v>
      </c>
      <c r="E34" s="86">
        <v>36.53</v>
      </c>
      <c r="F34" s="86">
        <v>36.53</v>
      </c>
    </row>
    <row r="35" spans="1:7" ht="14.25">
      <c r="A35" s="88"/>
      <c r="B35" s="88"/>
      <c r="C35" s="89" t="s">
        <v>104</v>
      </c>
      <c r="D35" s="90"/>
      <c r="E35" s="90">
        <v>36.53</v>
      </c>
      <c r="F35" s="123">
        <v>36.53</v>
      </c>
      <c r="G35" s="143" t="s">
        <v>172</v>
      </c>
    </row>
    <row r="36" spans="1:6" ht="14.25">
      <c r="A36" s="122" t="s">
        <v>153</v>
      </c>
      <c r="B36" s="85" t="s">
        <v>109</v>
      </c>
      <c r="C36" s="76" t="s">
        <v>19</v>
      </c>
      <c r="D36" s="86" t="s">
        <v>140</v>
      </c>
      <c r="E36" s="86">
        <v>4.89</v>
      </c>
      <c r="F36" s="86">
        <v>4.89</v>
      </c>
    </row>
    <row r="37" spans="1:7" ht="14.25">
      <c r="A37" s="88"/>
      <c r="B37" s="88"/>
      <c r="C37" s="89" t="s">
        <v>104</v>
      </c>
      <c r="D37" s="90"/>
      <c r="E37" s="90">
        <v>4.89</v>
      </c>
      <c r="F37" s="123">
        <v>4.89</v>
      </c>
      <c r="G37" s="143" t="s">
        <v>172</v>
      </c>
    </row>
    <row r="38" spans="1:6" ht="14.25">
      <c r="A38" s="146" t="s">
        <v>152</v>
      </c>
      <c r="B38" s="85" t="s">
        <v>109</v>
      </c>
      <c r="C38" s="76" t="s">
        <v>18</v>
      </c>
      <c r="D38" s="86" t="s">
        <v>140</v>
      </c>
      <c r="E38" s="86">
        <v>28.4</v>
      </c>
      <c r="F38" s="86">
        <v>28.4</v>
      </c>
    </row>
    <row r="39" spans="1:7" ht="14.25">
      <c r="A39" s="88"/>
      <c r="B39" s="88"/>
      <c r="C39" s="89" t="s">
        <v>104</v>
      </c>
      <c r="D39" s="90"/>
      <c r="E39" s="90">
        <v>28.4</v>
      </c>
      <c r="F39" s="133">
        <v>28.4</v>
      </c>
      <c r="G39" s="131" t="s">
        <v>173</v>
      </c>
    </row>
    <row r="40" spans="1:6" ht="14.25">
      <c r="A40" s="146" t="s">
        <v>151</v>
      </c>
      <c r="B40" s="85" t="s">
        <v>109</v>
      </c>
      <c r="C40" s="76" t="s">
        <v>17</v>
      </c>
      <c r="D40" s="86" t="s">
        <v>140</v>
      </c>
      <c r="E40" s="86">
        <v>4.56</v>
      </c>
      <c r="F40" s="86">
        <v>4.56</v>
      </c>
    </row>
    <row r="41" spans="1:7" ht="14.25">
      <c r="A41" s="88"/>
      <c r="B41" s="88"/>
      <c r="C41" s="89" t="s">
        <v>104</v>
      </c>
      <c r="D41" s="90"/>
      <c r="E41" s="90">
        <v>4.56</v>
      </c>
      <c r="F41" s="133">
        <v>4.56</v>
      </c>
      <c r="G41" s="131" t="s">
        <v>173</v>
      </c>
    </row>
    <row r="42" spans="1:6" ht="14.25">
      <c r="A42" s="122" t="s">
        <v>150</v>
      </c>
      <c r="B42" s="85" t="s">
        <v>109</v>
      </c>
      <c r="C42" s="76" t="s">
        <v>19</v>
      </c>
      <c r="D42" s="86" t="s">
        <v>140</v>
      </c>
      <c r="E42" s="86">
        <v>1305.5</v>
      </c>
      <c r="F42" s="86">
        <v>1305.5</v>
      </c>
    </row>
    <row r="43" spans="1:7" ht="14.25">
      <c r="A43" s="88"/>
      <c r="B43" s="88"/>
      <c r="C43" s="89" t="s">
        <v>104</v>
      </c>
      <c r="D43" s="90"/>
      <c r="E43" s="90">
        <v>1305.5</v>
      </c>
      <c r="F43" s="123">
        <v>1305.5</v>
      </c>
      <c r="G43" s="143" t="s">
        <v>172</v>
      </c>
    </row>
    <row r="44" spans="1:6" ht="14.25">
      <c r="A44" s="122" t="s">
        <v>149</v>
      </c>
      <c r="B44" s="85" t="s">
        <v>109</v>
      </c>
      <c r="C44" s="76" t="s">
        <v>19</v>
      </c>
      <c r="D44" s="86" t="s">
        <v>140</v>
      </c>
      <c r="E44" s="86">
        <v>31.17</v>
      </c>
      <c r="F44" s="86">
        <v>31.17</v>
      </c>
    </row>
    <row r="45" spans="1:7" ht="14.25">
      <c r="A45" s="88"/>
      <c r="B45" s="88"/>
      <c r="C45" s="89" t="s">
        <v>104</v>
      </c>
      <c r="D45" s="90"/>
      <c r="E45" s="90">
        <v>31.17</v>
      </c>
      <c r="F45" s="123">
        <v>31.17</v>
      </c>
      <c r="G45" s="143" t="s">
        <v>172</v>
      </c>
    </row>
    <row r="46" spans="1:6" ht="14.25">
      <c r="A46" s="122" t="s">
        <v>148</v>
      </c>
      <c r="B46" s="85" t="s">
        <v>109</v>
      </c>
      <c r="C46" s="76" t="s">
        <v>19</v>
      </c>
      <c r="D46" s="86" t="s">
        <v>140</v>
      </c>
      <c r="E46" s="86">
        <v>279.94</v>
      </c>
      <c r="F46" s="86">
        <v>279.94</v>
      </c>
    </row>
    <row r="47" spans="1:6" ht="14.25">
      <c r="A47" s="87"/>
      <c r="B47" s="87"/>
      <c r="C47" s="76" t="s">
        <v>18</v>
      </c>
      <c r="D47" s="86">
        <v>44.88</v>
      </c>
      <c r="E47" s="86" t="s">
        <v>140</v>
      </c>
      <c r="F47" s="86">
        <v>44.88</v>
      </c>
    </row>
    <row r="48" spans="1:6" ht="14.25">
      <c r="A48" s="87"/>
      <c r="B48" s="87"/>
      <c r="C48" s="76" t="s">
        <v>17</v>
      </c>
      <c r="D48" s="86" t="s">
        <v>140</v>
      </c>
      <c r="E48" s="86">
        <v>28.32</v>
      </c>
      <c r="F48" s="86">
        <v>28.32</v>
      </c>
    </row>
    <row r="49" spans="1:7" ht="14.25">
      <c r="A49" s="88"/>
      <c r="B49" s="88"/>
      <c r="C49" s="89" t="s">
        <v>104</v>
      </c>
      <c r="D49" s="90">
        <v>44.88</v>
      </c>
      <c r="E49" s="90">
        <v>308.26</v>
      </c>
      <c r="F49" s="123">
        <v>353.14</v>
      </c>
      <c r="G49" s="143" t="s">
        <v>172</v>
      </c>
    </row>
    <row r="50" spans="1:6" ht="14.25">
      <c r="A50" s="122" t="s">
        <v>147</v>
      </c>
      <c r="B50" s="85" t="s">
        <v>109</v>
      </c>
      <c r="C50" s="76" t="s">
        <v>19</v>
      </c>
      <c r="D50" s="86" t="s">
        <v>140</v>
      </c>
      <c r="E50" s="86">
        <v>1139.58</v>
      </c>
      <c r="F50" s="86">
        <v>1139.58</v>
      </c>
    </row>
    <row r="51" spans="1:6" ht="14.25">
      <c r="A51" s="87"/>
      <c r="B51" s="87"/>
      <c r="C51" s="76" t="s">
        <v>18</v>
      </c>
      <c r="D51" s="86">
        <v>93.12</v>
      </c>
      <c r="E51" s="86">
        <v>32.32</v>
      </c>
      <c r="F51" s="86">
        <v>125.44</v>
      </c>
    </row>
    <row r="52" spans="1:6" ht="14.25">
      <c r="A52" s="87"/>
      <c r="B52" s="87"/>
      <c r="C52" s="76" t="s">
        <v>17</v>
      </c>
      <c r="D52" s="86" t="s">
        <v>140</v>
      </c>
      <c r="E52" s="86">
        <v>6.54</v>
      </c>
      <c r="F52" s="86">
        <v>6.54</v>
      </c>
    </row>
    <row r="53" spans="1:7" ht="14.25">
      <c r="A53" s="88"/>
      <c r="B53" s="88"/>
      <c r="C53" s="89" t="s">
        <v>104</v>
      </c>
      <c r="D53" s="90">
        <v>93.12</v>
      </c>
      <c r="E53" s="90">
        <v>1178.44</v>
      </c>
      <c r="F53" s="123">
        <v>1271.56</v>
      </c>
      <c r="G53" s="143" t="s">
        <v>172</v>
      </c>
    </row>
    <row r="54" spans="1:6" ht="14.25">
      <c r="A54" s="100" t="s">
        <v>146</v>
      </c>
      <c r="B54" s="85" t="s">
        <v>109</v>
      </c>
      <c r="C54" s="76" t="s">
        <v>18</v>
      </c>
      <c r="D54" s="86" t="s">
        <v>140</v>
      </c>
      <c r="E54" s="86">
        <v>3372</v>
      </c>
      <c r="F54" s="86">
        <v>3372</v>
      </c>
    </row>
    <row r="55" spans="1:6" ht="14.25">
      <c r="A55" s="88"/>
      <c r="B55" s="88"/>
      <c r="C55" s="89" t="s">
        <v>104</v>
      </c>
      <c r="D55" s="90"/>
      <c r="E55" s="90">
        <v>3372</v>
      </c>
      <c r="F55" s="102">
        <v>3372</v>
      </c>
    </row>
    <row r="56" spans="1:6" ht="14.25">
      <c r="A56" s="122" t="s">
        <v>145</v>
      </c>
      <c r="B56" s="85" t="s">
        <v>109</v>
      </c>
      <c r="C56" s="76" t="s">
        <v>18</v>
      </c>
      <c r="D56" s="86">
        <v>17900</v>
      </c>
      <c r="E56" s="86" t="s">
        <v>140</v>
      </c>
      <c r="F56" s="86">
        <v>17900</v>
      </c>
    </row>
    <row r="57" spans="1:6" ht="14.25">
      <c r="A57" s="88"/>
      <c r="B57" s="88"/>
      <c r="C57" s="89" t="s">
        <v>104</v>
      </c>
      <c r="D57" s="90">
        <v>17900</v>
      </c>
      <c r="E57" s="90"/>
      <c r="F57" s="123">
        <v>17900</v>
      </c>
    </row>
    <row r="58" spans="1:6" ht="14.25">
      <c r="A58" s="122" t="s">
        <v>144</v>
      </c>
      <c r="B58" s="85" t="s">
        <v>109</v>
      </c>
      <c r="C58" s="76" t="s">
        <v>18</v>
      </c>
      <c r="D58" s="86">
        <v>0</v>
      </c>
      <c r="E58" s="86" t="s">
        <v>140</v>
      </c>
      <c r="F58" s="86">
        <v>0</v>
      </c>
    </row>
    <row r="59" spans="1:6" ht="14.25">
      <c r="A59" s="88"/>
      <c r="B59" s="88"/>
      <c r="C59" s="89" t="s">
        <v>104</v>
      </c>
      <c r="D59" s="90">
        <v>0</v>
      </c>
      <c r="E59" s="90"/>
      <c r="F59" s="123">
        <v>0</v>
      </c>
    </row>
    <row r="60" spans="1:6" ht="14.25">
      <c r="A60" s="122" t="s">
        <v>143</v>
      </c>
      <c r="B60" s="85" t="s">
        <v>109</v>
      </c>
      <c r="C60" s="76" t="s">
        <v>19</v>
      </c>
      <c r="D60" s="86" t="s">
        <v>140</v>
      </c>
      <c r="E60" s="86">
        <v>75.08</v>
      </c>
      <c r="F60" s="86">
        <v>75.08</v>
      </c>
    </row>
    <row r="61" spans="1:7" ht="14.25">
      <c r="A61" s="88"/>
      <c r="B61" s="88"/>
      <c r="C61" s="89" t="s">
        <v>104</v>
      </c>
      <c r="D61" s="90"/>
      <c r="E61" s="90">
        <v>75.08</v>
      </c>
      <c r="F61" s="123">
        <v>75.08</v>
      </c>
      <c r="G61" s="143" t="s">
        <v>172</v>
      </c>
    </row>
    <row r="62" spans="1:6" ht="14.25">
      <c r="A62" s="100" t="s">
        <v>142</v>
      </c>
      <c r="B62" s="85" t="s">
        <v>109</v>
      </c>
      <c r="C62" s="76" t="s">
        <v>18</v>
      </c>
      <c r="D62" s="86" t="s">
        <v>140</v>
      </c>
      <c r="E62" s="86">
        <v>2483.51</v>
      </c>
      <c r="F62" s="86">
        <v>2483.51</v>
      </c>
    </row>
    <row r="63" spans="1:7" ht="14.25">
      <c r="A63" s="88"/>
      <c r="B63" s="88"/>
      <c r="C63" s="89" t="s">
        <v>104</v>
      </c>
      <c r="D63" s="90"/>
      <c r="E63" s="90">
        <v>2483.51</v>
      </c>
      <c r="F63" s="102">
        <v>2483.51</v>
      </c>
      <c r="G63" s="2" t="s">
        <v>174</v>
      </c>
    </row>
    <row r="64" spans="1:6" ht="14.25">
      <c r="A64" s="122" t="s">
        <v>175</v>
      </c>
      <c r="B64" s="85" t="s">
        <v>109</v>
      </c>
      <c r="C64" s="76" t="s">
        <v>18</v>
      </c>
      <c r="D64" s="86" t="s">
        <v>140</v>
      </c>
      <c r="E64" s="86">
        <v>5496</v>
      </c>
      <c r="F64" s="86">
        <v>5496</v>
      </c>
    </row>
    <row r="65" spans="1:7" ht="14.25">
      <c r="A65" s="88"/>
      <c r="B65" s="88"/>
      <c r="C65" s="89" t="s">
        <v>104</v>
      </c>
      <c r="D65" s="90"/>
      <c r="E65" s="90">
        <v>5496</v>
      </c>
      <c r="F65" s="123">
        <v>5496</v>
      </c>
      <c r="G65" s="2" t="s">
        <v>172</v>
      </c>
    </row>
    <row r="66" spans="1:6" ht="14.25">
      <c r="A66" s="122" t="s">
        <v>141</v>
      </c>
      <c r="B66" s="85" t="s">
        <v>109</v>
      </c>
      <c r="C66" s="76" t="s">
        <v>15</v>
      </c>
      <c r="D66" s="86" t="s">
        <v>140</v>
      </c>
      <c r="E66" s="86">
        <v>50.61</v>
      </c>
      <c r="F66" s="86">
        <v>50.61</v>
      </c>
    </row>
    <row r="67" spans="1:7" ht="14.25">
      <c r="A67" s="88"/>
      <c r="B67" s="88"/>
      <c r="C67" s="89" t="s">
        <v>104</v>
      </c>
      <c r="D67" s="90"/>
      <c r="E67" s="90">
        <v>50.61</v>
      </c>
      <c r="F67" s="123">
        <v>50.61</v>
      </c>
      <c r="G67" s="143" t="s">
        <v>172</v>
      </c>
    </row>
    <row r="68" spans="1:8" ht="14.25">
      <c r="A68" s="122" t="s">
        <v>140</v>
      </c>
      <c r="B68" s="85" t="s">
        <v>109</v>
      </c>
      <c r="C68" s="76" t="s">
        <v>20</v>
      </c>
      <c r="D68" s="86">
        <v>-8455.59</v>
      </c>
      <c r="E68" s="86">
        <v>-25366.77</v>
      </c>
      <c r="F68" s="86">
        <v>-33822.36</v>
      </c>
      <c r="G68" s="140">
        <f>F39+F41</f>
        <v>32.96</v>
      </c>
      <c r="H68" s="2" t="s">
        <v>173</v>
      </c>
    </row>
    <row r="69" spans="1:8" ht="14.25">
      <c r="A69" s="88"/>
      <c r="B69" s="88"/>
      <c r="C69" s="89" t="s">
        <v>104</v>
      </c>
      <c r="D69" s="90">
        <v>-8455.59</v>
      </c>
      <c r="E69" s="90">
        <v>-25366.77</v>
      </c>
      <c r="F69" s="123">
        <v>-33822.36</v>
      </c>
      <c r="G69" s="124">
        <f>F57+F69+F65+F15+F23+F31+F35+F37+F43+F45+F49+F53+F61+F67</f>
        <v>2805.849999999999</v>
      </c>
      <c r="H69" s="2" t="s">
        <v>172</v>
      </c>
    </row>
    <row r="70" spans="1:8" ht="12.75">
      <c r="A70" s="78" t="s">
        <v>95</v>
      </c>
      <c r="B70" s="91"/>
      <c r="C70" s="79"/>
      <c r="D70" s="86">
        <v>14092.1</v>
      </c>
      <c r="E70" s="86">
        <v>68126.96</v>
      </c>
      <c r="F70" s="138">
        <v>82219.06</v>
      </c>
      <c r="G70" s="137">
        <f>F17+F19+F21+F25+F27+F29+F33+F55+H18+F63</f>
        <v>73500.58</v>
      </c>
      <c r="H70" s="2" t="s">
        <v>174</v>
      </c>
    </row>
    <row r="71" spans="7:8" ht="12.75">
      <c r="G71" s="142">
        <f>F7++F9+F11+F13</f>
        <v>5879.67</v>
      </c>
      <c r="H71" s="2" t="s">
        <v>174</v>
      </c>
    </row>
    <row r="72" ht="12.75">
      <c r="G72" s="141">
        <f>SUM(G68:G71)</f>
        <v>82219.06</v>
      </c>
    </row>
    <row r="73" ht="12.75">
      <c r="G73" s="139"/>
    </row>
    <row r="74" spans="6:8" ht="12.75">
      <c r="F74" s="18" t="s">
        <v>176</v>
      </c>
      <c r="G74" s="18"/>
      <c r="H74" s="18"/>
    </row>
  </sheetData>
  <mergeCells count="1">
    <mergeCell ref="A1:C1"/>
  </mergeCells>
  <printOptions/>
  <pageMargins left="0.25" right="0.2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Lori Hamilton</dc:creator>
  <cp:keywords/>
  <dc:description/>
  <cp:lastModifiedBy>Patrick Ehrbar</cp:lastModifiedBy>
  <cp:lastPrinted>2008-12-19T22:24:53Z</cp:lastPrinted>
  <dcterms:created xsi:type="dcterms:W3CDTF">2008-10-08T22:49:04Z</dcterms:created>
  <dcterms:modified xsi:type="dcterms:W3CDTF">2009-04-30T22:41:03Z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090134</vt:lpwstr>
  </property>
  <property fmtid="{D5CDD505-2E9C-101B-9397-08002B2CF9AE}" pid="6" name="IsConfidenti">
    <vt:lpwstr>0</vt:lpwstr>
  </property>
  <property fmtid="{D5CDD505-2E9C-101B-9397-08002B2CF9AE}" pid="7" name="Dat">
    <vt:lpwstr>2009-05-01T00:00:00Z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2009-01-23T00:00:00Z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